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heets/sheet1.xml" ContentType="application/vnd.openxmlformats-officedocument.spreadsheetml.chart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C:\Dateien\HAW\Arbeiten\Albrecht\2023-11-03_Final\Excel_Sheets\"/>
    </mc:Choice>
  </mc:AlternateContent>
  <xr:revisionPtr revIDLastSave="0" documentId="13_ncr:1_{6B29B2D5-BFBA-412F-9CC9-BEFDC5EC5B19}" xr6:coauthVersionLast="47" xr6:coauthVersionMax="47" xr10:uidLastSave="{00000000-0000-0000-0000-000000000000}"/>
  <bookViews>
    <workbookView xWindow="-120" yWindow="-120" windowWidth="19440" windowHeight="14880" tabRatio="744" xr2:uid="{00000000-000D-0000-FFFF-FFFF00000000}"/>
  </bookViews>
  <sheets>
    <sheet name="Abstract" sheetId="26" r:id="rId1"/>
    <sheet name="1.) Parameters-Overview" sheetId="22" r:id="rId2"/>
    <sheet name="2.) Parameters-Statistics" sheetId="24" r:id="rId3"/>
    <sheet name="3.) Preliminary Sizing I" sheetId="2" r:id="rId4"/>
    <sheet name="4.) Max. Glide Ratio in Cruise" sheetId="17" r:id="rId5"/>
    <sheet name="5.) Preliminary Sizing II" sheetId="3" r:id="rId6"/>
    <sheet name="5.1.) System masses" sheetId="29" r:id="rId7"/>
    <sheet name="6.) Matching Chart" sheetId="4" r:id="rId8"/>
    <sheet name="Tabelle5" sheetId="5" state="hidden" r:id="rId9"/>
    <sheet name="Tabelle6" sheetId="6" state="hidden" r:id="rId10"/>
    <sheet name="Tabelle7" sheetId="7" state="hidden" r:id="rId11"/>
    <sheet name="Tabelle8" sheetId="8" state="hidden" r:id="rId12"/>
    <sheet name="Tabelle9" sheetId="9" state="hidden" r:id="rId13"/>
    <sheet name="Tabelle10" sheetId="10" state="hidden" r:id="rId14"/>
    <sheet name="Tabelle11" sheetId="11" state="hidden" r:id="rId15"/>
    <sheet name="Tabelle12" sheetId="12" state="hidden" r:id="rId16"/>
    <sheet name="Tabelle13" sheetId="13" state="hidden" r:id="rId17"/>
    <sheet name="Tabelle14" sheetId="14" state="hidden" r:id="rId18"/>
    <sheet name="Tabelle15" sheetId="15" state="hidden" r:id="rId19"/>
    <sheet name="Tabelle16" sheetId="16" state="hidden" r:id="rId20"/>
    <sheet name="7.) Propeller Efficiency" sheetId="20" r:id="rId21"/>
    <sheet name="8.) Power variation with alt." sheetId="25" r:id="rId22"/>
    <sheet name="(c)" sheetId="30" r:id="rId23"/>
  </sheets>
  <externalReferences>
    <externalReference r:id="rId24"/>
    <externalReference r:id="rId25"/>
    <externalReference r:id="rId26"/>
  </externalReferences>
  <definedNames>
    <definedName name="A" localSheetId="22">[1]Calculations!$C$72</definedName>
    <definedName name="a">'[2]3.) Dimensionierung'!$C$51</definedName>
    <definedName name="A_calcualted">[1]Calculations!$C$64</definedName>
    <definedName name="a_e">[1]Calculations!$C$129</definedName>
    <definedName name="A_given">[1]Calculations!$C$15</definedName>
    <definedName name="A_new">[1]Calculations!$C$100</definedName>
    <definedName name="A_wave">[1]Calculations!$C$28</definedName>
    <definedName name="aa">[1]Calculations!$C$62</definedName>
    <definedName name="Acoef">'5.) Preliminary Sizing II'!$I$18</definedName>
    <definedName name="b">[1]Calculations!$C$73</definedName>
    <definedName name="b_calcualted">[1]Calculations!$C$65</definedName>
    <definedName name="b_e">[1]Calculations!$C$125</definedName>
    <definedName name="b_given">[1]Calculations!$C$14</definedName>
    <definedName name="b_new">[1]Calculations!$C$99</definedName>
    <definedName name="b_ref">[1]Calculations!$C$87</definedName>
    <definedName name="b_s">[1]Calculations!$C$78</definedName>
    <definedName name="B_wave">[1]Calculations!$C$29</definedName>
    <definedName name="BPR">'[2]3.) Dimensionierung'!$C$6</definedName>
    <definedName name="bs_tr">[1]Calculations!$C$80</definedName>
    <definedName name="C_D">[1]Calculations!$C$141</definedName>
    <definedName name="C_D_0_W">[1]Calculations!$C$118</definedName>
    <definedName name="C_D_i">[1]Calculations!$C$139</definedName>
    <definedName name="c_e">[1]Calculations!$C$126</definedName>
    <definedName name="C_f_laminar">[1]Calculations!$C$115</definedName>
    <definedName name="C_f_turbulent">[1]Calculations!$C$116</definedName>
    <definedName name="C_f_W">[1]Calculations!$C$117</definedName>
    <definedName name="C_L">[1]Calculations!$C$138</definedName>
    <definedName name="C_L_md">[1]Calculations!#REF!</definedName>
    <definedName name="c_MAC">[1]Calculations!$C$113</definedName>
    <definedName name="c_r">[1]Calculations!$C$75</definedName>
    <definedName name="c_r_new">[1]Calculations!$C$102</definedName>
    <definedName name="CL" localSheetId="22">'[2]3.) Dimensionierung'!$G$8</definedName>
    <definedName name="CL">'5.) Preliminary Sizing II'!$G$9</definedName>
    <definedName name="CL_m">'5.) Preliminary Sizing II'!$C$11</definedName>
    <definedName name="D">[1]Calculations!$C$143</definedName>
    <definedName name="d_F">[1]Calculations!$C$21</definedName>
    <definedName name="Delta_C_D_W">[1]Calculations!$C$123</definedName>
    <definedName name="Delta_lambda">[1]Calculations!$C$132</definedName>
    <definedName name="e" localSheetId="22">[1]Calculations!$C$137</definedName>
    <definedName name="e">'5.) Preliminary Sizing II'!$C$22</definedName>
    <definedName name="e_theo">[1]Calculations!$C$134</definedName>
    <definedName name="euler">'5.) Preliminary Sizing II'!$C$22</definedName>
    <definedName name="f_lambda_Delta_lambda">[1]Calculations!$C$133</definedName>
    <definedName name="FF_W">[1]Calculations!$C$107</definedName>
    <definedName name="g" localSheetId="22">[1]Calculations!$C$8</definedName>
    <definedName name="g">'5.) Preliminary Sizing II'!$C$20</definedName>
    <definedName name="gamma" localSheetId="22">'[2]3.) Dimensionierung'!$C$15</definedName>
    <definedName name="gamma">'5.) Preliminary Sizing II'!$C$19</definedName>
    <definedName name="H">[1]Calculations!$C$32</definedName>
    <definedName name="H_opt">[1]Calculations!#REF!</definedName>
    <definedName name="k_e_f">[1]Calculations!$C$131</definedName>
    <definedName name="k_e_M">[1]Calculations!$C$130</definedName>
    <definedName name="k_laminar">[1]Calculations!$C$33</definedName>
    <definedName name="k_t_c">[1]Calculations!$C$18</definedName>
    <definedName name="L">'5.) Preliminary Sizing II'!$C$23</definedName>
    <definedName name="L_D" localSheetId="22">'[2]3.) Dimensionierung'!$G$9</definedName>
    <definedName name="L_D">'5.) Preliminary Sizing II'!$G$10</definedName>
    <definedName name="L_D_max" localSheetId="22">'[2]3.) Dimensionierung'!$C$7</definedName>
    <definedName name="L_D_max">'5.) Preliminary Sizing II'!$C$7</definedName>
    <definedName name="lambda">[1]Calculations!$C$19</definedName>
    <definedName name="M" localSheetId="22">[1]Calculations!$C$30</definedName>
    <definedName name="M">'5.) Preliminary Sizing II'!$C$12</definedName>
    <definedName name="M_0">[1]Calculations!$C$128</definedName>
    <definedName name="M_comp">[1]Calculations!$C$127</definedName>
    <definedName name="M_crit">[1]Calculations!$C$122</definedName>
    <definedName name="M_crit_fix">[1]Calculations!$C$27</definedName>
    <definedName name="M_crit_variable">[1]Calculations!$C$121</definedName>
    <definedName name="M_DD">[1]Calculations!$C$120</definedName>
    <definedName name="m_MPL">[1]Calculations!$C$82</definedName>
    <definedName name="m_MTO">[1]Calculations!$C$22</definedName>
    <definedName name="m_MTO_new">[1]Calculations!$C$97</definedName>
    <definedName name="m_MTO_S_W">[1]Calculations!$C$25</definedName>
    <definedName name="m_MZF">[1]Calculations!$C$24</definedName>
    <definedName name="m_OE">[1]Calculations!$C$23</definedName>
    <definedName name="m_W">[1]Calculations!$C$26</definedName>
    <definedName name="m_W_new">[1]Calculations!$C$105</definedName>
    <definedName name="mcoef">'5.) Preliminary Sizing II'!$I$19</definedName>
    <definedName name="method">[1]Calculations!$C$12</definedName>
    <definedName name="mMTO">[3]Tabelle1!$B$17</definedName>
    <definedName name="mOE">[3]Tabelle1!$B$18</definedName>
    <definedName name="mPL">[3]Tabelle1!$B$19</definedName>
    <definedName name="mu">[1]Calculations!$C$59</definedName>
    <definedName name="n_lim">[1]Calculations!$C$83</definedName>
    <definedName name="ncoef">'5.) Preliminary Sizing II'!$I$20</definedName>
    <definedName name="nu">[1]Calculations!$C$61</definedName>
    <definedName name="p0" localSheetId="22">'[2]3.) Dimensionierung'!$C$17</definedName>
    <definedName name="p0">'5.) Preliminary Sizing II'!$C$21</definedName>
    <definedName name="phi_25">[1]Calculations!$C$20</definedName>
    <definedName name="phi_50">[1]Calculations!$C$74</definedName>
    <definedName name="PP">[1]Calculations!$C$136</definedName>
    <definedName name="propefcruise">'5.) Preliminary Sizing II'!$C$16</definedName>
    <definedName name="Q">[1]Calculations!$C$34</definedName>
    <definedName name="QQ">[1]Calculations!$C$135</definedName>
    <definedName name="Range">#REF!</definedName>
    <definedName name="Rconstant">'5.) Preliminary Sizing II'!$C$24</definedName>
    <definedName name="Re">[1]Calculations!$C$114</definedName>
    <definedName name="Res">#REF!</definedName>
    <definedName name="rho">[1]Calculations!$C$60</definedName>
    <definedName name="rho_0">[1]Calculations!$C$7</definedName>
    <definedName name="rho_H">[1]Calculations!#REF!</definedName>
    <definedName name="S_exp">[1]Calculations!$C$108</definedName>
    <definedName name="S_ref">[1]Calculations!$C$111</definedName>
    <definedName name="S_W">[1]Calculations!$C$71</definedName>
    <definedName name="S_W_new">[1]Calculations!$C$98</definedName>
    <definedName name="S_wet_W">[1]Calculations!$C$110</definedName>
    <definedName name="solver_adj" localSheetId="20" hidden="1">'7.) Propeller Efficiency'!$J$3:$J$4</definedName>
    <definedName name="solver_cvg" localSheetId="20" hidden="1">0.0001</definedName>
    <definedName name="solver_drv" localSheetId="20" hidden="1">1</definedName>
    <definedName name="solver_eng" localSheetId="6" hidden="1">1</definedName>
    <definedName name="solver_est" localSheetId="20" hidden="1">1</definedName>
    <definedName name="solver_itr" localSheetId="20" hidden="1">100</definedName>
    <definedName name="solver_lin" localSheetId="20" hidden="1">2</definedName>
    <definedName name="solver_neg" localSheetId="6" hidden="1">1</definedName>
    <definedName name="solver_neg" localSheetId="20" hidden="1">2</definedName>
    <definedName name="solver_num" localSheetId="6" hidden="1">0</definedName>
    <definedName name="solver_num" localSheetId="20" hidden="1">0</definedName>
    <definedName name="solver_nwt" localSheetId="20" hidden="1">1</definedName>
    <definedName name="solver_opt" localSheetId="6" hidden="1">'5.1.) System masses'!$F$5</definedName>
    <definedName name="solver_opt" localSheetId="20" hidden="1">'7.) Propeller Efficiency'!$B$36</definedName>
    <definedName name="solver_pre" localSheetId="20" hidden="1">0.000001</definedName>
    <definedName name="solver_scl" localSheetId="20" hidden="1">2</definedName>
    <definedName name="solver_sho" localSheetId="20" hidden="1">2</definedName>
    <definedName name="solver_tim" localSheetId="20" hidden="1">100</definedName>
    <definedName name="solver_tol" localSheetId="20" hidden="1">0.05</definedName>
    <definedName name="solver_typ" localSheetId="6" hidden="1">1</definedName>
    <definedName name="solver_typ" localSheetId="20" hidden="1">2</definedName>
    <definedName name="solver_val" localSheetId="6" hidden="1">0</definedName>
    <definedName name="solver_val" localSheetId="20" hidden="1">0</definedName>
    <definedName name="solver_ver" localSheetId="6" hidden="1">3</definedName>
    <definedName name="T">[1]Calculations!$C$58</definedName>
    <definedName name="T_0">[1]Calculations!$C$6</definedName>
    <definedName name="t_c">[1]Calculations!$C$16</definedName>
    <definedName name="t_c_r">[1]Calculations!$C$67</definedName>
    <definedName name="t_c_rep">[1]Calculations!$C$95</definedName>
    <definedName name="t_c_t">[1]Calculations!$C$66</definedName>
    <definedName name="t_r">[1]Calculations!$C$79</definedName>
    <definedName name="T0">'5.) Preliminary Sizing II'!$C$25</definedName>
    <definedName name="tau">[1]Calculations!$C$109</definedName>
    <definedName name="V">[1]Calculations!$C$112</definedName>
    <definedName name="V_CR">'[2]3.) Dimensionierung'!$C$52</definedName>
    <definedName name="Vcr_Vmd">[3]Tabelle1!$B$23</definedName>
    <definedName name="Vcruise">#REF!</definedName>
    <definedName name="version">[1]Calculations!$C$13</definedName>
    <definedName name="x_t">[1]Calculations!$C$17</definedName>
    <definedName name="Xn">'7.) Propeller Efficiency'!$J$3</definedName>
    <definedName name="YA">'7.) Propeller Efficiency'!$D$29</definedName>
    <definedName name="ρ0">'1.) Parameters-Overview'!$B$15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6" i="3" l="1"/>
  <c r="N28" i="3"/>
  <c r="C91" i="3"/>
  <c r="G44" i="29"/>
  <c r="B12" i="29"/>
  <c r="F10" i="29" s="1"/>
  <c r="F49" i="29"/>
  <c r="G49" i="29" s="1"/>
  <c r="C21" i="29"/>
  <c r="E21" i="29" s="1"/>
  <c r="F21" i="29" s="1"/>
  <c r="G21" i="29" s="1"/>
  <c r="C22" i="29"/>
  <c r="E22" i="29" s="1"/>
  <c r="F22" i="29" s="1"/>
  <c r="G22" i="29" s="1"/>
  <c r="E17" i="29"/>
  <c r="F17" i="29" s="1"/>
  <c r="G17" i="29" s="1"/>
  <c r="C25" i="17"/>
  <c r="B13" i="29"/>
  <c r="F9" i="29" s="1"/>
  <c r="E24" i="29" s="1"/>
  <c r="C40" i="2"/>
  <c r="C29" i="2"/>
  <c r="C32" i="2" s="1"/>
  <c r="C11" i="2"/>
  <c r="C16" i="2" s="1"/>
  <c r="C17" i="2" s="1"/>
  <c r="C36" i="3"/>
  <c r="I36" i="3" s="1"/>
  <c r="C124" i="3"/>
  <c r="C140" i="3" s="1"/>
  <c r="E37" i="29"/>
  <c r="F37" i="29"/>
  <c r="G37" i="29" s="1"/>
  <c r="E35" i="29"/>
  <c r="F35" i="29" s="1"/>
  <c r="G35" i="29" s="1"/>
  <c r="C115" i="3"/>
  <c r="E45" i="29"/>
  <c r="F45" i="29" s="1"/>
  <c r="G45" i="29" s="1"/>
  <c r="E40" i="29"/>
  <c r="F40" i="29" s="1"/>
  <c r="G40" i="29" s="1"/>
  <c r="E39" i="29"/>
  <c r="F39" i="29" s="1"/>
  <c r="G39" i="29" s="1"/>
  <c r="E38" i="29"/>
  <c r="F38" i="29" s="1"/>
  <c r="G38" i="29" s="1"/>
  <c r="C98" i="3"/>
  <c r="M80" i="24"/>
  <c r="I59" i="24"/>
  <c r="H59" i="24"/>
  <c r="J59" i="24" s="1"/>
  <c r="J61" i="24" s="1"/>
  <c r="C41" i="2"/>
  <c r="C42" i="2"/>
  <c r="C59" i="2" s="1"/>
  <c r="C62" i="2" s="1"/>
  <c r="C64" i="2" s="1"/>
  <c r="C66" i="2" s="1"/>
  <c r="C74" i="2" s="1"/>
  <c r="H23" i="24"/>
  <c r="I23" i="24" s="1"/>
  <c r="J23" i="24" s="1"/>
  <c r="G23" i="24"/>
  <c r="C83" i="3"/>
  <c r="F88" i="3" s="1"/>
  <c r="C90" i="3" s="1"/>
  <c r="C7" i="3"/>
  <c r="C79" i="2"/>
  <c r="E24" i="25"/>
  <c r="G24" i="25"/>
  <c r="E25" i="25"/>
  <c r="G25" i="25"/>
  <c r="E26" i="25"/>
  <c r="G26" i="25"/>
  <c r="E27" i="25"/>
  <c r="G27" i="25"/>
  <c r="E28" i="25"/>
  <c r="G28" i="25"/>
  <c r="E29" i="25"/>
  <c r="G29" i="25"/>
  <c r="C65" i="25"/>
  <c r="D65" i="25"/>
  <c r="E65" i="25"/>
  <c r="G65" i="25"/>
  <c r="H65" i="25"/>
  <c r="J65" i="25"/>
  <c r="L65" i="25" s="1"/>
  <c r="K65" i="25" s="1"/>
  <c r="N65" i="25" s="1"/>
  <c r="O65" i="25"/>
  <c r="C66" i="25"/>
  <c r="D66" i="25" s="1"/>
  <c r="E66" i="25" s="1"/>
  <c r="G66" i="25"/>
  <c r="H66" i="25"/>
  <c r="J66" i="25"/>
  <c r="L66" i="25"/>
  <c r="K66" i="25" s="1"/>
  <c r="N66" i="25"/>
  <c r="O66" i="25" s="1"/>
  <c r="C67" i="25"/>
  <c r="D67" i="25" s="1"/>
  <c r="E67" i="25" s="1"/>
  <c r="G67" i="25"/>
  <c r="H67" i="25"/>
  <c r="J67" i="25"/>
  <c r="L67" i="25" s="1"/>
  <c r="K67" i="25"/>
  <c r="N67" i="25"/>
  <c r="O67" i="25" s="1"/>
  <c r="C68" i="25"/>
  <c r="D68" i="25" s="1"/>
  <c r="E68" i="25" s="1"/>
  <c r="G68" i="25"/>
  <c r="H68" i="25"/>
  <c r="J68" i="25"/>
  <c r="L68" i="25" s="1"/>
  <c r="K68" i="25" s="1"/>
  <c r="G69" i="25"/>
  <c r="H69" i="25"/>
  <c r="J69" i="25"/>
  <c r="L69" i="25" s="1"/>
  <c r="K69" i="25"/>
  <c r="G70" i="25"/>
  <c r="H70" i="25"/>
  <c r="J70" i="25"/>
  <c r="L70" i="25" s="1"/>
  <c r="K70" i="25" s="1"/>
  <c r="G71" i="25"/>
  <c r="H71" i="25"/>
  <c r="J71" i="25"/>
  <c r="L71" i="25" s="1"/>
  <c r="K71" i="25"/>
  <c r="N71" i="25"/>
  <c r="O71" i="25" s="1"/>
  <c r="G72" i="25"/>
  <c r="H72" i="25" s="1"/>
  <c r="J72" i="25"/>
  <c r="L72" i="25"/>
  <c r="K72" i="25" s="1"/>
  <c r="G73" i="25"/>
  <c r="H73" i="25"/>
  <c r="J73" i="25"/>
  <c r="L73" i="25"/>
  <c r="K73" i="25" s="1"/>
  <c r="N73" i="25"/>
  <c r="O73" i="25" s="1"/>
  <c r="G74" i="25"/>
  <c r="H74" i="25" s="1"/>
  <c r="J74" i="25"/>
  <c r="L74" i="25"/>
  <c r="K74" i="25" s="1"/>
  <c r="N74" i="25"/>
  <c r="O74" i="25"/>
  <c r="G75" i="25"/>
  <c r="H75" i="25"/>
  <c r="J75" i="25"/>
  <c r="L75" i="25" s="1"/>
  <c r="K75" i="25" s="1"/>
  <c r="N75" i="25" s="1"/>
  <c r="O75" i="25" s="1"/>
  <c r="G76" i="25"/>
  <c r="J76" i="25"/>
  <c r="L76" i="25" s="1"/>
  <c r="K76" i="25" s="1"/>
  <c r="B84" i="25"/>
  <c r="F84" i="25"/>
  <c r="G84" i="25"/>
  <c r="H84" i="25" s="1"/>
  <c r="J84" i="25"/>
  <c r="K84" i="25" s="1"/>
  <c r="L84" i="25" s="1"/>
  <c r="B85" i="25"/>
  <c r="F85" i="25"/>
  <c r="L85" i="25" s="1"/>
  <c r="G85" i="25"/>
  <c r="H85" i="25"/>
  <c r="J85" i="25"/>
  <c r="K85" i="25"/>
  <c r="B86" i="25"/>
  <c r="F86" i="25"/>
  <c r="G86" i="25"/>
  <c r="H86" i="25" s="1"/>
  <c r="J86" i="25"/>
  <c r="K86" i="25" s="1"/>
  <c r="B87" i="25"/>
  <c r="F87" i="25"/>
  <c r="L87" i="25" s="1"/>
  <c r="G87" i="25"/>
  <c r="H87" i="25"/>
  <c r="J87" i="25"/>
  <c r="K87" i="25"/>
  <c r="B88" i="25"/>
  <c r="F88" i="25"/>
  <c r="G88" i="25"/>
  <c r="H88" i="25"/>
  <c r="J88" i="25"/>
  <c r="K88" i="25" s="1"/>
  <c r="L88" i="25"/>
  <c r="B89" i="25"/>
  <c r="F89" i="25"/>
  <c r="G89" i="25"/>
  <c r="H89" i="25"/>
  <c r="J89" i="25"/>
  <c r="K89" i="25"/>
  <c r="F90" i="25"/>
  <c r="H90" i="25" s="1"/>
  <c r="G90" i="25"/>
  <c r="J90" i="25"/>
  <c r="K90" i="25"/>
  <c r="F91" i="25"/>
  <c r="L91" i="25" s="1"/>
  <c r="G91" i="25"/>
  <c r="H91" i="25"/>
  <c r="J91" i="25"/>
  <c r="K91" i="25"/>
  <c r="F92" i="25"/>
  <c r="L92" i="25" s="1"/>
  <c r="G92" i="25"/>
  <c r="J92" i="25"/>
  <c r="K92" i="25"/>
  <c r="F93" i="25"/>
  <c r="G93" i="25"/>
  <c r="H93" i="25"/>
  <c r="J93" i="25"/>
  <c r="K93" i="25" s="1"/>
  <c r="F94" i="25"/>
  <c r="H94" i="25" s="1"/>
  <c r="G94" i="25"/>
  <c r="J94" i="25"/>
  <c r="K94" i="25"/>
  <c r="L94" i="25"/>
  <c r="F95" i="25"/>
  <c r="L95" i="25" s="1"/>
  <c r="G95" i="25"/>
  <c r="J95" i="25"/>
  <c r="K95" i="25"/>
  <c r="F96" i="25"/>
  <c r="G96" i="25"/>
  <c r="H96" i="25"/>
  <c r="J96" i="25"/>
  <c r="K96" i="25"/>
  <c r="F97" i="25"/>
  <c r="G97" i="25"/>
  <c r="H97" i="25"/>
  <c r="J97" i="25"/>
  <c r="K97" i="25"/>
  <c r="F98" i="25"/>
  <c r="H98" i="25" s="1"/>
  <c r="G98" i="25"/>
  <c r="J98" i="25"/>
  <c r="K98" i="25"/>
  <c r="F99" i="25"/>
  <c r="L99" i="25" s="1"/>
  <c r="G99" i="25"/>
  <c r="H99" i="25"/>
  <c r="J99" i="25"/>
  <c r="K99" i="25"/>
  <c r="B109" i="25"/>
  <c r="C109" i="25" s="1"/>
  <c r="F109" i="25"/>
  <c r="B110" i="25"/>
  <c r="C110" i="25"/>
  <c r="I110" i="25" s="1"/>
  <c r="F110" i="25"/>
  <c r="G110" i="25"/>
  <c r="B111" i="25"/>
  <c r="C111" i="25"/>
  <c r="F111" i="25"/>
  <c r="B112" i="25"/>
  <c r="C112" i="25"/>
  <c r="I112" i="25" s="1"/>
  <c r="F112" i="25"/>
  <c r="G112" i="25"/>
  <c r="B113" i="25"/>
  <c r="C113" i="25" s="1"/>
  <c r="I113" i="25" s="1"/>
  <c r="F113" i="25"/>
  <c r="G113" i="25"/>
  <c r="H113" i="25"/>
  <c r="J113" i="25"/>
  <c r="B114" i="25"/>
  <c r="C114" i="25"/>
  <c r="F114" i="25"/>
  <c r="G114" i="25"/>
  <c r="H114" i="25"/>
  <c r="I114" i="25"/>
  <c r="J114" i="25" s="1"/>
  <c r="B115" i="25"/>
  <c r="C115" i="25" s="1"/>
  <c r="G115" i="25" s="1"/>
  <c r="F115" i="25"/>
  <c r="H115" i="25"/>
  <c r="I115" i="25"/>
  <c r="J115" i="25" s="1"/>
  <c r="B116" i="25"/>
  <c r="C116" i="25"/>
  <c r="G116" i="25" s="1"/>
  <c r="F116" i="25"/>
  <c r="H116" i="25" s="1"/>
  <c r="I116" i="25"/>
  <c r="J116" i="25"/>
  <c r="B117" i="25"/>
  <c r="C117" i="25" s="1"/>
  <c r="F117" i="25"/>
  <c r="B118" i="25"/>
  <c r="C118" i="25"/>
  <c r="I118" i="25" s="1"/>
  <c r="F118" i="25"/>
  <c r="G118" i="25"/>
  <c r="B119" i="25"/>
  <c r="C119" i="25"/>
  <c r="F119" i="25"/>
  <c r="B120" i="25"/>
  <c r="C120" i="25"/>
  <c r="F120" i="25"/>
  <c r="G120" i="25"/>
  <c r="I120" i="25"/>
  <c r="B121" i="25"/>
  <c r="C121" i="25" s="1"/>
  <c r="I121" i="25" s="1"/>
  <c r="F121" i="25"/>
  <c r="B122" i="25"/>
  <c r="C122" i="25"/>
  <c r="F122" i="25"/>
  <c r="J122" i="25" s="1"/>
  <c r="G122" i="25"/>
  <c r="H122" i="25"/>
  <c r="I122" i="25"/>
  <c r="B123" i="25"/>
  <c r="C123" i="25" s="1"/>
  <c r="G123" i="25" s="1"/>
  <c r="F123" i="25"/>
  <c r="H123" i="25"/>
  <c r="I123" i="25"/>
  <c r="J123" i="25"/>
  <c r="B132" i="25"/>
  <c r="C132" i="25"/>
  <c r="E132" i="25"/>
  <c r="F132" i="25"/>
  <c r="G132" i="25"/>
  <c r="H132" i="25" s="1"/>
  <c r="L132" i="25" s="1"/>
  <c r="M132" i="25" s="1"/>
  <c r="J132" i="25"/>
  <c r="K132" i="25" s="1"/>
  <c r="B133" i="25"/>
  <c r="C133" i="25" s="1"/>
  <c r="J133" i="25" s="1"/>
  <c r="K133" i="25" s="1"/>
  <c r="E133" i="25"/>
  <c r="F133" i="25" s="1"/>
  <c r="G133" i="25"/>
  <c r="H133" i="25" s="1"/>
  <c r="L133" i="25" s="1"/>
  <c r="M133" i="25" s="1"/>
  <c r="B134" i="25"/>
  <c r="G134" i="25" s="1"/>
  <c r="C134" i="25"/>
  <c r="E134" i="25"/>
  <c r="F134" i="25"/>
  <c r="H134" i="25"/>
  <c r="L134" i="25" s="1"/>
  <c r="M134" i="25" s="1"/>
  <c r="J134" i="25"/>
  <c r="K134" i="25" s="1"/>
  <c r="B135" i="25"/>
  <c r="G135" i="25" s="1"/>
  <c r="H135" i="25" s="1"/>
  <c r="C135" i="25"/>
  <c r="E135" i="25"/>
  <c r="F135" i="25"/>
  <c r="J135" i="25"/>
  <c r="K135" i="25"/>
  <c r="B136" i="25"/>
  <c r="E136" i="25"/>
  <c r="F136" i="25" s="1"/>
  <c r="B137" i="25"/>
  <c r="G137" i="25" s="1"/>
  <c r="C137" i="25"/>
  <c r="E137" i="25"/>
  <c r="F137" i="25"/>
  <c r="H137" i="25" s="1"/>
  <c r="J137" i="25"/>
  <c r="K137" i="25"/>
  <c r="B138" i="25"/>
  <c r="E138" i="25"/>
  <c r="F138" i="25" s="1"/>
  <c r="B139" i="25"/>
  <c r="G139" i="25" s="1"/>
  <c r="C139" i="25"/>
  <c r="J139" i="25" s="1"/>
  <c r="K139" i="25" s="1"/>
  <c r="E139" i="25"/>
  <c r="F139" i="25"/>
  <c r="B140" i="25"/>
  <c r="C140" i="25" s="1"/>
  <c r="J140" i="25" s="1"/>
  <c r="K140" i="25" s="1"/>
  <c r="E140" i="25"/>
  <c r="F140" i="25" s="1"/>
  <c r="B141" i="25"/>
  <c r="C141" i="25"/>
  <c r="J141" i="25" s="1"/>
  <c r="K141" i="25" s="1"/>
  <c r="E141" i="25"/>
  <c r="F141" i="25" s="1"/>
  <c r="G141" i="25"/>
  <c r="H141" i="25" s="1"/>
  <c r="L141" i="25" s="1"/>
  <c r="M141" i="25" s="1"/>
  <c r="B142" i="25"/>
  <c r="C142" i="25"/>
  <c r="E142" i="25"/>
  <c r="F142" i="25"/>
  <c r="G142" i="25"/>
  <c r="J142" i="25"/>
  <c r="K142" i="25" s="1"/>
  <c r="B143" i="25"/>
  <c r="C143" i="25" s="1"/>
  <c r="J143" i="25" s="1"/>
  <c r="K143" i="25" s="1"/>
  <c r="E143" i="25"/>
  <c r="F143" i="25"/>
  <c r="H143" i="25" s="1"/>
  <c r="G143" i="25"/>
  <c r="B144" i="25"/>
  <c r="C144" i="25"/>
  <c r="E144" i="25"/>
  <c r="F144" i="25"/>
  <c r="G144" i="25"/>
  <c r="J144" i="25"/>
  <c r="K144" i="25" s="1"/>
  <c r="B145" i="25"/>
  <c r="C145" i="25" s="1"/>
  <c r="J145" i="25" s="1"/>
  <c r="E145" i="25"/>
  <c r="F145" i="25"/>
  <c r="G145" i="25"/>
  <c r="H145" i="25" s="1"/>
  <c r="L145" i="25" s="1"/>
  <c r="M145" i="25" s="1"/>
  <c r="K145" i="25"/>
  <c r="B146" i="25"/>
  <c r="C146" i="25"/>
  <c r="J146" i="25" s="1"/>
  <c r="K146" i="25" s="1"/>
  <c r="E146" i="25"/>
  <c r="F146" i="25"/>
  <c r="G146" i="25"/>
  <c r="H146" i="25"/>
  <c r="L146" i="25" s="1"/>
  <c r="M146" i="25" s="1"/>
  <c r="B147" i="25"/>
  <c r="C147" i="25"/>
  <c r="E147" i="25"/>
  <c r="F147" i="25"/>
  <c r="G147" i="25"/>
  <c r="J147" i="25"/>
  <c r="K147" i="25" s="1"/>
  <c r="B148" i="25"/>
  <c r="C148" i="25" s="1"/>
  <c r="E148" i="25"/>
  <c r="F148" i="25" s="1"/>
  <c r="G148" i="25"/>
  <c r="H148" i="25" s="1"/>
  <c r="L148" i="25" s="1"/>
  <c r="M148" i="25" s="1"/>
  <c r="J148" i="25"/>
  <c r="K148" i="25"/>
  <c r="B149" i="25"/>
  <c r="G149" i="25" s="1"/>
  <c r="H149" i="25" s="1"/>
  <c r="L149" i="25" s="1"/>
  <c r="M149" i="25" s="1"/>
  <c r="C149" i="25"/>
  <c r="E149" i="25"/>
  <c r="F149" i="25"/>
  <c r="J149" i="25"/>
  <c r="K149" i="25" s="1"/>
  <c r="B150" i="25"/>
  <c r="C150" i="25" s="1"/>
  <c r="J150" i="25" s="1"/>
  <c r="K150" i="25" s="1"/>
  <c r="E150" i="25"/>
  <c r="F150" i="25" s="1"/>
  <c r="B151" i="25"/>
  <c r="G151" i="25" s="1"/>
  <c r="H151" i="25" s="1"/>
  <c r="C151" i="25"/>
  <c r="E151" i="25"/>
  <c r="F151" i="25"/>
  <c r="J151" i="25"/>
  <c r="K151" i="25" s="1"/>
  <c r="B152" i="25"/>
  <c r="E152" i="25"/>
  <c r="F152" i="25" s="1"/>
  <c r="B153" i="25"/>
  <c r="E153" i="25"/>
  <c r="F153" i="25" s="1"/>
  <c r="B154" i="25"/>
  <c r="G154" i="25" s="1"/>
  <c r="C154" i="25"/>
  <c r="J154" i="25" s="1"/>
  <c r="K154" i="25" s="1"/>
  <c r="E154" i="25"/>
  <c r="F154" i="25"/>
  <c r="B155" i="25"/>
  <c r="C155" i="25"/>
  <c r="E155" i="25"/>
  <c r="F155" i="25" s="1"/>
  <c r="G155" i="25"/>
  <c r="B166" i="25"/>
  <c r="D166" i="25"/>
  <c r="J166" i="25"/>
  <c r="B167" i="25"/>
  <c r="D167" i="25"/>
  <c r="F167" i="25" s="1"/>
  <c r="H167" i="25"/>
  <c r="G167" i="25" s="1"/>
  <c r="K167" i="25" s="1"/>
  <c r="L167" i="25" s="1"/>
  <c r="J167" i="25"/>
  <c r="B168" i="25"/>
  <c r="D168" i="25"/>
  <c r="J168" i="25"/>
  <c r="B169" i="25"/>
  <c r="D169" i="25"/>
  <c r="F169" i="25" s="1"/>
  <c r="H169" i="25"/>
  <c r="G169" i="25" s="1"/>
  <c r="J169" i="25"/>
  <c r="B170" i="25"/>
  <c r="D170" i="25"/>
  <c r="H170" i="25" s="1"/>
  <c r="F170" i="25"/>
  <c r="G170" i="25"/>
  <c r="K170" i="25" s="1"/>
  <c r="L170" i="25" s="1"/>
  <c r="J170" i="25"/>
  <c r="B171" i="25"/>
  <c r="D171" i="25"/>
  <c r="J171" i="25"/>
  <c r="C8" i="3"/>
  <c r="C11" i="3" s="1"/>
  <c r="G9" i="3" s="1"/>
  <c r="C10" i="3"/>
  <c r="G8" i="3"/>
  <c r="G10" i="3"/>
  <c r="C93" i="3" s="1"/>
  <c r="C99" i="3" s="1"/>
  <c r="C100" i="3" s="1"/>
  <c r="C23" i="3"/>
  <c r="C34" i="3"/>
  <c r="D34" i="3" s="1"/>
  <c r="G34" i="3" s="1"/>
  <c r="B28" i="3"/>
  <c r="C28" i="3"/>
  <c r="E28" i="3"/>
  <c r="B29" i="3"/>
  <c r="C29" i="3"/>
  <c r="I29" i="3" s="1"/>
  <c r="E29" i="3"/>
  <c r="B30" i="3"/>
  <c r="C30" i="3"/>
  <c r="D30" i="3" s="1"/>
  <c r="G30" i="3" s="1"/>
  <c r="E30" i="3"/>
  <c r="B31" i="3"/>
  <c r="C31" i="3"/>
  <c r="D31" i="3" s="1"/>
  <c r="G31" i="3" s="1"/>
  <c r="E31" i="3"/>
  <c r="B32" i="3"/>
  <c r="C32" i="3"/>
  <c r="D32" i="3" s="1"/>
  <c r="G32" i="3" s="1"/>
  <c r="E32" i="3"/>
  <c r="B33" i="3"/>
  <c r="C33" i="3"/>
  <c r="I33" i="3" s="1"/>
  <c r="E33" i="3"/>
  <c r="B34" i="3"/>
  <c r="E34" i="3"/>
  <c r="B35" i="3"/>
  <c r="E35" i="3"/>
  <c r="F35" i="3" s="1"/>
  <c r="B36" i="3"/>
  <c r="D36" i="3"/>
  <c r="G36" i="3" s="1"/>
  <c r="E36" i="3"/>
  <c r="B37" i="3"/>
  <c r="C37" i="3"/>
  <c r="D37" i="3" s="1"/>
  <c r="G37" i="3" s="1"/>
  <c r="E37" i="3"/>
  <c r="B38" i="3"/>
  <c r="C38" i="3"/>
  <c r="I38" i="3" s="1"/>
  <c r="D38" i="3"/>
  <c r="G38" i="3"/>
  <c r="E38" i="3"/>
  <c r="B39" i="3"/>
  <c r="C39" i="3"/>
  <c r="D39" i="3"/>
  <c r="G39" i="3" s="1"/>
  <c r="E39" i="3"/>
  <c r="F39" i="3" s="1"/>
  <c r="B40" i="3"/>
  <c r="C40" i="3"/>
  <c r="I40" i="3" s="1"/>
  <c r="E40" i="3"/>
  <c r="B41" i="3"/>
  <c r="C41" i="3"/>
  <c r="D41" i="3" s="1"/>
  <c r="G41" i="3" s="1"/>
  <c r="E41" i="3"/>
  <c r="B42" i="3"/>
  <c r="E42" i="3"/>
  <c r="B43" i="3"/>
  <c r="E43" i="3"/>
  <c r="B44" i="3"/>
  <c r="C44" i="3"/>
  <c r="E44" i="3"/>
  <c r="B45" i="3"/>
  <c r="C45" i="3"/>
  <c r="D45" i="3" s="1"/>
  <c r="G45" i="3" s="1"/>
  <c r="E45" i="3"/>
  <c r="F45" i="3" s="1"/>
  <c r="B46" i="3"/>
  <c r="C46" i="3"/>
  <c r="D46" i="3"/>
  <c r="G46" i="3" s="1"/>
  <c r="H46" i="3" s="1"/>
  <c r="E46" i="3"/>
  <c r="B47" i="3"/>
  <c r="C47" i="3"/>
  <c r="I47" i="3" s="1"/>
  <c r="H47" i="3" s="1"/>
  <c r="D47" i="3"/>
  <c r="G47" i="3"/>
  <c r="E47" i="3"/>
  <c r="B48" i="3"/>
  <c r="C48" i="3"/>
  <c r="I48" i="3" s="1"/>
  <c r="E48" i="3"/>
  <c r="B49" i="3"/>
  <c r="C49" i="3"/>
  <c r="E49" i="3"/>
  <c r="B50" i="3"/>
  <c r="E50" i="3"/>
  <c r="B51" i="3"/>
  <c r="D51" i="3"/>
  <c r="G51" i="3" s="1"/>
  <c r="E51" i="3"/>
  <c r="I51" i="3"/>
  <c r="B52" i="3"/>
  <c r="D52" i="3"/>
  <c r="G52" i="3" s="1"/>
  <c r="E52" i="3"/>
  <c r="I52" i="3"/>
  <c r="B53" i="3"/>
  <c r="D53" i="3"/>
  <c r="G53" i="3" s="1"/>
  <c r="E53" i="3"/>
  <c r="I53" i="3"/>
  <c r="B54" i="3"/>
  <c r="D54" i="3"/>
  <c r="G54" i="3" s="1"/>
  <c r="E54" i="3"/>
  <c r="I54" i="3"/>
  <c r="C61" i="3"/>
  <c r="C77" i="3"/>
  <c r="C85" i="3"/>
  <c r="C87" i="3"/>
  <c r="F87" i="3"/>
  <c r="C97" i="3"/>
  <c r="C120" i="3"/>
  <c r="I129" i="3"/>
  <c r="F132" i="3"/>
  <c r="I130" i="3"/>
  <c r="C8" i="17"/>
  <c r="C18" i="17"/>
  <c r="C20" i="17"/>
  <c r="C12" i="2"/>
  <c r="C19" i="2"/>
  <c r="C21" i="2"/>
  <c r="C22" i="2" s="1"/>
  <c r="C26" i="2"/>
  <c r="C28" i="2"/>
  <c r="C39" i="2"/>
  <c r="C48" i="2"/>
  <c r="C61" i="2"/>
  <c r="C73" i="2"/>
  <c r="C84" i="2"/>
  <c r="C85" i="2"/>
  <c r="C90" i="2"/>
  <c r="C91" i="2"/>
  <c r="C93" i="2"/>
  <c r="E7" i="24"/>
  <c r="H7" i="24"/>
  <c r="I7" i="24" s="1"/>
  <c r="J7" i="24"/>
  <c r="G8" i="24"/>
  <c r="H8" i="24"/>
  <c r="G9" i="24"/>
  <c r="I9" i="24" s="1"/>
  <c r="H9" i="24"/>
  <c r="J9" i="24"/>
  <c r="G10" i="24"/>
  <c r="H10" i="24"/>
  <c r="G11" i="24"/>
  <c r="I11" i="24" s="1"/>
  <c r="J11" i="24" s="1"/>
  <c r="H11" i="24"/>
  <c r="G12" i="24"/>
  <c r="H12" i="24"/>
  <c r="G13" i="24"/>
  <c r="I13" i="24" s="1"/>
  <c r="H13" i="24"/>
  <c r="J13" i="24"/>
  <c r="G14" i="24"/>
  <c r="I14" i="24" s="1"/>
  <c r="J14" i="24" s="1"/>
  <c r="H14" i="24"/>
  <c r="G15" i="24"/>
  <c r="I15" i="24" s="1"/>
  <c r="H15" i="24"/>
  <c r="J15" i="24"/>
  <c r="G16" i="24"/>
  <c r="H16" i="24"/>
  <c r="H17" i="24"/>
  <c r="I17" i="24"/>
  <c r="J17" i="24" s="1"/>
  <c r="G18" i="24"/>
  <c r="H18" i="24"/>
  <c r="I18" i="24"/>
  <c r="J18" i="24" s="1"/>
  <c r="G19" i="24"/>
  <c r="I19" i="24" s="1"/>
  <c r="J19" i="24" s="1"/>
  <c r="H19" i="24"/>
  <c r="G20" i="24"/>
  <c r="I20" i="24" s="1"/>
  <c r="J20" i="24" s="1"/>
  <c r="H20" i="24"/>
  <c r="J21" i="24"/>
  <c r="B28" i="24"/>
  <c r="C28" i="24"/>
  <c r="E28" i="24"/>
  <c r="B29" i="24"/>
  <c r="C29" i="24"/>
  <c r="E29" i="24"/>
  <c r="B30" i="24"/>
  <c r="C30" i="24"/>
  <c r="E30" i="24"/>
  <c r="B31" i="24"/>
  <c r="C31" i="24" s="1"/>
  <c r="E31" i="24"/>
  <c r="B32" i="24"/>
  <c r="C32" i="24"/>
  <c r="E32" i="24"/>
  <c r="B33" i="24"/>
  <c r="C33" i="24" s="1"/>
  <c r="E33" i="24"/>
  <c r="C34" i="24"/>
  <c r="E34" i="24"/>
  <c r="C35" i="24"/>
  <c r="E35" i="24"/>
  <c r="E37" i="24"/>
  <c r="B49" i="24"/>
  <c r="E49" i="24"/>
  <c r="G49" i="24"/>
  <c r="H49" i="24" s="1"/>
  <c r="I49" i="24"/>
  <c r="J49" i="24"/>
  <c r="B50" i="24"/>
  <c r="I50" i="24" s="1"/>
  <c r="E50" i="24"/>
  <c r="G50" i="24"/>
  <c r="H50" i="24" s="1"/>
  <c r="J50" i="24" s="1"/>
  <c r="B51" i="24"/>
  <c r="E51" i="24"/>
  <c r="G51" i="24"/>
  <c r="H51" i="24" s="1"/>
  <c r="J51" i="24" s="1"/>
  <c r="I51" i="24"/>
  <c r="B52" i="24"/>
  <c r="E52" i="24"/>
  <c r="G52" i="24"/>
  <c r="H52" i="24"/>
  <c r="J52" i="24" s="1"/>
  <c r="I52" i="24"/>
  <c r="B53" i="24"/>
  <c r="E53" i="24"/>
  <c r="G53" i="24"/>
  <c r="H53" i="24" s="1"/>
  <c r="I53" i="24"/>
  <c r="J53" i="24"/>
  <c r="B54" i="24"/>
  <c r="I54" i="24" s="1"/>
  <c r="E54" i="24"/>
  <c r="G54" i="24"/>
  <c r="H54" i="24" s="1"/>
  <c r="J54" i="24" s="1"/>
  <c r="B55" i="24"/>
  <c r="E55" i="24"/>
  <c r="G55" i="24"/>
  <c r="H55" i="24" s="1"/>
  <c r="J55" i="24" s="1"/>
  <c r="I55" i="24"/>
  <c r="B56" i="24"/>
  <c r="E56" i="24"/>
  <c r="G56" i="24"/>
  <c r="H56" i="24" s="1"/>
  <c r="J56" i="24" s="1"/>
  <c r="I56" i="24"/>
  <c r="B57" i="24"/>
  <c r="E57" i="24"/>
  <c r="G57" i="24"/>
  <c r="H57" i="24" s="1"/>
  <c r="I57" i="24"/>
  <c r="J57" i="24"/>
  <c r="B58" i="24"/>
  <c r="I58" i="24" s="1"/>
  <c r="E58" i="24"/>
  <c r="H58" i="24"/>
  <c r="J58" i="24" s="1"/>
  <c r="J60" i="24"/>
  <c r="G69" i="24"/>
  <c r="I69" i="24"/>
  <c r="K69" i="24"/>
  <c r="M69" i="24"/>
  <c r="G70" i="24"/>
  <c r="I70" i="24" s="1"/>
  <c r="K70" i="24" s="1"/>
  <c r="M70" i="24"/>
  <c r="G71" i="24"/>
  <c r="I71" i="24"/>
  <c r="K71" i="24"/>
  <c r="M71" i="24"/>
  <c r="G72" i="24"/>
  <c r="I72" i="24" s="1"/>
  <c r="K72" i="24" s="1"/>
  <c r="M72" i="24"/>
  <c r="G73" i="24"/>
  <c r="I73" i="24" s="1"/>
  <c r="K73" i="24" s="1"/>
  <c r="M73" i="24"/>
  <c r="G74" i="24"/>
  <c r="I74" i="24" s="1"/>
  <c r="K74" i="24" s="1"/>
  <c r="M74" i="24"/>
  <c r="G75" i="24"/>
  <c r="I75" i="24"/>
  <c r="K75" i="24"/>
  <c r="M75" i="24"/>
  <c r="G76" i="24"/>
  <c r="I76" i="24" s="1"/>
  <c r="K76" i="24" s="1"/>
  <c r="M76" i="24"/>
  <c r="G77" i="24"/>
  <c r="I77" i="24"/>
  <c r="K77" i="24"/>
  <c r="M77" i="24"/>
  <c r="G78" i="24"/>
  <c r="I78" i="24" s="1"/>
  <c r="K78" i="24" s="1"/>
  <c r="M78" i="24"/>
  <c r="D86" i="24"/>
  <c r="D87" i="24"/>
  <c r="D88" i="24"/>
  <c r="D89" i="24"/>
  <c r="D90" i="24"/>
  <c r="D91" i="24"/>
  <c r="D92" i="24"/>
  <c r="D93" i="24"/>
  <c r="D94" i="24"/>
  <c r="D95" i="24"/>
  <c r="D96" i="24"/>
  <c r="D97" i="24"/>
  <c r="D98" i="24"/>
  <c r="B17" i="22"/>
  <c r="I34" i="3"/>
  <c r="H34" i="3" s="1"/>
  <c r="C50" i="3"/>
  <c r="C43" i="3"/>
  <c r="D43" i="3" s="1"/>
  <c r="G43" i="3" s="1"/>
  <c r="C42" i="3"/>
  <c r="C35" i="3"/>
  <c r="D35" i="3"/>
  <c r="G35" i="3"/>
  <c r="H35" i="3" s="1"/>
  <c r="I30" i="3"/>
  <c r="H30" i="3" s="1"/>
  <c r="I41" i="3"/>
  <c r="I39" i="3"/>
  <c r="D50" i="3"/>
  <c r="G50" i="3"/>
  <c r="I50" i="3"/>
  <c r="E44" i="29"/>
  <c r="F44" i="29" s="1"/>
  <c r="E32" i="29"/>
  <c r="F32" i="29" s="1"/>
  <c r="G32" i="29" s="1"/>
  <c r="C23" i="29"/>
  <c r="E23" i="29" s="1"/>
  <c r="F23" i="29" s="1"/>
  <c r="G23" i="29" s="1"/>
  <c r="E25" i="29"/>
  <c r="F25" i="29" s="1"/>
  <c r="E27" i="29"/>
  <c r="F27" i="29" s="1"/>
  <c r="G27" i="29" s="1"/>
  <c r="C43" i="2"/>
  <c r="C44" i="2" s="1"/>
  <c r="C45" i="2" s="1"/>
  <c r="C70" i="2" s="1"/>
  <c r="E33" i="29"/>
  <c r="F33" i="29" s="1"/>
  <c r="G33" i="29" s="1"/>
  <c r="I35" i="3"/>
  <c r="I46" i="3"/>
  <c r="E28" i="29"/>
  <c r="F28" i="29" s="1"/>
  <c r="G28" i="29" s="1"/>
  <c r="E29" i="29"/>
  <c r="F29" i="29" s="1"/>
  <c r="G29" i="29" s="1"/>
  <c r="E30" i="29"/>
  <c r="F30" i="29" s="1"/>
  <c r="G30" i="29" s="1"/>
  <c r="E34" i="29"/>
  <c r="F34" i="29" s="1"/>
  <c r="G34" i="29" s="1"/>
  <c r="C19" i="29"/>
  <c r="C20" i="29"/>
  <c r="C18" i="29"/>
  <c r="E31" i="29"/>
  <c r="F31" i="29" s="1"/>
  <c r="G31" i="29" s="1"/>
  <c r="E36" i="29"/>
  <c r="F36" i="29" s="1"/>
  <c r="G36" i="29" s="1"/>
  <c r="E26" i="29"/>
  <c r="F26" i="29" s="1"/>
  <c r="G26" i="29" s="1"/>
  <c r="F28" i="3"/>
  <c r="F43" i="3"/>
  <c r="F37" i="3"/>
  <c r="C58" i="3"/>
  <c r="J45" i="3" l="1"/>
  <c r="J38" i="3"/>
  <c r="J41" i="3"/>
  <c r="J33" i="3"/>
  <c r="J46" i="3"/>
  <c r="J35" i="3"/>
  <c r="J36" i="3"/>
  <c r="J42" i="3"/>
  <c r="J51" i="3"/>
  <c r="J47" i="3"/>
  <c r="J37" i="3"/>
  <c r="J28" i="3"/>
  <c r="J49" i="3"/>
  <c r="J31" i="3"/>
  <c r="J39" i="3"/>
  <c r="J50" i="3"/>
  <c r="J43" i="3"/>
  <c r="J40" i="3"/>
  <c r="J54" i="3"/>
  <c r="J30" i="3"/>
  <c r="J32" i="3"/>
  <c r="J53" i="3"/>
  <c r="J48" i="3"/>
  <c r="J52" i="3"/>
  <c r="J44" i="3"/>
  <c r="J34" i="3"/>
  <c r="J29" i="3"/>
  <c r="G136" i="25"/>
  <c r="H136" i="25" s="1"/>
  <c r="C136" i="25"/>
  <c r="J136" i="25" s="1"/>
  <c r="K136" i="25" s="1"/>
  <c r="I119" i="25"/>
  <c r="J119" i="25" s="1"/>
  <c r="G119" i="25"/>
  <c r="I16" i="24"/>
  <c r="J16" i="24" s="1"/>
  <c r="N70" i="25"/>
  <c r="O70" i="25" s="1"/>
  <c r="I10" i="24"/>
  <c r="J10" i="24" s="1"/>
  <c r="H54" i="3"/>
  <c r="F168" i="25"/>
  <c r="H168" i="25"/>
  <c r="G168" i="25" s="1"/>
  <c r="K168" i="25" s="1"/>
  <c r="L168" i="25" s="1"/>
  <c r="L151" i="25"/>
  <c r="M151" i="25" s="1"/>
  <c r="H139" i="25"/>
  <c r="L139" i="25" s="1"/>
  <c r="M139" i="25" s="1"/>
  <c r="L137" i="25"/>
  <c r="M137" i="25" s="1"/>
  <c r="J120" i="25"/>
  <c r="H120" i="25"/>
  <c r="H118" i="25"/>
  <c r="L96" i="25"/>
  <c r="C81" i="2"/>
  <c r="C86" i="2" s="1"/>
  <c r="C87" i="2" s="1"/>
  <c r="C94" i="2" s="1"/>
  <c r="C52" i="2"/>
  <c r="H155" i="25"/>
  <c r="L155" i="25" s="1"/>
  <c r="M155" i="25" s="1"/>
  <c r="G117" i="25"/>
  <c r="I117" i="25"/>
  <c r="I8" i="24"/>
  <c r="J8" i="24" s="1"/>
  <c r="G153" i="25"/>
  <c r="H153" i="25" s="1"/>
  <c r="C153" i="25"/>
  <c r="J153" i="25" s="1"/>
  <c r="K153" i="25" s="1"/>
  <c r="L93" i="25"/>
  <c r="D49" i="3"/>
  <c r="G49" i="3" s="1"/>
  <c r="I49" i="3"/>
  <c r="G140" i="25"/>
  <c r="J121" i="25"/>
  <c r="J111" i="25"/>
  <c r="E69" i="25"/>
  <c r="H117" i="25"/>
  <c r="K169" i="25"/>
  <c r="L169" i="25" s="1"/>
  <c r="J112" i="25"/>
  <c r="H112" i="25"/>
  <c r="H38" i="3"/>
  <c r="H50" i="3"/>
  <c r="I42" i="3"/>
  <c r="D42" i="3"/>
  <c r="G42" i="3" s="1"/>
  <c r="I12" i="24"/>
  <c r="J12" i="24" s="1"/>
  <c r="C21" i="17"/>
  <c r="H53" i="3"/>
  <c r="F48" i="3"/>
  <c r="F50" i="3"/>
  <c r="F53" i="3"/>
  <c r="G152" i="25"/>
  <c r="H152" i="25" s="1"/>
  <c r="L152" i="25" s="1"/>
  <c r="M152" i="25" s="1"/>
  <c r="C152" i="25"/>
  <c r="J152" i="25" s="1"/>
  <c r="K152" i="25" s="1"/>
  <c r="L143" i="25"/>
  <c r="M143" i="25" s="1"/>
  <c r="H140" i="25"/>
  <c r="L140" i="25" s="1"/>
  <c r="M140" i="25" s="1"/>
  <c r="L135" i="25"/>
  <c r="M135" i="25" s="1"/>
  <c r="I111" i="25"/>
  <c r="G111" i="25"/>
  <c r="H111" i="25" s="1"/>
  <c r="G109" i="25"/>
  <c r="H109" i="25" s="1"/>
  <c r="I109" i="25"/>
  <c r="J109" i="25" s="1"/>
  <c r="L98" i="25"/>
  <c r="H92" i="25"/>
  <c r="H100" i="25" s="1"/>
  <c r="L90" i="25"/>
  <c r="N76" i="25"/>
  <c r="O76" i="25" s="1"/>
  <c r="H76" i="25"/>
  <c r="N69" i="25"/>
  <c r="O69" i="25" s="1"/>
  <c r="H110" i="25"/>
  <c r="J155" i="25"/>
  <c r="K155" i="25" s="1"/>
  <c r="N68" i="25"/>
  <c r="O68" i="25" s="1"/>
  <c r="O77" i="25" s="1"/>
  <c r="C46" i="2"/>
  <c r="I32" i="3"/>
  <c r="H32" i="3" s="1"/>
  <c r="C50" i="2"/>
  <c r="C71" i="2" s="1"/>
  <c r="D44" i="3"/>
  <c r="G44" i="3" s="1"/>
  <c r="I44" i="3"/>
  <c r="H44" i="3" s="1"/>
  <c r="D33" i="3"/>
  <c r="G33" i="3" s="1"/>
  <c r="H33" i="3" s="1"/>
  <c r="I28" i="3"/>
  <c r="H28" i="3" s="1"/>
  <c r="D28" i="3"/>
  <c r="G28" i="3" s="1"/>
  <c r="H154" i="25"/>
  <c r="L154" i="25" s="1"/>
  <c r="M154" i="25" s="1"/>
  <c r="G150" i="25"/>
  <c r="H150" i="25" s="1"/>
  <c r="L150" i="25" s="1"/>
  <c r="M150" i="25" s="1"/>
  <c r="H147" i="25"/>
  <c r="L147" i="25" s="1"/>
  <c r="M147" i="25" s="1"/>
  <c r="G138" i="25"/>
  <c r="H138" i="25" s="1"/>
  <c r="C138" i="25"/>
  <c r="J138" i="25" s="1"/>
  <c r="K138" i="25" s="1"/>
  <c r="K156" i="25" s="1"/>
  <c r="G121" i="25"/>
  <c r="H121" i="25" s="1"/>
  <c r="H119" i="25"/>
  <c r="J117" i="25"/>
  <c r="L97" i="25"/>
  <c r="H95" i="25"/>
  <c r="L89" i="25"/>
  <c r="L86" i="25"/>
  <c r="L100" i="25" s="1"/>
  <c r="H144" i="25"/>
  <c r="L144" i="25" s="1"/>
  <c r="M144" i="25" s="1"/>
  <c r="H142" i="25"/>
  <c r="L142" i="25" s="1"/>
  <c r="M142" i="25" s="1"/>
  <c r="N72" i="25"/>
  <c r="O72" i="25" s="1"/>
  <c r="J118" i="25"/>
  <c r="J110" i="25"/>
  <c r="H39" i="3"/>
  <c r="H51" i="3"/>
  <c r="H41" i="3"/>
  <c r="H52" i="3"/>
  <c r="L171" i="25"/>
  <c r="H36" i="3"/>
  <c r="F30" i="3"/>
  <c r="F47" i="3"/>
  <c r="F49" i="3"/>
  <c r="F46" i="3"/>
  <c r="F36" i="3"/>
  <c r="I31" i="3"/>
  <c r="H31" i="3" s="1"/>
  <c r="F41" i="3"/>
  <c r="F54" i="3"/>
  <c r="F44" i="3"/>
  <c r="F34" i="3"/>
  <c r="I37" i="3"/>
  <c r="H37" i="3" s="1"/>
  <c r="C95" i="3"/>
  <c r="C111" i="3" s="1"/>
  <c r="C94" i="3"/>
  <c r="C110" i="3" s="1"/>
  <c r="I43" i="3"/>
  <c r="H43" i="3" s="1"/>
  <c r="D48" i="3"/>
  <c r="G48" i="3" s="1"/>
  <c r="H48" i="3" s="1"/>
  <c r="D40" i="3"/>
  <c r="G40" i="3" s="1"/>
  <c r="H40" i="3" s="1"/>
  <c r="F33" i="3"/>
  <c r="F51" i="3"/>
  <c r="F31" i="3"/>
  <c r="F52" i="3"/>
  <c r="F42" i="3"/>
  <c r="I45" i="3"/>
  <c r="H45" i="3" s="1"/>
  <c r="D29" i="3"/>
  <c r="G29" i="3" s="1"/>
  <c r="H29" i="3" s="1"/>
  <c r="F38" i="3"/>
  <c r="F32" i="3"/>
  <c r="F29" i="3"/>
  <c r="F40" i="3"/>
  <c r="E18" i="29"/>
  <c r="F24" i="29"/>
  <c r="G24" i="29" s="1"/>
  <c r="K46" i="3" l="1"/>
  <c r="K32" i="3"/>
  <c r="K30" i="3"/>
  <c r="K38" i="3"/>
  <c r="K47" i="3"/>
  <c r="K31" i="3"/>
  <c r="K35" i="3"/>
  <c r="K41" i="3"/>
  <c r="K39" i="3"/>
  <c r="K43" i="3"/>
  <c r="K42" i="3"/>
  <c r="K28" i="3"/>
  <c r="K33" i="3"/>
  <c r="K34" i="3"/>
  <c r="K37" i="3"/>
  <c r="K54" i="3"/>
  <c r="K45" i="3"/>
  <c r="K52" i="3"/>
  <c r="K49" i="3"/>
  <c r="K48" i="3"/>
  <c r="K50" i="3"/>
  <c r="K36" i="3"/>
  <c r="K29" i="3"/>
  <c r="K44" i="3"/>
  <c r="K51" i="3"/>
  <c r="K40" i="3"/>
  <c r="K53" i="3"/>
  <c r="H124" i="25"/>
  <c r="L40" i="3"/>
  <c r="M53" i="3"/>
  <c r="L53" i="3" s="1"/>
  <c r="M48" i="3"/>
  <c r="L48" i="3" s="1"/>
  <c r="M41" i="3"/>
  <c r="C53" i="2"/>
  <c r="C59" i="3" s="1"/>
  <c r="C62" i="3" s="1"/>
  <c r="C63" i="3" s="1"/>
  <c r="C64" i="3" s="1"/>
  <c r="C65" i="3" s="1"/>
  <c r="M50" i="3"/>
  <c r="L50" i="3" s="1"/>
  <c r="M30" i="3"/>
  <c r="M28" i="3"/>
  <c r="L28" i="3" s="1"/>
  <c r="M45" i="3"/>
  <c r="L45" i="3" s="1"/>
  <c r="M33" i="3"/>
  <c r="M35" i="3"/>
  <c r="L35" i="3" s="1"/>
  <c r="M49" i="3"/>
  <c r="M47" i="3"/>
  <c r="M36" i="3"/>
  <c r="M44" i="3"/>
  <c r="M52" i="3"/>
  <c r="L52" i="3" s="1"/>
  <c r="M43" i="3"/>
  <c r="L43" i="3" s="1"/>
  <c r="M42" i="3"/>
  <c r="L42" i="3" s="1"/>
  <c r="M38" i="3"/>
  <c r="M34" i="3"/>
  <c r="M32" i="3"/>
  <c r="M46" i="3"/>
  <c r="M40" i="3"/>
  <c r="M51" i="3"/>
  <c r="M39" i="3"/>
  <c r="L39" i="3" s="1"/>
  <c r="M29" i="3"/>
  <c r="L29" i="3" s="1"/>
  <c r="M31" i="3"/>
  <c r="L31" i="3" s="1"/>
  <c r="M37" i="3"/>
  <c r="L37" i="3" s="1"/>
  <c r="M54" i="3"/>
  <c r="L32" i="3"/>
  <c r="L153" i="25"/>
  <c r="M153" i="25" s="1"/>
  <c r="L34" i="3"/>
  <c r="L30" i="3"/>
  <c r="L38" i="3"/>
  <c r="L46" i="3"/>
  <c r="H49" i="3"/>
  <c r="L51" i="3"/>
  <c r="J124" i="25"/>
  <c r="L33" i="3"/>
  <c r="L54" i="3"/>
  <c r="L136" i="25"/>
  <c r="M136" i="25" s="1"/>
  <c r="L49" i="3"/>
  <c r="L47" i="3"/>
  <c r="H42" i="3"/>
  <c r="L44" i="3"/>
  <c r="L138" i="25"/>
  <c r="M138" i="25" s="1"/>
  <c r="L41" i="3"/>
  <c r="L36" i="3"/>
  <c r="C112" i="3"/>
  <c r="C113" i="3" s="1"/>
  <c r="E50" i="29" s="1"/>
  <c r="F50" i="29" s="1"/>
  <c r="G50" i="29" s="1"/>
  <c r="E19" i="29"/>
  <c r="F19" i="29" s="1"/>
  <c r="G19" i="29" s="1"/>
  <c r="E20" i="29"/>
  <c r="F20" i="29" s="1"/>
  <c r="G20" i="29" s="1"/>
  <c r="F18" i="29"/>
  <c r="G18" i="29" s="1"/>
  <c r="C66" i="3" l="1"/>
  <c r="C67" i="3" s="1"/>
  <c r="C68" i="3"/>
  <c r="C69" i="3" s="1"/>
  <c r="C70" i="3" s="1"/>
  <c r="C71" i="3" s="1"/>
  <c r="C72" i="3" s="1"/>
  <c r="C73" i="3" s="1"/>
  <c r="C74" i="3" s="1"/>
  <c r="C75" i="3" s="1"/>
  <c r="M156" i="25"/>
  <c r="E41" i="29"/>
  <c r="E42" i="29" s="1"/>
  <c r="F42" i="29" s="1"/>
  <c r="G42" i="29" s="1"/>
  <c r="E46" i="29" l="1"/>
  <c r="F46" i="29" s="1"/>
  <c r="G46" i="29" s="1"/>
  <c r="F41" i="29"/>
  <c r="G41" i="29" s="1"/>
  <c r="E47" i="29" l="1"/>
  <c r="F47" i="29" s="1"/>
  <c r="G47" i="29" s="1"/>
  <c r="E51" i="29"/>
  <c r="E52" i="29" l="1"/>
  <c r="F52" i="29" s="1"/>
  <c r="D3" i="29"/>
  <c r="F51" i="29"/>
  <c r="G51" i="29" s="1"/>
  <c r="C117" i="3"/>
  <c r="C126" i="3" s="1"/>
  <c r="C135" i="3" l="1"/>
  <c r="C136" i="3"/>
  <c r="C129" i="3"/>
  <c r="C127" i="3"/>
  <c r="C146" i="3" s="1"/>
  <c r="C128" i="3"/>
  <c r="C143" i="3"/>
  <c r="C131" i="3"/>
  <c r="C130" i="3"/>
  <c r="C132" i="3" l="1"/>
  <c r="C138" i="3"/>
  <c r="C141" i="3"/>
  <c r="F146" i="3"/>
  <c r="C133" i="3" l="1"/>
  <c r="C13" i="3"/>
  <c r="C14" i="3" s="1"/>
  <c r="E147" i="3"/>
  <c r="E148" i="3" s="1"/>
</calcChain>
</file>

<file path=xl/sharedStrings.xml><?xml version="1.0" encoding="utf-8"?>
<sst xmlns="http://schemas.openxmlformats.org/spreadsheetml/2006/main" count="1102" uniqueCount="745">
  <si>
    <t>a</t>
  </si>
  <si>
    <t>m</t>
  </si>
  <si>
    <t>m/s</t>
  </si>
  <si>
    <t>kt / m/s</t>
  </si>
  <si>
    <t>kt</t>
  </si>
  <si>
    <t>kg/m³</t>
  </si>
  <si>
    <t>kg/m²</t>
  </si>
  <si>
    <t>m³/kg</t>
  </si>
  <si>
    <t>A</t>
  </si>
  <si>
    <t>Parameter</t>
  </si>
  <si>
    <r>
      <t>C</t>
    </r>
    <r>
      <rPr>
        <vertAlign val="subscript"/>
        <sz val="10"/>
        <rFont val="Arial"/>
        <family val="2"/>
      </rPr>
      <t>L</t>
    </r>
  </si>
  <si>
    <t>g</t>
  </si>
  <si>
    <t>m/s²</t>
  </si>
  <si>
    <t>Pa</t>
  </si>
  <si>
    <t>h [km]</t>
  </si>
  <si>
    <t>h [ft]</t>
  </si>
  <si>
    <t>p(h) [Pa]</t>
  </si>
  <si>
    <t>K</t>
  </si>
  <si>
    <t>R</t>
  </si>
  <si>
    <t>FAR Part 121</t>
  </si>
  <si>
    <t>domestic</t>
  </si>
  <si>
    <t>s</t>
  </si>
  <si>
    <t>Phase</t>
  </si>
  <si>
    <t>taxi</t>
  </si>
  <si>
    <t>take-off</t>
  </si>
  <si>
    <t>climb</t>
  </si>
  <si>
    <t>descent</t>
  </si>
  <si>
    <t>landing</t>
  </si>
  <si>
    <t>kg</t>
  </si>
  <si>
    <t>m²</t>
  </si>
  <si>
    <t>lb</t>
  </si>
  <si>
    <t>m³</t>
  </si>
  <si>
    <t>check:</t>
  </si>
  <si>
    <t>&gt;</t>
  </si>
  <si>
    <r>
      <t>C</t>
    </r>
    <r>
      <rPr>
        <vertAlign val="subscript"/>
        <sz val="10"/>
        <rFont val="Arial"/>
        <family val="2"/>
      </rPr>
      <t>D,0</t>
    </r>
  </si>
  <si>
    <r>
      <t>p</t>
    </r>
    <r>
      <rPr>
        <vertAlign val="subscript"/>
        <sz val="10"/>
        <rFont val="Arial"/>
        <family val="2"/>
      </rPr>
      <t>0</t>
    </r>
  </si>
  <si>
    <r>
      <t>k</t>
    </r>
    <r>
      <rPr>
        <vertAlign val="subscript"/>
        <sz val="10"/>
        <rFont val="Arial"/>
        <family val="2"/>
      </rPr>
      <t>APP</t>
    </r>
  </si>
  <si>
    <r>
      <t>s</t>
    </r>
    <r>
      <rPr>
        <vertAlign val="subscript"/>
        <sz val="10"/>
        <rFont val="Arial"/>
        <family val="2"/>
      </rPr>
      <t>LFL</t>
    </r>
  </si>
  <si>
    <r>
      <t>V</t>
    </r>
    <r>
      <rPr>
        <vertAlign val="subscript"/>
        <sz val="10"/>
        <rFont val="Arial"/>
        <family val="2"/>
      </rPr>
      <t>APP</t>
    </r>
  </si>
  <si>
    <t>m/s -&gt; kt</t>
  </si>
  <si>
    <r>
      <t>k</t>
    </r>
    <r>
      <rPr>
        <vertAlign val="subscript"/>
        <sz val="10"/>
        <rFont val="Arial"/>
        <family val="2"/>
      </rPr>
      <t>L</t>
    </r>
  </si>
  <si>
    <r>
      <t>C</t>
    </r>
    <r>
      <rPr>
        <vertAlign val="subscript"/>
        <sz val="10"/>
        <rFont val="Arial"/>
        <family val="2"/>
      </rPr>
      <t>L,max,TO</t>
    </r>
  </si>
  <si>
    <r>
      <t>s</t>
    </r>
    <r>
      <rPr>
        <vertAlign val="subscript"/>
        <sz val="10"/>
        <rFont val="Arial"/>
        <family val="2"/>
      </rPr>
      <t>TOFL</t>
    </r>
  </si>
  <si>
    <r>
      <t>n</t>
    </r>
    <r>
      <rPr>
        <vertAlign val="subscript"/>
        <sz val="10"/>
        <rFont val="Arial"/>
        <family val="2"/>
      </rPr>
      <t>E</t>
    </r>
  </si>
  <si>
    <r>
      <t>C</t>
    </r>
    <r>
      <rPr>
        <vertAlign val="subscript"/>
        <sz val="10"/>
        <rFont val="Arial"/>
        <family val="2"/>
      </rPr>
      <t>D,P</t>
    </r>
  </si>
  <si>
    <r>
      <t>sin(</t>
    </r>
    <r>
      <rPr>
        <sz val="10"/>
        <rFont val="Symbol"/>
        <family val="1"/>
        <charset val="2"/>
      </rPr>
      <t>g</t>
    </r>
    <r>
      <rPr>
        <sz val="10"/>
        <rFont val="Arial"/>
        <family val="2"/>
      </rPr>
      <t>)</t>
    </r>
  </si>
  <si>
    <r>
      <t>V</t>
    </r>
    <r>
      <rPr>
        <vertAlign val="subscript"/>
        <sz val="10"/>
        <rFont val="Arial"/>
        <family val="2"/>
      </rPr>
      <t>CR</t>
    </r>
  </si>
  <si>
    <r>
      <t>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</si>
  <si>
    <r>
      <t>s</t>
    </r>
    <r>
      <rPr>
        <vertAlign val="subscript"/>
        <sz val="10"/>
        <rFont val="Arial"/>
        <family val="2"/>
      </rPr>
      <t>to_alternate</t>
    </r>
  </si>
  <si>
    <r>
      <t>s</t>
    </r>
    <r>
      <rPr>
        <vertAlign val="subscript"/>
        <sz val="10"/>
        <rFont val="Arial"/>
        <family val="2"/>
      </rPr>
      <t>res</t>
    </r>
  </si>
  <si>
    <r>
      <t xml:space="preserve">m </t>
    </r>
    <r>
      <rPr>
        <vertAlign val="subscript"/>
        <sz val="10"/>
        <rFont val="Arial"/>
        <family val="2"/>
      </rPr>
      <t>ML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</si>
  <si>
    <r>
      <t xml:space="preserve">m </t>
    </r>
    <r>
      <rPr>
        <vertAlign val="subscript"/>
        <sz val="10"/>
        <rFont val="Arial"/>
        <family val="2"/>
      </rPr>
      <t>ML</t>
    </r>
    <r>
      <rPr>
        <sz val="10"/>
        <rFont val="Arial"/>
        <family val="2"/>
      </rPr>
      <t xml:space="preserve"> / m </t>
    </r>
    <r>
      <rPr>
        <vertAlign val="subscript"/>
        <sz val="10"/>
        <rFont val="Arial"/>
        <family val="2"/>
      </rPr>
      <t>TO</t>
    </r>
  </si>
  <si>
    <r>
      <t xml:space="preserve">m 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</si>
  <si>
    <r>
      <t>0,8 * C</t>
    </r>
    <r>
      <rPr>
        <vertAlign val="subscript"/>
        <sz val="10"/>
        <rFont val="Arial"/>
        <family val="2"/>
      </rPr>
      <t>L,max,L</t>
    </r>
  </si>
  <si>
    <r>
      <t>C</t>
    </r>
    <r>
      <rPr>
        <vertAlign val="subscript"/>
        <sz val="10"/>
        <rFont val="Arial"/>
        <family val="2"/>
      </rPr>
      <t>L,TO</t>
    </r>
  </si>
  <si>
    <r>
      <t>D</t>
    </r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D,flap</t>
    </r>
  </si>
  <si>
    <r>
      <t>D</t>
    </r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D,slat</t>
    </r>
  </si>
  <si>
    <r>
      <t>D</t>
    </r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D,gear</t>
    </r>
  </si>
  <si>
    <r>
      <t>E</t>
    </r>
    <r>
      <rPr>
        <vertAlign val="subscript"/>
        <sz val="10"/>
        <rFont val="Arial"/>
        <family val="2"/>
      </rPr>
      <t>TO</t>
    </r>
  </si>
  <si>
    <r>
      <t>C</t>
    </r>
    <r>
      <rPr>
        <vertAlign val="subscript"/>
        <sz val="10"/>
        <rFont val="Arial"/>
        <family val="2"/>
      </rPr>
      <t>L,L</t>
    </r>
  </si>
  <si>
    <r>
      <t>C</t>
    </r>
    <r>
      <rPr>
        <vertAlign val="subscript"/>
        <sz val="10"/>
        <rFont val="Arial"/>
        <family val="2"/>
      </rPr>
      <t>D,0</t>
    </r>
    <r>
      <rPr>
        <sz val="10"/>
        <rFont val="Arial"/>
        <family val="2"/>
      </rPr>
      <t xml:space="preserve"> (bei Berechnung: Durchstarten)</t>
    </r>
  </si>
  <si>
    <r>
      <t>E</t>
    </r>
    <r>
      <rPr>
        <vertAlign val="subscript"/>
        <sz val="10"/>
        <rFont val="Arial"/>
        <family val="2"/>
      </rPr>
      <t>L</t>
    </r>
  </si>
  <si>
    <t>JAR-25 bzw. CS-25</t>
  </si>
  <si>
    <t>FAR Part 25</t>
  </si>
  <si>
    <r>
      <t>k</t>
    </r>
    <r>
      <rPr>
        <vertAlign val="subscript"/>
        <sz val="10"/>
        <rFont val="Arial"/>
        <family val="2"/>
      </rPr>
      <t>E</t>
    </r>
  </si>
  <si>
    <r>
      <t>S</t>
    </r>
    <r>
      <rPr>
        <vertAlign val="subscript"/>
        <sz val="10"/>
        <rFont val="Arial"/>
        <family val="2"/>
      </rPr>
      <t>wet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</si>
  <si>
    <r>
      <t>E</t>
    </r>
    <r>
      <rPr>
        <vertAlign val="subscript"/>
        <sz val="10"/>
        <rFont val="Arial"/>
        <family val="2"/>
      </rPr>
      <t>max</t>
    </r>
  </si>
  <si>
    <t>E</t>
  </si>
  <si>
    <r>
      <t>B</t>
    </r>
    <r>
      <rPr>
        <vertAlign val="subscript"/>
        <sz val="10"/>
        <rFont val="Arial"/>
        <family val="2"/>
      </rPr>
      <t>s</t>
    </r>
  </si>
  <si>
    <r>
      <t>M</t>
    </r>
    <r>
      <rPr>
        <vertAlign val="subscript"/>
        <sz val="10"/>
        <rFont val="Arial"/>
        <family val="2"/>
      </rPr>
      <t>ff,CR</t>
    </r>
  </si>
  <si>
    <r>
      <t>M</t>
    </r>
    <r>
      <rPr>
        <vertAlign val="subscript"/>
        <sz val="10"/>
        <rFont val="Arial"/>
        <family val="2"/>
      </rPr>
      <t>ff,RES</t>
    </r>
  </si>
  <si>
    <r>
      <t>t</t>
    </r>
    <r>
      <rPr>
        <vertAlign val="subscript"/>
        <sz val="10"/>
        <rFont val="Arial"/>
        <family val="2"/>
      </rPr>
      <t>loiter</t>
    </r>
  </si>
  <si>
    <r>
      <t>SFC</t>
    </r>
    <r>
      <rPr>
        <vertAlign val="subscript"/>
        <sz val="10"/>
        <rFont val="Arial"/>
        <family val="2"/>
      </rPr>
      <t>loiter</t>
    </r>
  </si>
  <si>
    <r>
      <t>B</t>
    </r>
    <r>
      <rPr>
        <vertAlign val="subscript"/>
        <sz val="10"/>
        <rFont val="Arial"/>
        <family val="2"/>
      </rPr>
      <t>t</t>
    </r>
  </si>
  <si>
    <r>
      <t>M</t>
    </r>
    <r>
      <rPr>
        <vertAlign val="subscript"/>
        <sz val="10"/>
        <rFont val="Arial"/>
        <family val="2"/>
      </rPr>
      <t>ff,loiter</t>
    </r>
  </si>
  <si>
    <t>international</t>
  </si>
  <si>
    <r>
      <t>M</t>
    </r>
    <r>
      <rPr>
        <vertAlign val="subscript"/>
        <sz val="10"/>
        <rFont val="Arial"/>
        <family val="2"/>
      </rPr>
      <t>ff,taxi</t>
    </r>
  </si>
  <si>
    <r>
      <t>M</t>
    </r>
    <r>
      <rPr>
        <vertAlign val="subscript"/>
        <sz val="10"/>
        <rFont val="Arial"/>
        <family val="2"/>
      </rPr>
      <t>ff,engine</t>
    </r>
  </si>
  <si>
    <r>
      <t>M</t>
    </r>
    <r>
      <rPr>
        <vertAlign val="subscript"/>
        <sz val="10"/>
        <rFont val="Arial"/>
        <family val="2"/>
      </rPr>
      <t>ff,TO</t>
    </r>
  </si>
  <si>
    <r>
      <t>M</t>
    </r>
    <r>
      <rPr>
        <vertAlign val="subscript"/>
        <sz val="10"/>
        <rFont val="Arial"/>
        <family val="2"/>
      </rPr>
      <t>ff,CLB</t>
    </r>
  </si>
  <si>
    <r>
      <t>M</t>
    </r>
    <r>
      <rPr>
        <vertAlign val="subscript"/>
        <sz val="10"/>
        <rFont val="Arial"/>
        <family val="2"/>
      </rPr>
      <t>ff,DES</t>
    </r>
  </si>
  <si>
    <r>
      <t>M</t>
    </r>
    <r>
      <rPr>
        <vertAlign val="subscript"/>
        <sz val="10"/>
        <rFont val="Arial"/>
        <family val="2"/>
      </rPr>
      <t>ff,L</t>
    </r>
  </si>
  <si>
    <r>
      <t>M</t>
    </r>
    <r>
      <rPr>
        <vertAlign val="subscript"/>
        <sz val="10"/>
        <rFont val="Arial"/>
        <family val="2"/>
      </rPr>
      <t>ff,std</t>
    </r>
  </si>
  <si>
    <r>
      <t>M</t>
    </r>
    <r>
      <rPr>
        <vertAlign val="subscript"/>
        <sz val="10"/>
        <rFont val="Arial"/>
        <family val="2"/>
      </rPr>
      <t>ff,res</t>
    </r>
  </si>
  <si>
    <r>
      <t>M</t>
    </r>
    <r>
      <rPr>
        <vertAlign val="subscript"/>
        <sz val="10"/>
        <rFont val="Arial"/>
        <family val="2"/>
      </rPr>
      <t>ff</t>
    </r>
  </si>
  <si>
    <r>
      <t>m</t>
    </r>
    <r>
      <rPr>
        <vertAlign val="subscript"/>
        <sz val="10"/>
        <rFont val="Arial"/>
        <family val="2"/>
      </rPr>
      <t>F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</si>
  <si>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OE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</si>
  <si>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PAX</t>
    </r>
  </si>
  <si>
    <t>in kg</t>
  </si>
  <si>
    <r>
      <t>n</t>
    </r>
    <r>
      <rPr>
        <vertAlign val="subscript"/>
        <sz val="10"/>
        <rFont val="Arial"/>
        <family val="2"/>
      </rPr>
      <t>PAX</t>
    </r>
  </si>
  <si>
    <r>
      <t>m</t>
    </r>
    <r>
      <rPr>
        <vertAlign val="subscript"/>
        <sz val="10"/>
        <rFont val="Arial"/>
        <family val="2"/>
      </rPr>
      <t>PL</t>
    </r>
  </si>
  <si>
    <r>
      <t>m</t>
    </r>
    <r>
      <rPr>
        <vertAlign val="subscript"/>
        <sz val="10"/>
        <rFont val="Arial"/>
        <family val="2"/>
      </rPr>
      <t>cargo</t>
    </r>
  </si>
  <si>
    <r>
      <t>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</si>
  <si>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ML</t>
    </r>
  </si>
  <si>
    <r>
      <t>m</t>
    </r>
    <r>
      <rPr>
        <vertAlign val="subscript"/>
        <sz val="10"/>
        <rFont val="Arial"/>
        <family val="2"/>
      </rPr>
      <t>OE</t>
    </r>
  </si>
  <si>
    <r>
      <t>S</t>
    </r>
    <r>
      <rPr>
        <vertAlign val="subscript"/>
        <sz val="10"/>
        <rFont val="Arial"/>
        <family val="2"/>
      </rPr>
      <t>w</t>
    </r>
  </si>
  <si>
    <r>
      <t>m</t>
    </r>
    <r>
      <rPr>
        <vertAlign val="subscript"/>
        <sz val="10"/>
        <rFont val="Arial"/>
        <family val="2"/>
      </rPr>
      <t>F,erf</t>
    </r>
  </si>
  <si>
    <r>
      <t xml:space="preserve">r </t>
    </r>
    <r>
      <rPr>
        <vertAlign val="subscript"/>
        <sz val="10"/>
        <rFont val="Arial"/>
        <family val="2"/>
      </rPr>
      <t>F</t>
    </r>
  </si>
  <si>
    <r>
      <t>V</t>
    </r>
    <r>
      <rPr>
        <vertAlign val="subscript"/>
        <sz val="10"/>
        <rFont val="Arial"/>
        <family val="2"/>
      </rPr>
      <t>F,erf</t>
    </r>
  </si>
  <si>
    <r>
      <t>m</t>
    </r>
    <r>
      <rPr>
        <vertAlign val="subscript"/>
        <sz val="10"/>
        <rFont val="Arial"/>
        <family val="2"/>
      </rPr>
      <t>MPL</t>
    </r>
  </si>
  <si>
    <r>
      <t>m</t>
    </r>
    <r>
      <rPr>
        <vertAlign val="subscript"/>
        <sz val="10"/>
        <rFont val="Arial"/>
        <family val="2"/>
      </rPr>
      <t>MZF</t>
    </r>
  </si>
  <si>
    <r>
      <t>m</t>
    </r>
    <r>
      <rPr>
        <vertAlign val="subscript"/>
        <sz val="10"/>
        <rFont val="Arial"/>
        <family val="2"/>
      </rPr>
      <t>F,res</t>
    </r>
  </si>
  <si>
    <t>e</t>
  </si>
  <si>
    <r>
      <t>m</t>
    </r>
    <r>
      <rPr>
        <vertAlign val="subscript"/>
        <sz val="10"/>
        <rFont val="Arial"/>
        <family val="2"/>
      </rPr>
      <t xml:space="preserve">ML          </t>
    </r>
  </si>
  <si>
    <t>NM</t>
  </si>
  <si>
    <t>NM -&gt; m</t>
  </si>
  <si>
    <t>m/NM</t>
  </si>
  <si>
    <r>
      <t>m</t>
    </r>
    <r>
      <rPr>
        <vertAlign val="subscript"/>
        <sz val="10"/>
        <rFont val="Arial"/>
        <family val="2"/>
      </rPr>
      <t>F</t>
    </r>
  </si>
  <si>
    <r>
      <t>D</t>
    </r>
    <r>
      <rPr>
        <sz val="10"/>
        <rFont val="Arial"/>
        <family val="2"/>
      </rPr>
      <t>T</t>
    </r>
    <r>
      <rPr>
        <vertAlign val="subscript"/>
        <sz val="10"/>
        <rFont val="Arial"/>
        <family val="2"/>
      </rPr>
      <t>L</t>
    </r>
  </si>
  <si>
    <r>
      <t>D</t>
    </r>
    <r>
      <rPr>
        <sz val="10"/>
        <rFont val="Arial"/>
        <family val="2"/>
      </rPr>
      <t>T</t>
    </r>
    <r>
      <rPr>
        <vertAlign val="subscript"/>
        <sz val="10"/>
        <rFont val="Arial"/>
        <family val="2"/>
      </rPr>
      <t>TO</t>
    </r>
  </si>
  <si>
    <r>
      <t xml:space="preserve">   </t>
    </r>
    <r>
      <rPr>
        <b/>
        <sz val="10"/>
        <color indexed="12"/>
        <rFont val="Arial"/>
        <family val="2"/>
      </rPr>
      <t>Bold blue</t>
    </r>
    <r>
      <rPr>
        <sz val="10"/>
        <rFont val="Arial"/>
        <family val="2"/>
      </rPr>
      <t xml:space="preserve"> values represent input data.</t>
    </r>
  </si>
  <si>
    <r>
      <t xml:space="preserve">   Results are marked </t>
    </r>
    <r>
      <rPr>
        <b/>
        <sz val="10"/>
        <color indexed="10"/>
        <rFont val="Arial"/>
        <family val="2"/>
      </rPr>
      <t>red</t>
    </r>
    <r>
      <rPr>
        <sz val="10"/>
        <rFont val="Arial"/>
        <family val="2"/>
      </rPr>
      <t>. Don't change these cells!</t>
    </r>
  </si>
  <si>
    <t xml:space="preserve">   Interim values, constants, ... are in black!</t>
  </si>
  <si>
    <r>
      <t xml:space="preserve">   "</t>
    </r>
    <r>
      <rPr>
        <b/>
        <sz val="10"/>
        <rFont val="Arial"/>
        <family val="2"/>
      </rPr>
      <t>&lt;&lt;&lt;&lt;</t>
    </r>
    <r>
      <rPr>
        <sz val="10"/>
        <rFont val="Arial"/>
        <family val="2"/>
      </rPr>
      <t>" marks special input or user action</t>
    </r>
    <r>
      <rPr>
        <sz val="10"/>
        <rFont val="Arial"/>
        <family val="2"/>
      </rPr>
      <t>.</t>
    </r>
  </si>
  <si>
    <t>Approach</t>
  </si>
  <si>
    <t>Factor</t>
  </si>
  <si>
    <t>Conversion factor</t>
  </si>
  <si>
    <t>Given: landing field length</t>
  </si>
  <si>
    <t>Landing field length</t>
  </si>
  <si>
    <t>Approach speed</t>
  </si>
  <si>
    <t>Given: approach speed</t>
  </si>
  <si>
    <t>Landing</t>
  </si>
  <si>
    <t>Temperature above ISA (288,15K)</t>
  </si>
  <si>
    <t>Relative density</t>
  </si>
  <si>
    <t>Mass ratio, landing - take-off</t>
  </si>
  <si>
    <t>Wing loading at max. landing mass</t>
  </si>
  <si>
    <t>Wing loading at max. take-off mass</t>
  </si>
  <si>
    <t>Take-off</t>
  </si>
  <si>
    <t>Take-off field length</t>
  </si>
  <si>
    <t>Temperatur above ISA (288,15K)</t>
  </si>
  <si>
    <r>
      <t>Exprience value for C</t>
    </r>
    <r>
      <rPr>
        <vertAlign val="subscript"/>
        <sz val="10"/>
        <rFont val="Arial"/>
        <family val="2"/>
      </rPr>
      <t>L,max,TO</t>
    </r>
  </si>
  <si>
    <t>2nd Segment</t>
  </si>
  <si>
    <t>Calculation of glide ratio</t>
  </si>
  <si>
    <t>Aspect ratio</t>
  </si>
  <si>
    <t>Lift coefficient, take-off</t>
  </si>
  <si>
    <t>Lift-independent drag coefficient, clean</t>
  </si>
  <si>
    <t>Lift-independent drag coefficient, slats</t>
  </si>
  <si>
    <t>Lift-independent drag coefficient, flaps</t>
  </si>
  <si>
    <t>Profile drag coefficient</t>
  </si>
  <si>
    <t>Oswald efficiency factor; landing configuration</t>
  </si>
  <si>
    <t>Glide ratio in take-off configuration</t>
  </si>
  <si>
    <t>Number of engines</t>
  </si>
  <si>
    <t>Climb gradient</t>
  </si>
  <si>
    <t>Missed approach</t>
  </si>
  <si>
    <t>Calculation of the glide ratio</t>
  </si>
  <si>
    <t>Lift coefficient, landing</t>
  </si>
  <si>
    <t>Choose: Certification basis</t>
  </si>
  <si>
    <t>&lt;&lt;&lt;&lt; Choose according to task</t>
  </si>
  <si>
    <t>Lift-independent drag coefficient, landing gear</t>
  </si>
  <si>
    <t>Glide ratio in landing configuration</t>
  </si>
  <si>
    <r>
      <t>Estimation of k</t>
    </r>
    <r>
      <rPr>
        <b/>
        <vertAlign val="subscript"/>
        <sz val="10"/>
        <rFont val="Arial"/>
        <family val="2"/>
      </rPr>
      <t>E</t>
    </r>
    <r>
      <rPr>
        <b/>
        <sz val="10"/>
        <rFont val="Arial"/>
        <family val="2"/>
      </rPr>
      <t xml:space="preserve"> by means of 1.), 2.) or 3.)</t>
    </r>
  </si>
  <si>
    <t>1.)  From theory</t>
  </si>
  <si>
    <r>
      <t>Oswald efficiency factor for k</t>
    </r>
    <r>
      <rPr>
        <vertAlign val="subscript"/>
        <sz val="10"/>
        <rFont val="Arial"/>
        <family val="2"/>
      </rPr>
      <t>E</t>
    </r>
  </si>
  <si>
    <r>
      <t>C</t>
    </r>
    <r>
      <rPr>
        <vertAlign val="subscript"/>
        <sz val="10"/>
        <rFont val="Arial"/>
        <family val="2"/>
      </rPr>
      <t>f,eqv</t>
    </r>
  </si>
  <si>
    <t>Equivalent surface friction coefficient</t>
  </si>
  <si>
    <t>2.) Acc. to RAYMER</t>
  </si>
  <si>
    <t>3.) From own statistics</t>
  </si>
  <si>
    <r>
      <t>Estimation of max. glide ratio in cruise, E</t>
    </r>
    <r>
      <rPr>
        <b/>
        <vertAlign val="subscript"/>
        <sz val="10"/>
        <rFont val="Arial"/>
        <family val="2"/>
      </rPr>
      <t>max</t>
    </r>
  </si>
  <si>
    <t>Relative wetted area</t>
  </si>
  <si>
    <t>Max. glide ratio</t>
  </si>
  <si>
    <r>
      <t>k</t>
    </r>
    <r>
      <rPr>
        <vertAlign val="subscript"/>
        <sz val="10"/>
        <rFont val="Arial"/>
        <family val="2"/>
      </rPr>
      <t>E    chosen</t>
    </r>
  </si>
  <si>
    <t>or</t>
  </si>
  <si>
    <r>
      <t>E</t>
    </r>
    <r>
      <rPr>
        <vertAlign val="subscript"/>
        <sz val="10"/>
        <rFont val="Arial"/>
        <family val="2"/>
      </rPr>
      <t>max chosen</t>
    </r>
  </si>
  <si>
    <t>(from sheet 1)</t>
  </si>
  <si>
    <t>Calculations for cruise, matching chart, fuel mass, operating empty mass</t>
  </si>
  <si>
    <r>
      <t>and aircraft parameters m</t>
    </r>
    <r>
      <rPr>
        <b/>
        <vertAlign val="subscript"/>
        <sz val="10"/>
        <rFont val="Arial"/>
        <family val="2"/>
      </rPr>
      <t>MTO</t>
    </r>
    <r>
      <rPr>
        <b/>
        <sz val="10"/>
        <rFont val="Arial"/>
        <family val="2"/>
      </rPr>
      <t>, m</t>
    </r>
    <r>
      <rPr>
        <b/>
        <vertAlign val="subscript"/>
        <sz val="10"/>
        <rFont val="Arial"/>
        <family val="2"/>
      </rPr>
      <t>L</t>
    </r>
    <r>
      <rPr>
        <b/>
        <sz val="10"/>
        <rFont val="Arial"/>
        <family val="2"/>
      </rPr>
      <t>, m</t>
    </r>
    <r>
      <rPr>
        <b/>
        <vertAlign val="subscript"/>
        <sz val="10"/>
        <rFont val="Arial"/>
        <family val="2"/>
      </rPr>
      <t>OE</t>
    </r>
    <r>
      <rPr>
        <b/>
        <sz val="10"/>
        <rFont val="Arial"/>
        <family val="2"/>
      </rPr>
      <t>, S</t>
    </r>
    <r>
      <rPr>
        <b/>
        <vertAlign val="subscript"/>
        <sz val="10"/>
        <rFont val="Arial"/>
        <family val="2"/>
      </rPr>
      <t>W</t>
    </r>
    <r>
      <rPr>
        <b/>
        <sz val="10"/>
        <rFont val="Arial"/>
        <family val="2"/>
      </rPr>
      <t>, T</t>
    </r>
    <r>
      <rPr>
        <b/>
        <vertAlign val="subscript"/>
        <sz val="10"/>
        <rFont val="Arial"/>
        <family val="2"/>
      </rPr>
      <t>TO</t>
    </r>
    <r>
      <rPr>
        <b/>
        <sz val="10"/>
        <rFont val="Arial"/>
        <family val="2"/>
      </rPr>
      <t>, ...</t>
    </r>
  </si>
  <si>
    <t>Value</t>
  </si>
  <si>
    <t>Oswald eff. factor, clean</t>
  </si>
  <si>
    <t>Constants</t>
  </si>
  <si>
    <t>Earth acceleration</t>
  </si>
  <si>
    <t>Air pressure, ISA, standard</t>
  </si>
  <si>
    <t>Euler number</t>
  </si>
  <si>
    <t>Wing loading</t>
  </si>
  <si>
    <t>Design range</t>
  </si>
  <si>
    <t>Distance to alternate</t>
  </si>
  <si>
    <t>Extra-fuel for long range</t>
  </si>
  <si>
    <t>typical value</t>
  </si>
  <si>
    <t>Extra time:</t>
  </si>
  <si>
    <t>Extra flight distance</t>
  </si>
  <si>
    <t>Breguet-Factor, cruise</t>
  </si>
  <si>
    <t>Fuel-Fraction, cruise</t>
  </si>
  <si>
    <t>Loiter time</t>
  </si>
  <si>
    <t>Breguet-Factor, flight time</t>
  </si>
  <si>
    <t>Fuel-Fraction, loiter</t>
  </si>
  <si>
    <t>Fuel-Fraction, engine start</t>
  </si>
  <si>
    <t>Fuel-Fraction, taxi</t>
  </si>
  <si>
    <t>Fuel-Fraction, take-off</t>
  </si>
  <si>
    <t>Fuel-Fraction, climb</t>
  </si>
  <si>
    <t>Fuel-Fraction, descent</t>
  </si>
  <si>
    <t>Fuel-Fraction, landing</t>
  </si>
  <si>
    <t>Fuel-Fraction, standard flight</t>
  </si>
  <si>
    <t>Fuel-Fraction, all reserves</t>
  </si>
  <si>
    <t>Fuel-Fraction, total</t>
  </si>
  <si>
    <t>Realtive operating empty mass</t>
  </si>
  <si>
    <r>
      <t>Choose</t>
    </r>
    <r>
      <rPr>
        <sz val="10"/>
        <rFont val="Arial"/>
        <family val="2"/>
      </rPr>
      <t>: type of a/c</t>
    </r>
  </si>
  <si>
    <t>short / medium range</t>
  </si>
  <si>
    <t>long range</t>
  </si>
  <si>
    <t>Mass: Passengers, including baggage</t>
  </si>
  <si>
    <t>Number of passengers</t>
  </si>
  <si>
    <t>Cargo mass</t>
  </si>
  <si>
    <t>Payload</t>
  </si>
  <si>
    <t>Max. Take-off mass</t>
  </si>
  <si>
    <t>Max. landing mass</t>
  </si>
  <si>
    <t>Operating empty mass</t>
  </si>
  <si>
    <t>Mission fuel fraction</t>
  </si>
  <si>
    <t>Mission fuel fraction, standard flight</t>
  </si>
  <si>
    <t>Wing area</t>
  </si>
  <si>
    <t>Fuel mass, needed</t>
  </si>
  <si>
    <t>Fuel density</t>
  </si>
  <si>
    <t>Fuel volume, needed</t>
  </si>
  <si>
    <t>Max. Payload</t>
  </si>
  <si>
    <t>Max. zero-fuel mass</t>
  </si>
  <si>
    <t>Fuel mass, all reserves</t>
  </si>
  <si>
    <t>Check of assumptions</t>
  </si>
  <si>
    <t>(check with tank geometry later on)</t>
  </si>
  <si>
    <t>one engine</t>
  </si>
  <si>
    <r>
      <t>M</t>
    </r>
    <r>
      <rPr>
        <vertAlign val="subscript"/>
        <sz val="10"/>
        <rFont val="Arial"/>
        <family val="2"/>
      </rPr>
      <t>ff</t>
    </r>
    <r>
      <rPr>
        <sz val="10"/>
        <rFont val="Arial"/>
        <family val="2"/>
      </rPr>
      <t xml:space="preserve"> per flight phases [Roskam]</t>
    </r>
  </si>
  <si>
    <r>
      <t xml:space="preserve">   Values based on experience are </t>
    </r>
    <r>
      <rPr>
        <sz val="10"/>
        <color indexed="12"/>
        <rFont val="Arial"/>
        <family val="2"/>
      </rPr>
      <t>light blue</t>
    </r>
    <r>
      <rPr>
        <sz val="10"/>
        <rFont val="Arial"/>
        <family val="2"/>
      </rPr>
      <t>. Usually you should not change these values!</t>
    </r>
  </si>
  <si>
    <t>Short- and Medium Range</t>
  </si>
  <si>
    <t>Long Range</t>
  </si>
  <si>
    <t>Cruise speed</t>
  </si>
  <si>
    <t>Max. glide ratio, cruise</t>
  </si>
  <si>
    <t>Zero-lift drag coefficient</t>
  </si>
  <si>
    <t>Mach number, cruise</t>
  </si>
  <si>
    <t>Slope</t>
  </si>
  <si>
    <t>Max. lift coefficient, landing</t>
  </si>
  <si>
    <r>
      <t xml:space="preserve">&lt;&lt;&lt;&lt; </t>
    </r>
    <r>
      <rPr>
        <sz val="10"/>
        <rFont val="Arial"/>
        <family val="2"/>
      </rPr>
      <t>Given data is correct when take-off and landing is sizing the aircraft at the same time.</t>
    </r>
  </si>
  <si>
    <t>Reserve flight distance:</t>
  </si>
  <si>
    <t>&lt;&lt;&lt;&lt; Copy</t>
  </si>
  <si>
    <t>&lt;&lt;&lt;&lt; values</t>
  </si>
  <si>
    <t>&lt;&lt;&lt;&lt; from</t>
  </si>
  <si>
    <t>&lt;&lt;&lt;&lt; table</t>
  </si>
  <si>
    <t>&lt;&lt;&lt;&lt; on the</t>
  </si>
  <si>
    <t>&lt;&lt;&lt;&lt; right !</t>
  </si>
  <si>
    <t>yes</t>
  </si>
  <si>
    <r>
      <t xml:space="preserve">(m/s²) </t>
    </r>
    <r>
      <rPr>
        <vertAlign val="superscript"/>
        <sz val="10"/>
        <color indexed="12"/>
        <rFont val="Arial"/>
        <family val="2"/>
      </rPr>
      <t>0.5</t>
    </r>
  </si>
  <si>
    <t>Ratio of specific heats, air (adiabatic index)</t>
  </si>
  <si>
    <r>
      <t>&lt;&lt;&lt;&lt; Choose according to task</t>
    </r>
    <r>
      <rPr>
        <sz val="10"/>
        <rFont val="Arial"/>
        <family val="2"/>
      </rPr>
      <t xml:space="preserve"> </t>
    </r>
  </si>
  <si>
    <t>Calculations for flight phases approach, landing, take-off, 2nd segment and missed approach</t>
  </si>
  <si>
    <t>(for turboprop aircraft)</t>
  </si>
  <si>
    <r>
      <t>P</t>
    </r>
    <r>
      <rPr>
        <vertAlign val="subscript"/>
        <sz val="10"/>
        <rFont val="Arial"/>
        <family val="2"/>
      </rPr>
      <t>S,TO</t>
    </r>
    <r>
      <rPr>
        <sz val="10"/>
        <rFont val="Arial"/>
        <family val="2"/>
      </rPr>
      <t xml:space="preserve"> / m</t>
    </r>
    <r>
      <rPr>
        <vertAlign val="subscript"/>
        <sz val="10"/>
        <rFont val="Arial"/>
        <family val="2"/>
      </rPr>
      <t>MTO</t>
    </r>
  </si>
  <si>
    <r>
      <t>S</t>
    </r>
    <r>
      <rPr>
        <vertAlign val="subscript"/>
        <sz val="10"/>
        <rFont val="Arial"/>
        <family val="2"/>
      </rPr>
      <t>wet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  <r>
      <rPr>
        <sz val="10"/>
        <rFont val="Arial"/>
        <family val="2"/>
      </rPr>
      <t xml:space="preserve"> = 6,0 ... 6,2 bei Verkehrsflugzeugen</t>
    </r>
  </si>
  <si>
    <t>Lift-coefficient, landing</t>
  </si>
  <si>
    <r>
      <t>C</t>
    </r>
    <r>
      <rPr>
        <sz val="8"/>
        <rFont val="Arial"/>
        <family val="2"/>
      </rPr>
      <t>L,L</t>
    </r>
  </si>
  <si>
    <r>
      <t>C</t>
    </r>
    <r>
      <rPr>
        <vertAlign val="subscript"/>
        <sz val="10"/>
        <rFont val="Arial"/>
        <family val="2"/>
      </rPr>
      <t>D,0</t>
    </r>
    <r>
      <rPr>
        <sz val="10"/>
        <rFont val="Arial"/>
        <family val="2"/>
      </rPr>
      <t xml:space="preserve"> (bei Berechnung: 2. Segment)  </t>
    </r>
  </si>
  <si>
    <r>
      <t>Lift coefficient, C</t>
    </r>
    <r>
      <rPr>
        <sz val="8"/>
        <rFont val="Arial"/>
        <family val="2"/>
      </rPr>
      <t>L,md</t>
    </r>
  </si>
  <si>
    <r>
      <t>C</t>
    </r>
    <r>
      <rPr>
        <sz val="8"/>
        <rFont val="Arial"/>
        <family val="2"/>
      </rPr>
      <t>L,md</t>
    </r>
  </si>
  <si>
    <r>
      <t>C</t>
    </r>
    <r>
      <rPr>
        <vertAlign val="subscript"/>
        <sz val="10"/>
        <rFont val="Arial"/>
        <family val="2"/>
      </rPr>
      <t>L</t>
    </r>
    <r>
      <rPr>
        <sz val="10"/>
        <rFont val="Arial"/>
        <family val="2"/>
      </rPr>
      <t>/C</t>
    </r>
    <r>
      <rPr>
        <vertAlign val="subscript"/>
        <sz val="10"/>
        <rFont val="Arial"/>
        <family val="2"/>
      </rPr>
      <t>L,md</t>
    </r>
  </si>
  <si>
    <r>
      <t>V/V</t>
    </r>
    <r>
      <rPr>
        <vertAlign val="subscript"/>
        <sz val="10"/>
        <rFont val="Arial"/>
        <family val="2"/>
      </rPr>
      <t>md</t>
    </r>
  </si>
  <si>
    <t>T[K]</t>
  </si>
  <si>
    <t>σ</t>
  </si>
  <si>
    <t>relative density</t>
  </si>
  <si>
    <t>and presure in troposphere</t>
  </si>
  <si>
    <t>Lapse rate in troposphere</t>
  </si>
  <si>
    <t>L</t>
  </si>
  <si>
    <t>K/m</t>
  </si>
  <si>
    <t>Gas constant</t>
  </si>
  <si>
    <r>
      <t>M</t>
    </r>
    <r>
      <rPr>
        <vertAlign val="subscript"/>
        <sz val="10"/>
        <rFont val="Arial"/>
        <family val="2"/>
      </rPr>
      <t xml:space="preserve">CR   </t>
    </r>
  </si>
  <si>
    <r>
      <t>Chose:</t>
    </r>
    <r>
      <rPr>
        <sz val="10"/>
        <rFont val="Arial"/>
        <family val="2"/>
      </rPr>
      <t xml:space="preserve"> FAR Part121-Reserves</t>
    </r>
  </si>
  <si>
    <t>Propeller efficiency</t>
  </si>
  <si>
    <r>
      <t>SFC</t>
    </r>
    <r>
      <rPr>
        <vertAlign val="subscript"/>
        <sz val="10"/>
        <rFont val="Arial"/>
        <family val="2"/>
      </rPr>
      <t>P</t>
    </r>
  </si>
  <si>
    <t>index</t>
  </si>
  <si>
    <t>TO</t>
  </si>
  <si>
    <t>CLB</t>
  </si>
  <si>
    <t>DES</t>
  </si>
  <si>
    <t>ES</t>
  </si>
  <si>
    <t>T</t>
  </si>
  <si>
    <t>value</t>
  </si>
  <si>
    <t xml:space="preserve">m/s    </t>
  </si>
  <si>
    <t>mF,erf</t>
  </si>
  <si>
    <t xml:space="preserve">            mOE+mMPL+mF,res       </t>
  </si>
  <si>
    <r>
      <t>k</t>
    </r>
    <r>
      <rPr>
        <vertAlign val="subscript"/>
        <sz val="10"/>
        <rFont val="Arial"/>
        <family val="2"/>
      </rPr>
      <t xml:space="preserve">TO               </t>
    </r>
  </si>
  <si>
    <t>2. segment</t>
  </si>
  <si>
    <t>Missed Approach</t>
  </si>
  <si>
    <t>slope, a</t>
  </si>
  <si>
    <t>Cruise</t>
  </si>
  <si>
    <t xml:space="preserve">               Landing</t>
  </si>
  <si>
    <t xml:space="preserve">             Take-off</t>
  </si>
  <si>
    <t>Power-to-weight ratio</t>
  </si>
  <si>
    <r>
      <t xml:space="preserve">     in landing position (selected from literature), and </t>
    </r>
    <r>
      <rPr>
        <u/>
        <sz val="10"/>
        <color indexed="62"/>
        <rFont val="Arial"/>
        <family val="2"/>
      </rPr>
      <t>landing field length</t>
    </r>
  </si>
  <si>
    <r>
      <t>## this block provides a max value for</t>
    </r>
    <r>
      <rPr>
        <i/>
        <sz val="10"/>
        <color indexed="62"/>
        <rFont val="Arial"/>
        <family val="2"/>
      </rPr>
      <t xml:space="preserve"> </t>
    </r>
    <r>
      <rPr>
        <b/>
        <i/>
        <sz val="10"/>
        <color indexed="62"/>
        <rFont val="Arial"/>
        <family val="2"/>
      </rPr>
      <t>wing loading</t>
    </r>
  </si>
  <si>
    <r>
      <t xml:space="preserve">## this block provides a minimum value for </t>
    </r>
    <r>
      <rPr>
        <b/>
        <i/>
        <sz val="10"/>
        <color indexed="62"/>
        <rFont val="Arial"/>
        <family val="2"/>
      </rPr>
      <t>power to weight</t>
    </r>
    <r>
      <rPr>
        <sz val="10"/>
        <color indexed="62"/>
        <rFont val="Arial"/>
        <family val="2"/>
      </rPr>
      <t xml:space="preserve"> </t>
    </r>
  </si>
  <si>
    <t>## these blocks refer to climb rate in 2nd seg and during missed</t>
  </si>
  <si>
    <r>
      <t xml:space="preserve">    approach and provide </t>
    </r>
    <r>
      <rPr>
        <b/>
        <i/>
        <sz val="10"/>
        <color indexed="62"/>
        <rFont val="Arial"/>
        <family val="2"/>
      </rPr>
      <t>min values for power to weight ratio</t>
    </r>
  </si>
  <si>
    <r>
      <t xml:space="preserve">     while the input value is </t>
    </r>
    <r>
      <rPr>
        <u/>
        <sz val="10"/>
        <color indexed="62"/>
        <rFont val="Arial"/>
        <family val="2"/>
      </rPr>
      <t>lift to drag ratio</t>
    </r>
    <r>
      <rPr>
        <sz val="10"/>
        <color indexed="62"/>
        <rFont val="Arial"/>
        <family val="2"/>
      </rPr>
      <t xml:space="preserve"> </t>
    </r>
  </si>
  <si>
    <t>Calculation of power-to-weight ratio</t>
  </si>
  <si>
    <r>
      <t>k</t>
    </r>
    <r>
      <rPr>
        <vertAlign val="subscript"/>
        <sz val="10"/>
        <rFont val="Arial"/>
        <family val="2"/>
      </rPr>
      <t xml:space="preserve">E                </t>
    </r>
  </si>
  <si>
    <r>
      <t xml:space="preserve">## The set of relationships between </t>
    </r>
    <r>
      <rPr>
        <b/>
        <i/>
        <sz val="10"/>
        <color indexed="62"/>
        <rFont val="Arial"/>
        <family val="2"/>
      </rPr>
      <t>power to weight ratio and the</t>
    </r>
  </si>
  <si>
    <r>
      <rPr>
        <b/>
        <i/>
        <sz val="10"/>
        <color indexed="62"/>
        <rFont val="Arial"/>
        <family val="2"/>
      </rPr>
      <t>wing loading</t>
    </r>
    <r>
      <rPr>
        <sz val="10"/>
        <color indexed="62"/>
        <rFont val="Arial"/>
        <family val="2"/>
      </rPr>
      <t xml:space="preserve"> represented in the matching chart give a</t>
    </r>
    <r>
      <rPr>
        <u/>
        <sz val="10"/>
        <color indexed="62"/>
        <rFont val="Arial"/>
        <family val="2"/>
      </rPr>
      <t xml:space="preserve"> single pair</t>
    </r>
    <r>
      <rPr>
        <sz val="10"/>
        <color indexed="62"/>
        <rFont val="Arial"/>
        <family val="2"/>
      </rPr>
      <t xml:space="preserve"> of values</t>
    </r>
  </si>
  <si>
    <t>## the power to weight ratio are the input values for the estimation of</t>
  </si>
  <si>
    <t xml:space="preserve">     operating empty mass mOE/mMTO or relative useful load</t>
  </si>
  <si>
    <t>T-O power of ONE engine</t>
  </si>
  <si>
    <t>Take-off power</t>
  </si>
  <si>
    <t>H[ft]</t>
  </si>
  <si>
    <t>H[m]</t>
  </si>
  <si>
    <t>n</t>
  </si>
  <si>
    <t>M</t>
  </si>
  <si>
    <t>sigma</t>
  </si>
  <si>
    <t>P/P0</t>
  </si>
  <si>
    <t>Loftin</t>
  </si>
  <si>
    <t>P/P0-eq</t>
  </si>
  <si>
    <t>Error</t>
  </si>
  <si>
    <t>H[km]</t>
  </si>
  <si>
    <t>Velocity[kts]</t>
  </si>
  <si>
    <t>Velocity[km/h]</t>
  </si>
  <si>
    <t>P/P0exp</t>
  </si>
  <si>
    <t>P/P0eq</t>
  </si>
  <si>
    <t>Velocity[m/s]</t>
  </si>
  <si>
    <t>V[m/s]</t>
  </si>
  <si>
    <t>Pexp</t>
  </si>
  <si>
    <t>H[m}</t>
  </si>
  <si>
    <t>Mach number</t>
  </si>
  <si>
    <t>V [mph]</t>
  </si>
  <si>
    <t>V[km/h]</t>
  </si>
  <si>
    <t>P/P0-eq1</t>
  </si>
  <si>
    <t>P/P0-eq2</t>
  </si>
  <si>
    <t>Propeller Efficiency-2nd Segment</t>
  </si>
  <si>
    <t>ηP</t>
  </si>
  <si>
    <t>Propeller Efficiency-Missed Approach</t>
  </si>
  <si>
    <t>Propeller Efficiency-Cruise</t>
  </si>
  <si>
    <t>kg/W/s</t>
  </si>
  <si>
    <t>mMTO</t>
  </si>
  <si>
    <t>W</t>
  </si>
  <si>
    <t>start-up</t>
  </si>
  <si>
    <t>Russel</t>
  </si>
  <si>
    <t>Cruise altitude</t>
  </si>
  <si>
    <t>Standard temperature,sea level</t>
  </si>
  <si>
    <t>Pcr</t>
  </si>
  <si>
    <t>sum</t>
  </si>
  <si>
    <t>HOWE 2000</t>
  </si>
  <si>
    <r>
      <t>m</t>
    </r>
    <r>
      <rPr>
        <vertAlign val="subscript"/>
        <sz val="11"/>
        <color indexed="8"/>
        <rFont val="Calibri"/>
        <family val="2"/>
      </rPr>
      <t xml:space="preserve">L </t>
    </r>
    <r>
      <rPr>
        <sz val="11"/>
        <color indexed="8"/>
        <rFont val="Calibri"/>
        <family val="2"/>
      </rPr>
      <t>(kg)</t>
    </r>
  </si>
  <si>
    <r>
      <t>S</t>
    </r>
    <r>
      <rPr>
        <vertAlign val="subscript"/>
        <sz val="11"/>
        <color indexed="8"/>
        <rFont val="Calibri"/>
        <family val="2"/>
      </rPr>
      <t xml:space="preserve">W </t>
    </r>
    <r>
      <rPr>
        <sz val="11"/>
        <color indexed="8"/>
        <rFont val="Calibri"/>
        <family val="2"/>
      </rPr>
      <t>(m</t>
    </r>
    <r>
      <rPr>
        <vertAlign val="superscript"/>
        <sz val="11"/>
        <color indexed="8"/>
        <rFont val="Calibri"/>
        <family val="2"/>
      </rPr>
      <t>2</t>
    </r>
    <r>
      <rPr>
        <sz val="11"/>
        <color indexed="8"/>
        <rFont val="Calibri"/>
        <family val="2"/>
      </rPr>
      <t>)</t>
    </r>
  </si>
  <si>
    <t>Flap type</t>
  </si>
  <si>
    <r>
      <t>C</t>
    </r>
    <r>
      <rPr>
        <vertAlign val="subscript"/>
        <sz val="11"/>
        <color indexed="8"/>
        <rFont val="Calibri"/>
        <family val="2"/>
      </rPr>
      <t>LmaxL</t>
    </r>
    <r>
      <rPr>
        <sz val="10"/>
        <rFont val="Arial"/>
        <family val="2"/>
      </rPr>
      <t xml:space="preserve"> </t>
    </r>
  </si>
  <si>
    <r>
      <t>S</t>
    </r>
    <r>
      <rPr>
        <vertAlign val="subscript"/>
        <sz val="11"/>
        <color indexed="8"/>
        <rFont val="Calibri"/>
        <family val="2"/>
      </rPr>
      <t xml:space="preserve">LFL </t>
    </r>
    <r>
      <rPr>
        <sz val="11"/>
        <color indexed="8"/>
        <rFont val="Calibri"/>
        <family val="2"/>
      </rPr>
      <t>(m)</t>
    </r>
  </si>
  <si>
    <r>
      <t>m</t>
    </r>
    <r>
      <rPr>
        <vertAlign val="subscript"/>
        <sz val="11"/>
        <color indexed="8"/>
        <rFont val="Calibri"/>
        <family val="2"/>
      </rPr>
      <t>L</t>
    </r>
    <r>
      <rPr>
        <sz val="10"/>
        <rFont val="Arial"/>
        <family val="2"/>
      </rPr>
      <t>/S</t>
    </r>
    <r>
      <rPr>
        <vertAlign val="subscript"/>
        <sz val="11"/>
        <color indexed="8"/>
        <rFont val="Calibri"/>
        <family val="2"/>
      </rPr>
      <t>W</t>
    </r>
  </si>
  <si>
    <r>
      <t>S</t>
    </r>
    <r>
      <rPr>
        <vertAlign val="subscript"/>
        <sz val="11"/>
        <color indexed="8"/>
        <rFont val="Calibri"/>
        <family val="2"/>
      </rPr>
      <t>LFL</t>
    </r>
    <r>
      <rPr>
        <sz val="10"/>
        <rFont val="Arial"/>
        <family val="2"/>
      </rPr>
      <t>*C</t>
    </r>
    <r>
      <rPr>
        <vertAlign val="subscript"/>
        <sz val="11"/>
        <color indexed="8"/>
        <rFont val="Calibri"/>
        <family val="2"/>
      </rPr>
      <t>LmaxL</t>
    </r>
  </si>
  <si>
    <r>
      <t>k</t>
    </r>
    <r>
      <rPr>
        <vertAlign val="subscript"/>
        <sz val="11"/>
        <color indexed="8"/>
        <rFont val="Calibri"/>
        <family val="2"/>
      </rPr>
      <t>L</t>
    </r>
  </si>
  <si>
    <r>
      <t>k</t>
    </r>
    <r>
      <rPr>
        <vertAlign val="subscript"/>
        <sz val="11"/>
        <color indexed="8"/>
        <rFont val="Calibri"/>
        <family val="2"/>
      </rPr>
      <t>App</t>
    </r>
  </si>
  <si>
    <t>Shorts 330</t>
  </si>
  <si>
    <t>DHC 8 Q 100</t>
  </si>
  <si>
    <t>two-section slotted Fowler flaps</t>
  </si>
  <si>
    <t>DHC 8 Q 200</t>
  </si>
  <si>
    <t>DHC 8 Q 300</t>
  </si>
  <si>
    <t>DHC 8 Q 400</t>
  </si>
  <si>
    <t>EMB 120</t>
  </si>
  <si>
    <t>double-slotted Fowler trailing-edge flap inboard and outboard of each engine nacelle, with small plain flap beneath each nacelle</t>
  </si>
  <si>
    <t>SAAB 340 B</t>
  </si>
  <si>
    <t>single-slotted flaps</t>
  </si>
  <si>
    <t>SAAB 2000</t>
  </si>
  <si>
    <t>single-slotted flaps with offset hinges</t>
  </si>
  <si>
    <t>Dornier 328</t>
  </si>
  <si>
    <t>single-slotted Fowler flaps</t>
  </si>
  <si>
    <t>An-140</t>
  </si>
  <si>
    <t>Two-section flaps in each wing</t>
  </si>
  <si>
    <t>Il-114</t>
  </si>
  <si>
    <t>double-slotted trailing-edge flaps</t>
  </si>
  <si>
    <t>LET L 610 G</t>
  </si>
  <si>
    <t>ATR 72</t>
  </si>
  <si>
    <t>two-segment double-slotted flaps on offset hinges</t>
  </si>
  <si>
    <t xml:space="preserve">ATR42 </t>
  </si>
  <si>
    <r>
      <t>which means K</t>
    </r>
    <r>
      <rPr>
        <vertAlign val="subscript"/>
        <sz val="10"/>
        <color indexed="8"/>
        <rFont val="Arial"/>
        <family val="2"/>
      </rPr>
      <t>L</t>
    </r>
    <r>
      <rPr>
        <sz val="10"/>
        <rFont val="Arial"/>
        <family val="2"/>
      </rPr>
      <t xml:space="preserve"> is related to K</t>
    </r>
    <r>
      <rPr>
        <vertAlign val="subscript"/>
        <sz val="10"/>
        <color indexed="8"/>
        <rFont val="Arial"/>
        <family val="2"/>
      </rPr>
      <t>App</t>
    </r>
    <r>
      <rPr>
        <sz val="10"/>
        <rFont val="Arial"/>
        <family val="2"/>
      </rPr>
      <t xml:space="preserve"> in this way:</t>
    </r>
  </si>
  <si>
    <r>
      <t>ρ</t>
    </r>
    <r>
      <rPr>
        <vertAlign val="subscript"/>
        <sz val="10"/>
        <color indexed="8"/>
        <rFont val="Arial"/>
        <family val="2"/>
      </rPr>
      <t>0</t>
    </r>
  </si>
  <si>
    <r>
      <t>kg/m</t>
    </r>
    <r>
      <rPr>
        <vertAlign val="superscript"/>
        <sz val="10"/>
        <color indexed="8"/>
        <rFont val="Arial"/>
        <family val="2"/>
      </rPr>
      <t>3</t>
    </r>
  </si>
  <si>
    <r>
      <t>m/s</t>
    </r>
    <r>
      <rPr>
        <vertAlign val="superscript"/>
        <sz val="10"/>
        <color indexed="8"/>
        <rFont val="Arial"/>
        <family val="2"/>
      </rPr>
      <t>2</t>
    </r>
  </si>
  <si>
    <r>
      <t>The k</t>
    </r>
    <r>
      <rPr>
        <vertAlign val="subscript"/>
        <sz val="10"/>
        <color indexed="8"/>
        <rFont val="Arial"/>
        <family val="2"/>
      </rPr>
      <t>TO</t>
    </r>
    <r>
      <rPr>
        <sz val="10"/>
        <color indexed="8"/>
        <rFont val="Arial"/>
        <family val="2"/>
      </rPr>
      <t xml:space="preserve"> factor appears when the formula for determing the take-off field length is simplified from the take-off ground roll distance; the two are proportional.</t>
    </r>
  </si>
  <si>
    <t>Statistical data</t>
  </si>
  <si>
    <t>II) Estimating Kapp from statistics and comparing the 2 values obtained in I) and II)</t>
  </si>
  <si>
    <r>
      <t>V</t>
    </r>
    <r>
      <rPr>
        <vertAlign val="subscript"/>
        <sz val="11"/>
        <color indexed="8"/>
        <rFont val="Calibri"/>
        <family val="2"/>
      </rPr>
      <t xml:space="preserve">S </t>
    </r>
    <r>
      <rPr>
        <sz val="11"/>
        <color indexed="8"/>
        <rFont val="Calibri"/>
        <family val="2"/>
      </rPr>
      <t>(km/h/3,6)</t>
    </r>
  </si>
  <si>
    <r>
      <t>V</t>
    </r>
    <r>
      <rPr>
        <vertAlign val="subscript"/>
        <sz val="11"/>
        <color indexed="8"/>
        <rFont val="Calibri"/>
        <family val="2"/>
      </rPr>
      <t>app</t>
    </r>
    <r>
      <rPr>
        <sz val="10"/>
        <rFont val="Arial"/>
        <family val="2"/>
      </rPr>
      <t xml:space="preserve"> (m/s)</t>
    </r>
  </si>
  <si>
    <r>
      <t>S</t>
    </r>
    <r>
      <rPr>
        <vertAlign val="subscript"/>
        <sz val="11"/>
        <color indexed="8"/>
        <rFont val="Calibri"/>
        <family val="2"/>
      </rPr>
      <t xml:space="preserve">LFL </t>
    </r>
    <r>
      <rPr>
        <sz val="10"/>
        <rFont val="Arial"/>
        <family val="2"/>
      </rPr>
      <t>(m)</t>
    </r>
  </si>
  <si>
    <r>
      <t>SQRT(S</t>
    </r>
    <r>
      <rPr>
        <vertAlign val="subscript"/>
        <sz val="11"/>
        <color indexed="8"/>
        <rFont val="Calibri"/>
        <family val="2"/>
      </rPr>
      <t>LFL</t>
    </r>
    <r>
      <rPr>
        <sz val="10"/>
        <rFont val="Arial"/>
        <family val="2"/>
      </rPr>
      <t>)</t>
    </r>
  </si>
  <si>
    <t>Result of comparison:</t>
  </si>
  <si>
    <r>
      <t>in the same time the approach speeds are not always given acurately or they do not always refer to 1.3 V</t>
    </r>
    <r>
      <rPr>
        <b/>
        <vertAlign val="subscript"/>
        <sz val="10"/>
        <rFont val="Arial"/>
        <family val="2"/>
      </rPr>
      <t>S</t>
    </r>
  </si>
  <si>
    <r>
      <t>For jets: K</t>
    </r>
    <r>
      <rPr>
        <b/>
        <vertAlign val="subscript"/>
        <sz val="10"/>
        <rFont val="Arial"/>
        <family val="2"/>
      </rPr>
      <t>App</t>
    </r>
    <r>
      <rPr>
        <b/>
        <sz val="10"/>
        <rFont val="Arial"/>
        <family val="2"/>
      </rPr>
      <t>=1.7</t>
    </r>
  </si>
  <si>
    <t>power loading (W/kg)</t>
  </si>
  <si>
    <r>
      <t>S</t>
    </r>
    <r>
      <rPr>
        <vertAlign val="subscript"/>
        <sz val="11"/>
        <color indexed="8"/>
        <rFont val="Calibri"/>
        <family val="2"/>
      </rPr>
      <t>TOFL</t>
    </r>
    <r>
      <rPr>
        <sz val="10"/>
        <rFont val="Arial"/>
        <family val="2"/>
      </rPr>
      <t xml:space="preserve"> (m)</t>
    </r>
  </si>
  <si>
    <t>Propeller  efficiency (take-off)</t>
  </si>
  <si>
    <r>
      <t>C</t>
    </r>
    <r>
      <rPr>
        <vertAlign val="subscript"/>
        <sz val="11"/>
        <color indexed="8"/>
        <rFont val="Calibri"/>
        <family val="2"/>
      </rPr>
      <t>LmaxTO</t>
    </r>
  </si>
  <si>
    <t>wing loading (kg/m2)</t>
  </si>
  <si>
    <r>
      <t>V</t>
    </r>
    <r>
      <rPr>
        <vertAlign val="subscript"/>
        <sz val="11"/>
        <color indexed="8"/>
        <rFont val="Calibri"/>
        <family val="2"/>
      </rPr>
      <t xml:space="preserve">S,TO </t>
    </r>
    <r>
      <rPr>
        <sz val="11"/>
        <color indexed="8"/>
        <rFont val="Calibri"/>
        <family val="2"/>
      </rPr>
      <t>(km/3,6)</t>
    </r>
  </si>
  <si>
    <t>V (m/s)</t>
  </si>
  <si>
    <t>y axis</t>
  </si>
  <si>
    <t>x axis</t>
  </si>
  <si>
    <t>Jets</t>
  </si>
  <si>
    <t>Observations</t>
  </si>
  <si>
    <t>turboprops achieve a shorter landing field length at the same wing loading</t>
  </si>
  <si>
    <t>–</t>
  </si>
  <si>
    <t>Turboprops</t>
  </si>
  <si>
    <t>Fuselage</t>
  </si>
  <si>
    <t>Horizontal Tailplane</t>
  </si>
  <si>
    <t>Ver Tail</t>
  </si>
  <si>
    <t>total</t>
  </si>
  <si>
    <t>Sw</t>
  </si>
  <si>
    <t>Swet/Sw</t>
  </si>
  <si>
    <t>A/Swet/Sw</t>
  </si>
  <si>
    <t>F 27</t>
  </si>
  <si>
    <t>Shorts 360</t>
  </si>
  <si>
    <t>Saab 340 A</t>
  </si>
  <si>
    <t>Bae ATP</t>
  </si>
  <si>
    <t>Emb 120</t>
  </si>
  <si>
    <t>J 41</t>
  </si>
  <si>
    <t>Do 328</t>
  </si>
  <si>
    <t>DHC -8-300</t>
  </si>
  <si>
    <t>ATR 42</t>
  </si>
  <si>
    <t>Wing</t>
  </si>
  <si>
    <t>Engine</t>
  </si>
  <si>
    <r>
      <t>E</t>
    </r>
    <r>
      <rPr>
        <vertAlign val="superscript"/>
        <sz val="10"/>
        <rFont val="Arial"/>
        <family val="2"/>
      </rPr>
      <t>2</t>
    </r>
  </si>
  <si>
    <t>Kapp</t>
  </si>
  <si>
    <r>
      <t>K</t>
    </r>
    <r>
      <rPr>
        <b/>
        <vertAlign val="subscript"/>
        <sz val="10"/>
        <rFont val="Arial"/>
        <family val="2"/>
      </rPr>
      <t>App</t>
    </r>
  </si>
  <si>
    <r>
      <t>K</t>
    </r>
    <r>
      <rPr>
        <b/>
        <vertAlign val="subscript"/>
        <sz val="10"/>
        <rFont val="Arial"/>
        <family val="2"/>
      </rPr>
      <t>L</t>
    </r>
  </si>
  <si>
    <r>
      <t>K</t>
    </r>
    <r>
      <rPr>
        <b/>
        <vertAlign val="subscript"/>
        <sz val="10"/>
        <rFont val="Arial"/>
        <family val="2"/>
      </rPr>
      <t>TO</t>
    </r>
  </si>
  <si>
    <r>
      <t>K</t>
    </r>
    <r>
      <rPr>
        <b/>
        <vertAlign val="subscript"/>
        <sz val="10"/>
        <rFont val="Arial"/>
        <family val="2"/>
      </rPr>
      <t>E</t>
    </r>
  </si>
  <si>
    <t>V) Others</t>
  </si>
  <si>
    <t>VI) Summary</t>
  </si>
  <si>
    <t>mML/mMTO</t>
  </si>
  <si>
    <t>mML</t>
  </si>
  <si>
    <t>AVERAGE</t>
  </si>
  <si>
    <r>
      <t>For the K</t>
    </r>
    <r>
      <rPr>
        <vertAlign val="subscript"/>
        <sz val="10"/>
        <rFont val="Arial"/>
        <family val="2"/>
      </rPr>
      <t>E</t>
    </r>
    <r>
      <rPr>
        <sz val="10"/>
        <rFont val="Arial"/>
        <family val="2"/>
      </rPr>
      <t xml:space="preserve"> factor we need to estimate the wetted areas of the components of the aircrafts chosen for the statistics; for the estimation, the geometry of the aircrafts was used, based on the available drawings</t>
    </r>
  </si>
  <si>
    <r>
      <t>turboprops have a smaller range, so the value of K</t>
    </r>
    <r>
      <rPr>
        <vertAlign val="subscript"/>
        <sz val="10"/>
        <rFont val="Arial"/>
        <family val="2"/>
      </rPr>
      <t>E</t>
    </r>
    <r>
      <rPr>
        <sz val="10"/>
        <rFont val="Arial"/>
        <family val="2"/>
      </rPr>
      <t>, compared to jets is smaller</t>
    </r>
  </si>
  <si>
    <t>Kapp 1 is the one calculated from Kapp</t>
  </si>
  <si>
    <t>Kapp 2 is the statistical value</t>
  </si>
  <si>
    <t>practicaly the same value for jets and turboprops</t>
  </si>
  <si>
    <t>for large jets-long range</t>
  </si>
  <si>
    <t>for large jets-medium range</t>
  </si>
  <si>
    <t>for large jets-small range</t>
  </si>
  <si>
    <r>
      <t>K</t>
    </r>
    <r>
      <rPr>
        <b/>
        <vertAlign val="subscript"/>
        <sz val="10"/>
        <rFont val="Arial"/>
        <family val="2"/>
      </rPr>
      <t>app 1</t>
    </r>
  </si>
  <si>
    <r>
      <t>K</t>
    </r>
    <r>
      <rPr>
        <b/>
        <vertAlign val="subscript"/>
        <sz val="10"/>
        <rFont val="Arial"/>
        <family val="2"/>
      </rPr>
      <t>app 2</t>
    </r>
  </si>
  <si>
    <t xml:space="preserve">       temperature at any H</t>
  </si>
  <si>
    <t xml:space="preserve">## These values apply for the PW 120 familly </t>
  </si>
  <si>
    <t>L-disc loading</t>
  </si>
  <si>
    <r>
      <t>S</t>
    </r>
    <r>
      <rPr>
        <vertAlign val="subscript"/>
        <sz val="10"/>
        <rFont val="Arial"/>
        <family val="2"/>
      </rPr>
      <t>D</t>
    </r>
    <r>
      <rPr>
        <sz val="10"/>
        <rFont val="Arial"/>
        <family val="2"/>
      </rPr>
      <t>-disc area</t>
    </r>
  </si>
  <si>
    <t xml:space="preserve">Propeller efficiency for variable pitch propellers as a function of aircraft </t>
  </si>
  <si>
    <t>speed and disc loading (the reference surface area is the propeller disc area).</t>
  </si>
  <si>
    <t>these new results are used to estimate better propeller efficiencies using the left diagram, as a second iteration</t>
  </si>
  <si>
    <r>
      <t>## First iteration: P</t>
    </r>
    <r>
      <rPr>
        <vertAlign val="subscript"/>
        <sz val="10"/>
        <color indexed="62"/>
        <rFont val="Arial"/>
        <family val="2"/>
      </rPr>
      <t>TO</t>
    </r>
    <r>
      <rPr>
        <sz val="10"/>
        <color indexed="62"/>
        <rFont val="Arial"/>
        <family val="2"/>
      </rPr>
      <t xml:space="preserve"> is unknown, but is being estimated with the left figure</t>
    </r>
  </si>
  <si>
    <r>
      <t>## Second iteration: after applying the preliminary sizing method, new results for P</t>
    </r>
    <r>
      <rPr>
        <vertAlign val="subscript"/>
        <sz val="10"/>
        <color indexed="62"/>
        <rFont val="Arial"/>
        <family val="2"/>
      </rPr>
      <t>TO</t>
    </r>
    <r>
      <rPr>
        <sz val="10"/>
        <color indexed="62"/>
        <rFont val="Arial"/>
        <family val="2"/>
      </rPr>
      <t xml:space="preserve"> are obtained;</t>
    </r>
  </si>
  <si>
    <t>Available equations</t>
  </si>
  <si>
    <t>Required parameters</t>
  </si>
  <si>
    <t>Power variation with altitude during cruise</t>
  </si>
  <si>
    <t>The turboprop engine</t>
  </si>
  <si>
    <t># gas turbine driving a propeller</t>
  </si>
  <si>
    <t># relatively high weight per unit of cruise thrust</t>
  </si>
  <si>
    <t># low cruise speed and low thrust to weight ratio</t>
  </si>
  <si>
    <t># good fuel economy</t>
  </si>
  <si>
    <t># superior performance to that of a turbojet or</t>
  </si>
  <si>
    <t xml:space="preserve">   turbofan engine during take-off and climb</t>
  </si>
  <si>
    <t># propulsive efficiency nearly constant during cruise</t>
  </si>
  <si>
    <t xml:space="preserve"># lower maintenance cost </t>
  </si>
  <si>
    <t># more reliable engine</t>
  </si>
  <si>
    <t>Generic Equation</t>
  </si>
  <si>
    <t>No.</t>
  </si>
  <si>
    <t>1)</t>
  </si>
  <si>
    <t>2)</t>
  </si>
  <si>
    <t>3)</t>
  </si>
  <si>
    <t>4)</t>
  </si>
  <si>
    <t>5)</t>
  </si>
  <si>
    <t>6)</t>
  </si>
  <si>
    <t xml:space="preserve">W. Austyn Mair </t>
  </si>
  <si>
    <t>From (see List of References)</t>
  </si>
  <si>
    <t>A, n</t>
  </si>
  <si>
    <t>A, m. n</t>
  </si>
  <si>
    <t>I) Theoretical results</t>
  </si>
  <si>
    <t>II) An experimental variation for the PW 120 engine</t>
  </si>
  <si>
    <t>Power (cruise)</t>
  </si>
  <si>
    <t>Pcruise/Po</t>
  </si>
  <si>
    <t>Altitude[m]</t>
  </si>
  <si>
    <t>Altitude [ft]</t>
  </si>
  <si>
    <t>[1]</t>
  </si>
  <si>
    <t>John D. Anderson Jr. [1]</t>
  </si>
  <si>
    <t>David L. Birdsall [2]</t>
  </si>
  <si>
    <t>Author</t>
  </si>
  <si>
    <t>Ref.Nr.</t>
  </si>
  <si>
    <t>Page</t>
  </si>
  <si>
    <t>Schaufele</t>
  </si>
  <si>
    <t>generic</t>
  </si>
  <si>
    <t>0.101</t>
  </si>
  <si>
    <t>0.851</t>
  </si>
  <si>
    <t>T 64-GE-7</t>
  </si>
  <si>
    <t>0.168</t>
  </si>
  <si>
    <t>0.755</t>
  </si>
  <si>
    <t>Rolls-Royce</t>
  </si>
  <si>
    <t>0.267</t>
  </si>
  <si>
    <t>0.966</t>
  </si>
  <si>
    <t>[7]</t>
  </si>
  <si>
    <t>0.091</t>
  </si>
  <si>
    <t>0.924</t>
  </si>
  <si>
    <t>McCormick &amp; Barnes</t>
  </si>
  <si>
    <t>PW 120</t>
  </si>
  <si>
    <t>0.740</t>
  </si>
  <si>
    <t>0.929</t>
  </si>
  <si>
    <t>Average</t>
  </si>
  <si>
    <t>0.273</t>
  </si>
  <si>
    <t>0.885</t>
  </si>
  <si>
    <t>Brüning</t>
  </si>
  <si>
    <t>[4]</t>
  </si>
  <si>
    <t>[5]</t>
  </si>
  <si>
    <t>[3]</t>
  </si>
  <si>
    <t>Denis Howe [4]</t>
  </si>
  <si>
    <t>[6]</t>
  </si>
  <si>
    <t>Mihaela Niţă [7]</t>
  </si>
  <si>
    <t>G.J.J. Ruijgrok [8]</t>
  </si>
  <si>
    <t>[9]</t>
  </si>
  <si>
    <t>[10]</t>
  </si>
  <si>
    <t>Trevor Young [11]</t>
  </si>
  <si>
    <t xml:space="preserve">           Results taken from experimental graph (Ref. no [6])</t>
  </si>
  <si>
    <t># The results from the above Table were obtained by using Excel Solver for optimizing the experimental data read from the mentioned references</t>
  </si>
  <si>
    <t># The most general values for these parameters are stated as average</t>
  </si>
  <si>
    <t># We recommend choosing acordingly with the needs</t>
  </si>
  <si>
    <t>III) Results for the required parameters for the chosen equation marked in red (eq. no. 6)</t>
  </si>
  <si>
    <t>IV) Compendium of calculation</t>
  </si>
  <si>
    <t>V) List of references</t>
  </si>
  <si>
    <t>Equation 4</t>
  </si>
  <si>
    <t>Experimental</t>
  </si>
  <si>
    <t>Equation 6</t>
  </si>
  <si>
    <t>P/p0eq</t>
  </si>
  <si>
    <t>Pexp/P0</t>
  </si>
  <si>
    <t>[2]</t>
  </si>
  <si>
    <r>
      <rPr>
        <b/>
        <sz val="10"/>
        <rFont val="Arial"/>
        <family val="2"/>
      </rPr>
      <t>Anderson</t>
    </r>
    <r>
      <rPr>
        <sz val="10"/>
        <rFont val="Arial"/>
        <family val="2"/>
      </rPr>
      <t>, John D. Jr.: Introduction to Flight. Boston : The McGraw Hill Higher Education, 2005</t>
    </r>
  </si>
  <si>
    <r>
      <rPr>
        <b/>
        <sz val="10"/>
        <rFont val="Arial"/>
        <family val="2"/>
      </rPr>
      <t>Birdsall</t>
    </r>
    <r>
      <rPr>
        <sz val="10"/>
        <rFont val="Arial"/>
        <family val="2"/>
      </rPr>
      <t>, David L; Smetana, Frederick O.; Mair, Austyn W.: Aircraft Performance. Cambridge : Cambridge University Press, 1992</t>
    </r>
  </si>
  <si>
    <r>
      <rPr>
        <b/>
        <sz val="10"/>
        <rFont val="Arial"/>
        <family val="2"/>
      </rPr>
      <t>Brüning</t>
    </r>
    <r>
      <rPr>
        <sz val="10"/>
        <rFont val="Arial"/>
        <family val="2"/>
      </rPr>
      <t>, G.; Hafer, X.: Flugleistungen : Grundlagen, Flugzustände, Flugabschnitte. Berlin : Springer, 1978</t>
    </r>
  </si>
  <si>
    <r>
      <rPr>
        <b/>
        <sz val="10"/>
        <rFont val="Arial"/>
        <family val="2"/>
      </rPr>
      <t>Howe</t>
    </r>
    <r>
      <rPr>
        <sz val="10"/>
        <rFont val="Arial"/>
        <family val="2"/>
      </rPr>
      <t>, Denis: Aircraft Conceptual Design Synthesis. London : Professional Engineering Publishing Limited, 2000</t>
    </r>
  </si>
  <si>
    <r>
      <rPr>
        <b/>
        <sz val="10"/>
        <rFont val="Arial"/>
        <family val="2"/>
      </rPr>
      <t>Loftin</t>
    </r>
    <r>
      <rPr>
        <sz val="10"/>
        <rFont val="Arial"/>
        <family val="2"/>
      </rPr>
      <t>, L.K.: Subsonic Aircraft : Evolution and the Matching of Size to Performance. NASA Reference Publication 1060, 1980</t>
    </r>
  </si>
  <si>
    <t>[8]</t>
  </si>
  <si>
    <r>
      <rPr>
        <b/>
        <sz val="10"/>
        <rFont val="Arial"/>
        <family val="2"/>
      </rPr>
      <t>McCormick</t>
    </r>
    <r>
      <rPr>
        <sz val="10"/>
        <rFont val="Arial"/>
        <family val="2"/>
      </rPr>
      <t>, Barnes W.: Aerodynamics, Aeronautics, and Flight Mechanics. New York : John Wiley&amp;Sons, 1995</t>
    </r>
  </si>
  <si>
    <r>
      <rPr>
        <b/>
        <sz val="10"/>
        <rFont val="Arial"/>
        <family val="2"/>
      </rPr>
      <t>Niţă</t>
    </r>
    <r>
      <rPr>
        <sz val="10"/>
        <rFont val="Arial"/>
        <family val="2"/>
      </rPr>
      <t>, M.: Aircraft Design Studies Based on ATR 72, Project, Hamburg University of Applied Sciences, Depatment of Automotive and Aeronautical Engineering, 2008, http://bibliothek.ProfScholz.de</t>
    </r>
  </si>
  <si>
    <r>
      <rPr>
        <b/>
        <sz val="10"/>
        <rFont val="Arial"/>
        <family val="2"/>
      </rPr>
      <t>Ruijgrok</t>
    </r>
    <r>
      <rPr>
        <sz val="10"/>
        <rFont val="Arial"/>
        <family val="2"/>
      </rPr>
      <t>, G.J.J.: Elements of Airplane Performance. Delft : Delft University Press, 1996</t>
    </r>
  </si>
  <si>
    <r>
      <rPr>
        <b/>
        <sz val="10"/>
        <rFont val="Arial"/>
        <family val="2"/>
      </rPr>
      <t>Russel</t>
    </r>
    <r>
      <rPr>
        <sz val="10"/>
        <rFont val="Arial"/>
        <family val="2"/>
      </rPr>
      <t>, J.B.: Performance and Stability of Aircraft. London : Arnold, 1996</t>
    </r>
  </si>
  <si>
    <r>
      <rPr>
        <b/>
        <sz val="10"/>
        <rFont val="Arial"/>
        <family val="2"/>
      </rPr>
      <t>Schaufele</t>
    </r>
    <r>
      <rPr>
        <sz val="10"/>
        <rFont val="Arial"/>
        <family val="2"/>
      </rPr>
      <t>, R. D.: The elements of Aircraft Preliminary Design, Santa Ana, Calif : Aries, 2000</t>
    </r>
  </si>
  <si>
    <t>engines (such for the ATR 72); for more general values see worksheet 8</t>
  </si>
  <si>
    <t>(from worksheet 4)</t>
  </si>
  <si>
    <t>(from worksheet 3)</t>
  </si>
  <si>
    <r>
      <t>I) Estimating K</t>
    </r>
    <r>
      <rPr>
        <b/>
        <vertAlign val="subscript"/>
        <sz val="12"/>
        <rFont val="Arial"/>
        <family val="2"/>
      </rPr>
      <t>L</t>
    </r>
    <r>
      <rPr>
        <b/>
        <sz val="12"/>
        <rFont val="Arial"/>
        <family val="2"/>
      </rPr>
      <t xml:space="preserve"> from statistics; estimating K</t>
    </r>
    <r>
      <rPr>
        <b/>
        <vertAlign val="subscript"/>
        <sz val="12"/>
        <rFont val="Arial"/>
        <family val="2"/>
      </rPr>
      <t>App</t>
    </r>
    <r>
      <rPr>
        <b/>
        <sz val="12"/>
        <rFont val="Arial"/>
        <family val="2"/>
      </rPr>
      <t xml:space="preserve"> from K</t>
    </r>
    <r>
      <rPr>
        <b/>
        <vertAlign val="subscript"/>
        <sz val="12"/>
        <rFont val="Arial"/>
        <family val="2"/>
      </rPr>
      <t>L</t>
    </r>
  </si>
  <si>
    <r>
      <t>The two results for K</t>
    </r>
    <r>
      <rPr>
        <b/>
        <vertAlign val="subscript"/>
        <sz val="10"/>
        <color indexed="8"/>
        <rFont val="Arial"/>
        <family val="2"/>
      </rPr>
      <t xml:space="preserve">App </t>
    </r>
    <r>
      <rPr>
        <b/>
        <sz val="10"/>
        <color indexed="8"/>
        <rFont val="Arial"/>
        <family val="2"/>
      </rPr>
      <t xml:space="preserve">are different, due to the fact that the estimation was based on different aircraft data; </t>
    </r>
  </si>
  <si>
    <r>
      <t>The better value for K</t>
    </r>
    <r>
      <rPr>
        <b/>
        <vertAlign val="subscript"/>
        <sz val="10"/>
        <color indexed="8"/>
        <rFont val="Arial"/>
        <family val="2"/>
      </rPr>
      <t>App</t>
    </r>
    <r>
      <rPr>
        <b/>
        <sz val="10"/>
        <color indexed="8"/>
        <rFont val="Arial"/>
        <family val="2"/>
      </rPr>
      <t xml:space="preserve"> is the one obtained from kL;</t>
    </r>
  </si>
  <si>
    <r>
      <t>III) Estimating K</t>
    </r>
    <r>
      <rPr>
        <b/>
        <vertAlign val="subscript"/>
        <sz val="12"/>
        <rFont val="Arial"/>
        <family val="2"/>
      </rPr>
      <t>TO</t>
    </r>
  </si>
  <si>
    <r>
      <t>IV) Estimating K</t>
    </r>
    <r>
      <rPr>
        <b/>
        <vertAlign val="subscript"/>
        <sz val="12"/>
        <color indexed="8"/>
        <rFont val="Arial"/>
        <family val="2"/>
      </rPr>
      <t>E</t>
    </r>
  </si>
  <si>
    <r>
      <t>m</t>
    </r>
    <r>
      <rPr>
        <b/>
        <vertAlign val="subscript"/>
        <sz val="12"/>
        <color indexed="8"/>
        <rFont val="Arial"/>
        <family val="2"/>
      </rPr>
      <t>ML</t>
    </r>
    <r>
      <rPr>
        <b/>
        <sz val="12"/>
        <color indexed="8"/>
        <rFont val="Arial"/>
        <family val="2"/>
      </rPr>
      <t>/m</t>
    </r>
    <r>
      <rPr>
        <b/>
        <vertAlign val="subscript"/>
        <sz val="12"/>
        <color indexed="8"/>
        <rFont val="Arial"/>
        <family val="2"/>
      </rPr>
      <t>MTO</t>
    </r>
  </si>
  <si>
    <t>Preliminary Sizing I</t>
  </si>
  <si>
    <t>Preliminary Sizing II</t>
  </si>
  <si>
    <t>Propeller Efficiency Evaluation</t>
  </si>
  <si>
    <t>Author:</t>
  </si>
  <si>
    <t>HAW Hamburg</t>
  </si>
  <si>
    <t>Dipl.-Ing. Mihaela Nita</t>
  </si>
  <si>
    <t>For more information see the following links:</t>
  </si>
  <si>
    <r>
      <t xml:space="preserve">SCHOLZ, Dieter; NIŢĂ, Mihaela: </t>
    </r>
    <r>
      <rPr>
        <b/>
        <sz val="10"/>
        <rFont val="Arial"/>
        <family val="2"/>
      </rPr>
      <t>Preliminary Sizing of Large Propeller Driven Aeroplanes</t>
    </r>
  </si>
  <si>
    <r>
      <t xml:space="preserve"> NIŢĂ, Mihaela: </t>
    </r>
    <r>
      <rPr>
        <b/>
        <sz val="10"/>
        <rFont val="Arial"/>
        <family val="2"/>
      </rPr>
      <t>Aircraft Design Studies Based on the ATR 72</t>
    </r>
  </si>
  <si>
    <t>http://Aero.ProfScholz.de</t>
  </si>
  <si>
    <t>Prof. Dr.-Ing. Dieter Scholz, MSME</t>
  </si>
  <si>
    <t>For propeller driven aircrafts we have to take into account the propeller efficiency! The relation becomes:</t>
  </si>
  <si>
    <r>
      <t xml:space="preserve">     in take-off config. and </t>
    </r>
    <r>
      <rPr>
        <u/>
        <sz val="10"/>
        <color indexed="62"/>
        <rFont val="Arial"/>
        <family val="2"/>
      </rPr>
      <t>take-off field length</t>
    </r>
  </si>
  <si>
    <t>Example data is taken from</t>
  </si>
  <si>
    <t>Max. Glide Ratio in Curise</t>
  </si>
  <si>
    <t>## this block provides a min value for power to weight ratio</t>
  </si>
  <si>
    <t xml:space="preserve">     and also the cruise altitude; the input values are lift to drag </t>
  </si>
  <si>
    <t xml:space="preserve">     characteristics of the atmosphere</t>
  </si>
  <si>
    <t>A =</t>
  </si>
  <si>
    <t>m =</t>
  </si>
  <si>
    <t>n =</t>
  </si>
  <si>
    <t>1 m = 3,281 ft</t>
  </si>
  <si>
    <r>
      <t xml:space="preserve">that meet </t>
    </r>
    <r>
      <rPr>
        <u/>
        <sz val="10"/>
        <color indexed="62"/>
        <rFont val="Arial"/>
        <family val="2"/>
      </rPr>
      <t>all requirements</t>
    </r>
    <r>
      <rPr>
        <sz val="10"/>
        <color indexed="62"/>
        <rFont val="Arial"/>
        <family val="2"/>
      </rPr>
      <t xml:space="preserve"> and constraints in an economical manner----&gt;see below</t>
    </r>
  </si>
  <si>
    <t>Specific fuel consumption</t>
  </si>
  <si>
    <t>Fuel-Fraction, extra flight distance</t>
  </si>
  <si>
    <t>Specific fuel consumption, loiter</t>
  </si>
  <si>
    <t>original aircraft</t>
  </si>
  <si>
    <t>kg   (max.)</t>
  </si>
  <si>
    <r>
      <t>P</t>
    </r>
    <r>
      <rPr>
        <vertAlign val="subscript"/>
        <sz val="10"/>
        <rFont val="Arial"/>
        <family val="2"/>
      </rPr>
      <t>S,TO</t>
    </r>
  </si>
  <si>
    <r>
      <t>P</t>
    </r>
    <r>
      <rPr>
        <vertAlign val="subscript"/>
        <sz val="10"/>
        <rFont val="Arial"/>
        <family val="2"/>
      </rPr>
      <t>S,TO</t>
    </r>
    <r>
      <rPr>
        <sz val="10"/>
        <rFont val="Arial"/>
        <family val="2"/>
      </rPr>
      <t xml:space="preserve"> / n</t>
    </r>
    <r>
      <rPr>
        <vertAlign val="subscript"/>
        <sz val="10"/>
        <rFont val="Arial"/>
        <family val="2"/>
      </rPr>
      <t>E</t>
    </r>
  </si>
  <si>
    <t>## See the scheme on the right</t>
  </si>
  <si>
    <r>
      <t>From L=W and from accounting that requirements say V</t>
    </r>
    <r>
      <rPr>
        <vertAlign val="subscript"/>
        <sz val="10"/>
        <color indexed="8"/>
        <rFont val="Arial"/>
        <family val="2"/>
      </rPr>
      <t>App</t>
    </r>
    <r>
      <rPr>
        <sz val="10"/>
        <rFont val="Arial"/>
        <family val="2"/>
      </rPr>
      <t xml:space="preserve"> should not be less than 1.3 V</t>
    </r>
    <r>
      <rPr>
        <vertAlign val="subscript"/>
        <sz val="10"/>
        <color indexed="8"/>
        <rFont val="Arial"/>
        <family val="2"/>
      </rPr>
      <t>S</t>
    </r>
    <r>
      <rPr>
        <sz val="10"/>
        <rFont val="Arial"/>
        <family val="2"/>
      </rPr>
      <t>, the following results:</t>
    </r>
  </si>
  <si>
    <r>
      <t>Overview: Calculating the factors K</t>
    </r>
    <r>
      <rPr>
        <b/>
        <vertAlign val="subscript"/>
        <sz val="12"/>
        <rFont val="Arial"/>
        <family val="2"/>
      </rPr>
      <t>L</t>
    </r>
    <r>
      <rPr>
        <b/>
        <sz val="12"/>
        <rFont val="Arial"/>
        <family val="2"/>
      </rPr>
      <t>, K</t>
    </r>
    <r>
      <rPr>
        <b/>
        <vertAlign val="subscript"/>
        <sz val="12"/>
        <rFont val="Arial"/>
        <family val="2"/>
      </rPr>
      <t>App</t>
    </r>
    <r>
      <rPr>
        <b/>
        <sz val="12"/>
        <rFont val="Arial"/>
        <family val="2"/>
      </rPr>
      <t xml:space="preserve"> , K</t>
    </r>
    <r>
      <rPr>
        <b/>
        <vertAlign val="subscript"/>
        <sz val="12"/>
        <rFont val="Arial"/>
        <family val="2"/>
      </rPr>
      <t>TO</t>
    </r>
    <r>
      <rPr>
        <b/>
        <sz val="12"/>
        <rFont val="Arial"/>
        <family val="2"/>
      </rPr>
      <t xml:space="preserve"> and K</t>
    </r>
    <r>
      <rPr>
        <b/>
        <vertAlign val="subscript"/>
        <sz val="12"/>
        <rFont val="Arial"/>
        <family val="2"/>
      </rPr>
      <t>E</t>
    </r>
    <r>
      <rPr>
        <b/>
        <sz val="12"/>
        <rFont val="Arial"/>
        <family val="2"/>
      </rPr>
      <t xml:space="preserve"> </t>
    </r>
  </si>
  <si>
    <t>We need to take the following parameters from statistics :</t>
  </si>
  <si>
    <t>const</t>
  </si>
  <si>
    <t>http://paper.ProfScholz.de</t>
  </si>
  <si>
    <t>http://bibliothek.ProfScholz.de</t>
  </si>
  <si>
    <t>Stall speed, landing configuration</t>
  </si>
  <si>
    <t>Stall speed, take-off configuration</t>
  </si>
  <si>
    <r>
      <t>P</t>
    </r>
    <r>
      <rPr>
        <vertAlign val="subscript"/>
        <sz val="10"/>
        <rFont val="Arial"/>
        <family val="2"/>
      </rPr>
      <t>STO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MTO,</t>
    </r>
    <r>
      <rPr>
        <sz val="10"/>
        <rFont val="Arial"/>
        <family val="2"/>
      </rPr>
      <t xml:space="preserve"> at 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/S</t>
    </r>
    <r>
      <rPr>
        <vertAlign val="subscript"/>
        <sz val="10"/>
        <rFont val="Arial"/>
        <family val="2"/>
      </rPr>
      <t>W</t>
    </r>
  </si>
  <si>
    <t>W/kg</t>
  </si>
  <si>
    <t>&lt;&lt;&lt;&lt; from 7.) Propeller Efficiency</t>
  </si>
  <si>
    <t>&lt;&lt;&lt;&lt; Design point from matching chart!</t>
  </si>
  <si>
    <t>a [m/s]</t>
  </si>
  <si>
    <r>
      <t>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  <r>
      <rPr>
        <sz val="10"/>
        <rFont val="Arial"/>
        <family val="2"/>
      </rPr>
      <t xml:space="preserve"> [kg/m²]</t>
    </r>
  </si>
  <si>
    <r>
      <t>P</t>
    </r>
    <r>
      <rPr>
        <vertAlign val="subscript"/>
        <sz val="10"/>
        <rFont val="Arial"/>
        <family val="2"/>
      </rPr>
      <t>CR</t>
    </r>
    <r>
      <rPr>
        <sz val="10"/>
        <rFont val="Arial"/>
        <family val="2"/>
      </rPr>
      <t>/P</t>
    </r>
    <r>
      <rPr>
        <vertAlign val="subscript"/>
        <sz val="10"/>
        <rFont val="Arial"/>
        <family val="2"/>
      </rPr>
      <t>S,TO</t>
    </r>
  </si>
  <si>
    <r>
      <t>P</t>
    </r>
    <r>
      <rPr>
        <vertAlign val="subscript"/>
        <sz val="10"/>
        <rFont val="Arial"/>
        <family val="2"/>
      </rPr>
      <t>S,TO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 xml:space="preserve"> [W/kg]</t>
    </r>
  </si>
  <si>
    <r>
      <t xml:space="preserve"> P</t>
    </r>
    <r>
      <rPr>
        <vertAlign val="subscript"/>
        <sz val="10"/>
        <rFont val="Arial"/>
        <family val="2"/>
      </rPr>
      <t>S,TO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</si>
  <si>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r>
      <t>P</t>
    </r>
    <r>
      <rPr>
        <vertAlign val="subscript"/>
        <sz val="10"/>
        <rFont val="Arial"/>
        <family val="2"/>
      </rPr>
      <t>S,TO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</si>
  <si>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/S</t>
    </r>
    <r>
      <rPr>
        <vertAlign val="subscript"/>
        <sz val="10"/>
        <rFont val="Arial"/>
        <family val="2"/>
      </rPr>
      <t>W</t>
    </r>
  </si>
  <si>
    <t>K m² / s²</t>
  </si>
  <si>
    <r>
      <t>T</t>
    </r>
    <r>
      <rPr>
        <vertAlign val="subscript"/>
        <sz val="10"/>
        <rFont val="Arial"/>
        <family val="2"/>
      </rPr>
      <t>0</t>
    </r>
  </si>
  <si>
    <t>Maximum lift coefficient, take-off</t>
  </si>
  <si>
    <t>Take-off safety speed</t>
  </si>
  <si>
    <r>
      <t>V</t>
    </r>
    <r>
      <rPr>
        <vertAlign val="subscript"/>
        <sz val="10"/>
        <rFont val="Arial"/>
        <family val="2"/>
      </rPr>
      <t>S,0</t>
    </r>
  </si>
  <si>
    <r>
      <t>V</t>
    </r>
    <r>
      <rPr>
        <vertAlign val="subscript"/>
        <sz val="10"/>
        <rFont val="Arial"/>
        <family val="2"/>
      </rPr>
      <t>S,1</t>
    </r>
  </si>
  <si>
    <r>
      <t>V</t>
    </r>
    <r>
      <rPr>
        <vertAlign val="subscript"/>
        <sz val="10"/>
        <rFont val="Arial"/>
        <family val="2"/>
      </rPr>
      <t>2</t>
    </r>
  </si>
  <si>
    <r>
      <t>η</t>
    </r>
    <r>
      <rPr>
        <vertAlign val="subscript"/>
        <sz val="10"/>
        <rFont val="Arial"/>
        <family val="2"/>
      </rPr>
      <t>P</t>
    </r>
  </si>
  <si>
    <r>
      <t xml:space="preserve">    </t>
    </r>
    <r>
      <rPr>
        <b/>
        <i/>
        <sz val="10"/>
        <color indexed="62"/>
        <rFont val="Arial"/>
        <family val="2"/>
      </rPr>
      <t xml:space="preserve"> ratio</t>
    </r>
    <r>
      <rPr>
        <sz val="10"/>
        <color indexed="62"/>
        <rFont val="Arial"/>
        <family val="2"/>
      </rPr>
      <t xml:space="preserve"> </t>
    </r>
    <r>
      <rPr>
        <b/>
        <i/>
        <sz val="10"/>
        <color indexed="62"/>
        <rFont val="Arial"/>
        <family val="2"/>
      </rPr>
      <t>as a function of wing loading</t>
    </r>
    <r>
      <rPr>
        <sz val="10"/>
        <color indexed="62"/>
        <rFont val="Arial"/>
        <family val="2"/>
      </rPr>
      <t xml:space="preserve"> dependent of </t>
    </r>
    <r>
      <rPr>
        <u/>
        <sz val="10"/>
        <color indexed="62"/>
        <rFont val="Arial"/>
        <family val="2"/>
      </rPr>
      <t>max lift coefficient</t>
    </r>
  </si>
  <si>
    <r>
      <t xml:space="preserve">     when input data are </t>
    </r>
    <r>
      <rPr>
        <u/>
        <sz val="10"/>
        <color indexed="62"/>
        <rFont val="Arial"/>
        <family val="2"/>
      </rPr>
      <t>max lift  coefficient</t>
    </r>
    <r>
      <rPr>
        <sz val="10"/>
        <color indexed="62"/>
        <rFont val="Arial"/>
        <family val="2"/>
      </rPr>
      <t xml:space="preserve"> with flaps</t>
    </r>
  </si>
  <si>
    <r>
      <t>in case of a redesign: C</t>
    </r>
    <r>
      <rPr>
        <vertAlign val="subscript"/>
        <sz val="10"/>
        <rFont val="Arial"/>
        <family val="2"/>
      </rPr>
      <t>L,max,L</t>
    </r>
    <r>
      <rPr>
        <sz val="10"/>
        <rFont val="Arial"/>
        <family val="2"/>
      </rPr>
      <t xml:space="preserve"> can be estimated from:</t>
    </r>
  </si>
  <si>
    <r>
      <t>V</t>
    </r>
    <r>
      <rPr>
        <vertAlign val="subscript"/>
        <sz val="10"/>
        <rFont val="Arial"/>
        <family val="2"/>
      </rPr>
      <t>S,0</t>
    </r>
    <r>
      <rPr>
        <sz val="10"/>
        <rFont val="Arial"/>
        <family val="2"/>
      </rPr>
      <t xml:space="preserve"> see below</t>
    </r>
  </si>
  <si>
    <r>
      <t>C</t>
    </r>
    <r>
      <rPr>
        <vertAlign val="subscript"/>
        <sz val="10"/>
        <rFont val="Arial"/>
        <family val="2"/>
      </rPr>
      <t>L,max,L</t>
    </r>
  </si>
  <si>
    <t>Propeller disc area</t>
  </si>
  <si>
    <t>Disc loading</t>
  </si>
  <si>
    <t>Propeller disc diameter</t>
  </si>
  <si>
    <r>
      <t>d</t>
    </r>
    <r>
      <rPr>
        <vertAlign val="subscript"/>
        <sz val="10"/>
        <rFont val="Arial"/>
        <family val="2"/>
      </rPr>
      <t>D</t>
    </r>
  </si>
  <si>
    <r>
      <t>S</t>
    </r>
    <r>
      <rPr>
        <vertAlign val="subscript"/>
        <sz val="10"/>
        <rFont val="Arial"/>
        <family val="2"/>
      </rPr>
      <t>D</t>
    </r>
  </si>
  <si>
    <r>
      <t>L</t>
    </r>
    <r>
      <rPr>
        <vertAlign val="subscript"/>
        <sz val="10"/>
        <rFont val="Arial"/>
        <family val="2"/>
      </rPr>
      <t>D</t>
    </r>
  </si>
  <si>
    <t>all eng. together</t>
  </si>
  <si>
    <r>
      <t>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/S</t>
    </r>
    <r>
      <rPr>
        <vertAlign val="subscript"/>
        <sz val="10"/>
        <rFont val="Arial"/>
        <family val="2"/>
      </rPr>
      <t>W</t>
    </r>
    <r>
      <rPr>
        <sz val="10"/>
        <rFont val="Arial"/>
        <family val="2"/>
      </rPr>
      <t xml:space="preserve"> :</t>
    </r>
  </si>
  <si>
    <r>
      <t>P</t>
    </r>
    <r>
      <rPr>
        <vertAlign val="subscript"/>
        <sz val="10"/>
        <rFont val="Arial"/>
        <family val="2"/>
      </rPr>
      <t>S,TO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 xml:space="preserve"> :</t>
    </r>
  </si>
  <si>
    <t>&lt;&lt;&lt;&lt; compare with design point</t>
  </si>
  <si>
    <t>Calculating propeller efficiency</t>
  </si>
  <si>
    <t>with Take-Off power setting</t>
  </si>
  <si>
    <t xml:space="preserve">     ratio, the given cruise Mach number, engine parameters and</t>
  </si>
  <si>
    <t>Remark:</t>
  </si>
  <si>
    <r>
      <t>P</t>
    </r>
    <r>
      <rPr>
        <vertAlign val="subscript"/>
        <sz val="10"/>
        <rFont val="Arial"/>
        <family val="2"/>
      </rPr>
      <t>S,TO</t>
    </r>
    <r>
      <rPr>
        <sz val="10"/>
        <rFont val="Arial"/>
        <family val="2"/>
      </rPr>
      <t xml:space="preserve"> / m</t>
    </r>
    <r>
      <rPr>
        <vertAlign val="subscript"/>
        <sz val="10"/>
        <rFont val="Arial"/>
        <family val="2"/>
      </rPr>
      <t>MTO</t>
    </r>
  </si>
  <si>
    <t>Relative power in cruise</t>
  </si>
  <si>
    <t>Redesign? Enter original aircraft data! Compare with results!</t>
  </si>
  <si>
    <t>from statistics for turboprops (Jenkinson 1999)</t>
  </si>
  <si>
    <t>CR power of ONE engine</t>
  </si>
  <si>
    <r>
      <t>P</t>
    </r>
    <r>
      <rPr>
        <vertAlign val="subscript"/>
        <sz val="10"/>
        <rFont val="Arial"/>
        <family val="2"/>
      </rPr>
      <t>S,CR</t>
    </r>
    <r>
      <rPr>
        <sz val="10"/>
        <rFont val="Arial"/>
        <family val="2"/>
      </rPr>
      <t xml:space="preserve"> / n</t>
    </r>
    <r>
      <rPr>
        <vertAlign val="subscript"/>
        <sz val="10"/>
        <rFont val="Arial"/>
        <family val="2"/>
      </rPr>
      <t>E    calculated</t>
    </r>
  </si>
  <si>
    <t>Disc loading, estimated</t>
  </si>
  <si>
    <r>
      <t>L</t>
    </r>
    <r>
      <rPr>
        <vertAlign val="subscript"/>
        <sz val="10"/>
        <rFont val="Arial"/>
        <family val="2"/>
      </rPr>
      <t>D   calculated</t>
    </r>
  </si>
  <si>
    <t>Relative density in cruise</t>
  </si>
  <si>
    <t>Temperature in cruise</t>
  </si>
  <si>
    <r>
      <t>h</t>
    </r>
    <r>
      <rPr>
        <vertAlign val="subscript"/>
        <sz val="10"/>
        <rFont val="Arial"/>
        <family val="2"/>
      </rPr>
      <t>CR</t>
    </r>
  </si>
  <si>
    <t>ft</t>
  </si>
  <si>
    <t>Cruise speed, estimated</t>
  </si>
  <si>
    <t>Cruise speed, calculated</t>
  </si>
  <si>
    <t>Speed of sound</t>
  </si>
  <si>
    <t>Cruise speed, first iteration</t>
  </si>
  <si>
    <r>
      <t>V</t>
    </r>
    <r>
      <rPr>
        <vertAlign val="subscript"/>
        <sz val="10"/>
        <rFont val="Arial"/>
        <family val="2"/>
      </rPr>
      <t>CR    1. iteration</t>
    </r>
  </si>
  <si>
    <r>
      <t>V</t>
    </r>
    <r>
      <rPr>
        <vertAlign val="subscript"/>
        <sz val="10"/>
        <rFont val="Arial"/>
        <family val="2"/>
      </rPr>
      <t>CR    2. iteration</t>
    </r>
  </si>
  <si>
    <r>
      <t>V</t>
    </r>
    <r>
      <rPr>
        <vertAlign val="subscript"/>
        <sz val="10"/>
        <rFont val="Arial"/>
        <family val="2"/>
      </rPr>
      <t>CR    3. iteration</t>
    </r>
  </si>
  <si>
    <r>
      <t xml:space="preserve">&lt;&lt;&lt;&lt; </t>
    </r>
    <r>
      <rPr>
        <sz val="10"/>
        <rFont val="Arial"/>
        <family val="2"/>
      </rPr>
      <t>Interpolated from table above</t>
    </r>
  </si>
  <si>
    <t>kWm/kg</t>
  </si>
  <si>
    <t>use for calculating propeller efficiency</t>
  </si>
  <si>
    <t xml:space="preserve"> for retractable propeller aircraft</t>
  </si>
  <si>
    <t xml:space="preserve"> for large propeller driven aircraft: statistics give a value 11,22 --- See 1.) Parameters-Statistics</t>
  </si>
  <si>
    <t xml:space="preserve"> Roskam / Raymer (see FE-Script)</t>
  </si>
  <si>
    <t>The calculation is ilustrated with data from the ATR 72.</t>
  </si>
  <si>
    <t>While adapting this method from jets to propeller driven aircrafts, some parameters needed special attention.</t>
  </si>
  <si>
    <t xml:space="preserve">These worksheets show the method and example calculation </t>
  </si>
  <si>
    <t>Method for preliminary sizing of large propeller driven aircrafts</t>
  </si>
  <si>
    <t>The method is shown in worksheets 3, 4, 5, 6 and 7.</t>
  </si>
  <si>
    <t>An overview about how these parameters were obtained can be found in worksheets 1, 2 and 8.</t>
  </si>
  <si>
    <t>http://www.profscholz.de</t>
  </si>
  <si>
    <r>
      <t xml:space="preserve">for the </t>
    </r>
    <r>
      <rPr>
        <b/>
        <sz val="12"/>
        <color indexed="10"/>
        <rFont val="Arial"/>
        <family val="2"/>
      </rPr>
      <t>preliminary sizing of large propeller driven aircrafts</t>
    </r>
    <r>
      <rPr>
        <b/>
        <sz val="12"/>
        <rFont val="Arial"/>
        <family val="2"/>
      </rPr>
      <t xml:space="preserve"> certified with respect to CS-25.</t>
    </r>
  </si>
  <si>
    <t>see below</t>
  </si>
  <si>
    <r>
      <t>T</t>
    </r>
    <r>
      <rPr>
        <vertAlign val="subscript"/>
        <sz val="10"/>
        <rFont val="Arial"/>
        <family val="2"/>
      </rPr>
      <t>Troposphere</t>
    </r>
  </si>
  <si>
    <t>Average take-off safety speed</t>
  </si>
  <si>
    <r>
      <t>0,707 * V</t>
    </r>
    <r>
      <rPr>
        <vertAlign val="subscript"/>
        <sz val="10"/>
        <rFont val="Arial"/>
        <family val="2"/>
      </rPr>
      <t>2</t>
    </r>
  </si>
  <si>
    <t>from Take-Off</t>
  </si>
  <si>
    <t>Designtes Flugzeug</t>
  </si>
  <si>
    <t>A320</t>
  </si>
  <si>
    <t>A320 Entwurf TP</t>
  </si>
  <si>
    <t>kW/kg</t>
  </si>
  <si>
    <t>kW</t>
  </si>
  <si>
    <t>H-Tail</t>
  </si>
  <si>
    <t>V-Tail</t>
  </si>
  <si>
    <t>Nacelle</t>
  </si>
  <si>
    <t>Pylon</t>
  </si>
  <si>
    <t>Undercarriage</t>
  </si>
  <si>
    <t>Thrust rev.</t>
  </si>
  <si>
    <t>Engine control</t>
  </si>
  <si>
    <t>Fuel system</t>
  </si>
  <si>
    <t>Oil system</t>
  </si>
  <si>
    <t>APU</t>
  </si>
  <si>
    <t>Flight con. sys.</t>
  </si>
  <si>
    <t>Hydr./pneu. Sys.</t>
  </si>
  <si>
    <t>Electrical</t>
  </si>
  <si>
    <t>Instrument</t>
  </si>
  <si>
    <t>Avionics</t>
  </si>
  <si>
    <t>ECS</t>
  </si>
  <si>
    <t>Oxygen</t>
  </si>
  <si>
    <t>Furnishing</t>
  </si>
  <si>
    <t>Miscellaneous</t>
  </si>
  <si>
    <t>Paint</t>
  </si>
  <si>
    <t>Contingency</t>
  </si>
  <si>
    <t>TOTAL</t>
  </si>
  <si>
    <t>Crew</t>
  </si>
  <si>
    <t>Consumable</t>
  </si>
  <si>
    <t>Fuel</t>
  </si>
  <si>
    <t>d</t>
  </si>
  <si>
    <t>&lt;&lt;&lt;&lt; Calculate in system masses</t>
  </si>
  <si>
    <t>System</t>
  </si>
  <si>
    <t>stays the same</t>
  </si>
  <si>
    <t>changes</t>
  </si>
  <si>
    <t>New Aircraft</t>
  </si>
  <si>
    <t>no</t>
  </si>
  <si>
    <t>System masses</t>
  </si>
  <si>
    <t>Target search: Data -&gt; What-If-Analysis -&gt; Goal Seek</t>
  </si>
  <si>
    <t>Set cell:</t>
  </si>
  <si>
    <t>D3</t>
  </si>
  <si>
    <t>not required</t>
  </si>
  <si>
    <t>To value:</t>
  </si>
  <si>
    <t>By changing:</t>
  </si>
  <si>
    <t>F8</t>
  </si>
  <si>
    <r>
      <t>S</t>
    </r>
    <r>
      <rPr>
        <vertAlign val="subscript"/>
        <sz val="10"/>
        <rFont val="Arial"/>
        <family val="2"/>
      </rPr>
      <t>W</t>
    </r>
  </si>
  <si>
    <r>
      <t>pd</t>
    </r>
    <r>
      <rPr>
        <vertAlign val="subscript"/>
        <sz val="10"/>
        <rFont val="Arial"/>
        <family val="2"/>
      </rPr>
      <t>E,ref</t>
    </r>
  </si>
  <si>
    <r>
      <t>P</t>
    </r>
    <r>
      <rPr>
        <vertAlign val="subscript"/>
        <sz val="10"/>
        <rFont val="Arial"/>
        <family val="2"/>
      </rPr>
      <t>ges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</si>
  <si>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r>
      <t>P</t>
    </r>
    <r>
      <rPr>
        <vertAlign val="subscript"/>
        <sz val="10"/>
        <rFont val="Arial"/>
        <family val="2"/>
      </rPr>
      <t>ges</t>
    </r>
  </si>
  <si>
    <r>
      <t>m</t>
    </r>
    <r>
      <rPr>
        <vertAlign val="superscript"/>
        <sz val="10"/>
        <rFont val="Arial"/>
        <family val="2"/>
      </rPr>
      <t>2</t>
    </r>
  </si>
  <si>
    <r>
      <t>kg/m</t>
    </r>
    <r>
      <rPr>
        <vertAlign val="superscript"/>
        <sz val="10"/>
        <rFont val="Arial"/>
        <family val="2"/>
      </rPr>
      <t>2</t>
    </r>
  </si>
  <si>
    <r>
      <t>m</t>
    </r>
    <r>
      <rPr>
        <b/>
        <vertAlign val="subscript"/>
        <sz val="10"/>
        <rFont val="Arial"/>
        <family val="2"/>
      </rPr>
      <t>sys,TP,SR</t>
    </r>
    <r>
      <rPr>
        <b/>
        <sz val="10"/>
        <rFont val="Arial"/>
        <family val="2"/>
      </rPr>
      <t xml:space="preserve"> [kg]</t>
    </r>
  </si>
  <si>
    <r>
      <t>m</t>
    </r>
    <r>
      <rPr>
        <b/>
        <vertAlign val="subscript"/>
        <sz val="10"/>
        <rFont val="Arial"/>
        <family val="2"/>
      </rPr>
      <t>sys</t>
    </r>
    <r>
      <rPr>
        <b/>
        <sz val="10"/>
        <rFont val="Arial"/>
        <family val="2"/>
      </rPr>
      <t>/m</t>
    </r>
    <r>
      <rPr>
        <b/>
        <vertAlign val="subscript"/>
        <sz val="10"/>
        <rFont val="Arial"/>
        <family val="2"/>
      </rPr>
      <t>ref</t>
    </r>
  </si>
  <si>
    <r>
      <t>m</t>
    </r>
    <r>
      <rPr>
        <vertAlign val="subscript"/>
        <sz val="10"/>
        <rFont val="Arial"/>
        <family val="2"/>
      </rPr>
      <t>W</t>
    </r>
    <r>
      <rPr>
        <sz val="10"/>
        <rFont val="Arial"/>
        <family val="2"/>
      </rPr>
      <t>/S</t>
    </r>
    <r>
      <rPr>
        <vertAlign val="subscript"/>
        <sz val="10"/>
        <rFont val="Arial"/>
        <family val="2"/>
      </rPr>
      <t>W</t>
    </r>
  </si>
  <si>
    <r>
      <t>m</t>
    </r>
    <r>
      <rPr>
        <vertAlign val="subscript"/>
        <sz val="10"/>
        <rFont val="Arial"/>
        <family val="2"/>
      </rPr>
      <t>H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W</t>
    </r>
  </si>
  <si>
    <r>
      <t>m</t>
    </r>
    <r>
      <rPr>
        <vertAlign val="subscript"/>
        <sz val="10"/>
        <rFont val="Arial"/>
        <family val="2"/>
      </rPr>
      <t>V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W</t>
    </r>
  </si>
  <si>
    <r>
      <t>m</t>
    </r>
    <r>
      <rPr>
        <vertAlign val="subscript"/>
        <sz val="10"/>
        <rFont val="Arial"/>
        <family val="2"/>
      </rPr>
      <t>NA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</si>
  <si>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PY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</si>
  <si>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UC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</si>
  <si>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r>
      <t>m</t>
    </r>
    <r>
      <rPr>
        <b/>
        <vertAlign val="subscript"/>
        <sz val="10"/>
        <rFont val="Arial"/>
        <family val="2"/>
      </rPr>
      <t>sys,D,SR</t>
    </r>
    <r>
      <rPr>
        <b/>
        <sz val="10"/>
        <rFont val="Arial"/>
        <family val="2"/>
      </rPr>
      <t xml:space="preserve"> [kg]</t>
    </r>
  </si>
  <si>
    <r>
      <t>m</t>
    </r>
    <r>
      <rPr>
        <vertAlign val="subscript"/>
        <sz val="10"/>
        <rFont val="Arial"/>
        <family val="2"/>
      </rPr>
      <t>MTO,D,SR</t>
    </r>
  </si>
  <si>
    <r>
      <t>P</t>
    </r>
    <r>
      <rPr>
        <vertAlign val="subscript"/>
        <sz val="10"/>
        <rFont val="Arial"/>
        <family val="2"/>
      </rPr>
      <t>ges,D,SR</t>
    </r>
  </si>
  <si>
    <r>
      <t>S</t>
    </r>
    <r>
      <rPr>
        <vertAlign val="subscript"/>
        <sz val="10"/>
        <rFont val="Arial"/>
        <family val="2"/>
      </rPr>
      <t>W,D,SR</t>
    </r>
  </si>
  <si>
    <r>
      <t>pd</t>
    </r>
    <r>
      <rPr>
        <vertAlign val="subscript"/>
        <sz val="10"/>
        <rFont val="Arial"/>
        <family val="2"/>
      </rPr>
      <t>E,D,SR</t>
    </r>
  </si>
  <si>
    <r>
      <t>DIff</t>
    </r>
    <r>
      <rPr>
        <b/>
        <vertAlign val="subscript"/>
        <sz val="10"/>
        <rFont val="Arial"/>
        <family val="2"/>
      </rPr>
      <t>abs</t>
    </r>
    <r>
      <rPr>
        <b/>
        <sz val="10"/>
        <rFont val="Arial"/>
        <family val="2"/>
      </rPr>
      <t xml:space="preserve"> [kg]</t>
    </r>
  </si>
  <si>
    <r>
      <t>Diff</t>
    </r>
    <r>
      <rPr>
        <b/>
        <vertAlign val="subscript"/>
        <sz val="10"/>
        <rFont val="Arial"/>
        <family val="2"/>
      </rPr>
      <t>rel</t>
    </r>
    <r>
      <rPr>
        <b/>
        <sz val="10"/>
        <rFont val="Arial"/>
        <family val="2"/>
      </rPr>
      <t xml:space="preserve"> [%]</t>
    </r>
  </si>
  <si>
    <r>
      <t>TOTAL/m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 xml:space="preserve"> (%)</t>
    </r>
  </si>
  <si>
    <r>
      <t>m</t>
    </r>
    <r>
      <rPr>
        <b/>
        <vertAlign val="subscript"/>
        <sz val="10"/>
        <rFont val="Arial"/>
        <family val="2"/>
      </rPr>
      <t>ME</t>
    </r>
    <r>
      <rPr>
        <b/>
        <sz val="10"/>
        <rFont val="Arial"/>
        <family val="2"/>
      </rPr>
      <t>/m</t>
    </r>
    <r>
      <rPr>
        <b/>
        <vertAlign val="subscript"/>
        <sz val="10"/>
        <rFont val="Arial"/>
        <family val="2"/>
      </rPr>
      <t>MTO</t>
    </r>
    <r>
      <rPr>
        <b/>
        <sz val="10"/>
        <rFont val="Arial"/>
        <family val="2"/>
      </rPr>
      <t xml:space="preserve"> (%)</t>
    </r>
  </si>
  <si>
    <r>
      <t>m</t>
    </r>
    <r>
      <rPr>
        <b/>
        <vertAlign val="subscript"/>
        <sz val="10"/>
        <rFont val="Arial"/>
        <family val="2"/>
      </rPr>
      <t>OE</t>
    </r>
    <r>
      <rPr>
        <b/>
        <sz val="10"/>
        <rFont val="Arial"/>
        <family val="2"/>
      </rPr>
      <t>/m</t>
    </r>
    <r>
      <rPr>
        <b/>
        <vertAlign val="subscript"/>
        <sz val="10"/>
        <rFont val="Arial"/>
        <family val="2"/>
      </rPr>
      <t>MTO</t>
    </r>
    <r>
      <rPr>
        <b/>
        <sz val="10"/>
        <rFont val="Arial"/>
        <family val="2"/>
      </rPr>
      <t xml:space="preserve"> (%)</t>
    </r>
  </si>
  <si>
    <t>Masses reference aircarft WV012</t>
  </si>
  <si>
    <r>
      <t>Maximum Ramp Mass (m</t>
    </r>
    <r>
      <rPr>
        <vertAlign val="subscript"/>
        <sz val="10"/>
        <rFont val="Arial"/>
        <family val="2"/>
      </rPr>
      <t>MR</t>
    </r>
    <r>
      <rPr>
        <sz val="10"/>
        <rFont val="Arial"/>
        <family val="2"/>
      </rPr>
      <t>)</t>
    </r>
  </si>
  <si>
    <r>
      <t>Maximum Take-Off Mass (m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)</t>
    </r>
  </si>
  <si>
    <r>
      <t>Maximum Landning Mass (m</t>
    </r>
    <r>
      <rPr>
        <vertAlign val="subscript"/>
        <sz val="10"/>
        <rFont val="Arial"/>
        <family val="2"/>
      </rPr>
      <t>ML</t>
    </r>
    <r>
      <rPr>
        <sz val="10"/>
        <rFont val="Arial"/>
        <family val="2"/>
      </rPr>
      <t>)</t>
    </r>
  </si>
  <si>
    <r>
      <t>Maximum Zero Fuel Mass (m</t>
    </r>
    <r>
      <rPr>
        <vertAlign val="subscript"/>
        <sz val="10"/>
        <rFont val="Arial"/>
        <family val="2"/>
      </rPr>
      <t>MZF</t>
    </r>
    <r>
      <rPr>
        <sz val="10"/>
        <rFont val="Arial"/>
        <family val="2"/>
      </rPr>
      <t>)</t>
    </r>
  </si>
  <si>
    <r>
      <t>Wing surface (S</t>
    </r>
    <r>
      <rPr>
        <vertAlign val="subscript"/>
        <sz val="10"/>
        <rFont val="Arial"/>
        <family val="2"/>
      </rPr>
      <t>W</t>
    </r>
    <r>
      <rPr>
        <sz val="10"/>
        <rFont val="Arial"/>
        <family val="2"/>
      </rPr>
      <t>)</t>
    </r>
  </si>
  <si>
    <t>Input Data from Turboprop Aircraft SR</t>
  </si>
  <si>
    <t>F9/F11</t>
  </si>
  <si>
    <r>
      <t>P</t>
    </r>
    <r>
      <rPr>
        <vertAlign val="subscript"/>
        <sz val="10"/>
        <rFont val="Arial"/>
        <family val="2"/>
      </rPr>
      <t>ges,D,SR</t>
    </r>
    <r>
      <rPr>
        <sz val="10"/>
        <rFont val="Arial"/>
        <family val="2"/>
      </rPr>
      <t>/pd</t>
    </r>
    <r>
      <rPr>
        <vertAlign val="subscript"/>
        <sz val="10"/>
        <rFont val="Arial"/>
        <family val="2"/>
      </rPr>
      <t>E,D,SR</t>
    </r>
  </si>
  <si>
    <t>Copyright © 2023</t>
  </si>
  <si>
    <t>Tobias Albrecht</t>
  </si>
  <si>
    <t>The spreadsheet for the Project (Master studies)</t>
  </si>
  <si>
    <t>"Design of a Modern Passenger Aircraft with Diesel Engine and Propeller"</t>
  </si>
  <si>
    <t>is free software: you can redistribute it and/or modify it</t>
  </si>
  <si>
    <t>under the terms of the GNU General Public License as published by</t>
  </si>
  <si>
    <t>the Free Software Foundation, License Version 3.</t>
  </si>
  <si>
    <t>The spreadsheet is distributed in the hope that it will be useful,</t>
  </si>
  <si>
    <t>but WITHOUT ANY WARRANTY; without even the implied warranty of</t>
  </si>
  <si>
    <t>MERCHANTABILITY or FITNESS FOR A PARTICULAR PURPOSE.</t>
  </si>
  <si>
    <t>See the GNU General Public License for more details.</t>
  </si>
  <si>
    <t>https://www.gnu.org/licenses</t>
  </si>
  <si>
    <t>This file is stored here:</t>
  </si>
  <si>
    <t>https://doi.org/10.7910/DVN/VQCSCF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</si>
</sst>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.00000"/>
    <numFmt numFmtId="165" formatCode="0.0000"/>
    <numFmt numFmtId="166" formatCode="0.000"/>
    <numFmt numFmtId="167" formatCode="0.000000"/>
    <numFmt numFmtId="168" formatCode="0.0"/>
    <numFmt numFmtId="169" formatCode="0.0000000"/>
    <numFmt numFmtId="170" formatCode="0.00000000"/>
    <numFmt numFmtId="171" formatCode="0.0E+00"/>
    <numFmt numFmtId="172" formatCode="0.0%"/>
  </numFmts>
  <fonts count="56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b/>
      <sz val="14"/>
      <name val="Arial"/>
      <family val="2"/>
    </font>
    <font>
      <sz val="10"/>
      <name val="Symbol"/>
      <family val="1"/>
      <charset val="2"/>
    </font>
    <font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vertAlign val="superscript"/>
      <sz val="10"/>
      <color indexed="12"/>
      <name val="Arial"/>
      <family val="2"/>
    </font>
    <font>
      <sz val="8"/>
      <name val="Arial"/>
      <family val="2"/>
    </font>
    <font>
      <sz val="10"/>
      <color indexed="62"/>
      <name val="Arial"/>
      <family val="2"/>
    </font>
    <font>
      <i/>
      <sz val="10"/>
      <color indexed="62"/>
      <name val="Arial"/>
      <family val="2"/>
    </font>
    <font>
      <u/>
      <sz val="10"/>
      <color indexed="62"/>
      <name val="Arial"/>
      <family val="2"/>
    </font>
    <font>
      <b/>
      <i/>
      <sz val="10"/>
      <color indexed="62"/>
      <name val="Arial"/>
      <family val="2"/>
    </font>
    <font>
      <sz val="10"/>
      <name val="Calibri"/>
      <family val="2"/>
    </font>
    <font>
      <vertAlign val="superscript"/>
      <sz val="10"/>
      <name val="Arial"/>
      <family val="2"/>
    </font>
    <font>
      <sz val="11"/>
      <color indexed="8"/>
      <name val="Calibri"/>
      <family val="2"/>
    </font>
    <font>
      <vertAlign val="subscript"/>
      <sz val="11"/>
      <color indexed="8"/>
      <name val="Calibri"/>
      <family val="2"/>
    </font>
    <font>
      <vertAlign val="superscript"/>
      <sz val="11"/>
      <color indexed="8"/>
      <name val="Calibri"/>
      <family val="2"/>
    </font>
    <font>
      <vertAlign val="subscript"/>
      <sz val="10"/>
      <color indexed="8"/>
      <name val="Arial"/>
      <family val="2"/>
    </font>
    <font>
      <sz val="10"/>
      <color indexed="8"/>
      <name val="Arial"/>
      <family val="2"/>
    </font>
    <font>
      <vertAlign val="superscript"/>
      <sz val="10"/>
      <color indexed="8"/>
      <name val="Arial"/>
      <family val="2"/>
    </font>
    <font>
      <b/>
      <sz val="12"/>
      <name val="Arial"/>
      <family val="2"/>
    </font>
    <font>
      <b/>
      <vertAlign val="subscript"/>
      <sz val="12"/>
      <name val="Arial"/>
      <family val="2"/>
    </font>
    <font>
      <b/>
      <sz val="10"/>
      <color indexed="8"/>
      <name val="Arial"/>
      <family val="2"/>
    </font>
    <font>
      <vertAlign val="subscript"/>
      <sz val="10"/>
      <color indexed="62"/>
      <name val="Arial"/>
      <family val="2"/>
    </font>
    <font>
      <i/>
      <sz val="10"/>
      <name val="Arial"/>
      <family val="2"/>
    </font>
    <font>
      <b/>
      <sz val="12"/>
      <color indexed="8"/>
      <name val="Arial"/>
      <family val="2"/>
    </font>
    <font>
      <b/>
      <vertAlign val="subscript"/>
      <sz val="10"/>
      <color indexed="8"/>
      <name val="Arial"/>
      <family val="2"/>
    </font>
    <font>
      <b/>
      <vertAlign val="subscript"/>
      <sz val="12"/>
      <color indexed="8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0"/>
      <color indexed="62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b/>
      <u/>
      <sz val="10"/>
      <color indexed="8"/>
      <name val="Arial"/>
      <family val="2"/>
    </font>
    <font>
      <b/>
      <sz val="12"/>
      <color indexed="10"/>
      <name val="Arial"/>
      <family val="2"/>
    </font>
    <font>
      <sz val="12"/>
      <name val="Times New Roman"/>
      <family val="1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u/>
      <sz val="10"/>
      <color theme="10"/>
      <name val="Arial"/>
      <family val="2"/>
    </font>
    <font>
      <u/>
      <sz val="11"/>
      <color rgb="FF0000FF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10"/>
      </left>
      <right/>
      <top style="medium">
        <color indexed="10"/>
      </top>
      <bottom/>
      <diagonal/>
    </border>
    <border>
      <left/>
      <right style="medium">
        <color indexed="10"/>
      </right>
      <top style="medium">
        <color indexed="10"/>
      </top>
      <bottom/>
      <diagonal/>
    </border>
    <border>
      <left style="medium">
        <color indexed="10"/>
      </left>
      <right/>
      <top/>
      <bottom style="medium">
        <color indexed="10"/>
      </bottom>
      <diagonal/>
    </border>
    <border>
      <left/>
      <right style="medium">
        <color indexed="10"/>
      </right>
      <top/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thin">
        <color indexed="64"/>
      </bottom>
      <diagonal/>
    </border>
    <border>
      <left style="medium">
        <color indexed="10"/>
      </left>
      <right style="medium">
        <color indexed="10"/>
      </right>
      <top style="thin">
        <color indexed="64"/>
      </top>
      <bottom style="thin">
        <color indexed="64"/>
      </bottom>
      <diagonal/>
    </border>
    <border>
      <left style="medium">
        <color indexed="10"/>
      </left>
      <right style="medium">
        <color indexed="10"/>
      </right>
      <top style="thin">
        <color indexed="64"/>
      </top>
      <bottom/>
      <diagonal/>
    </border>
    <border>
      <left style="medium">
        <color indexed="10"/>
      </left>
      <right style="medium">
        <color indexed="10"/>
      </right>
      <top style="thin">
        <color indexed="64"/>
      </top>
      <bottom style="medium">
        <color indexed="1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10"/>
      </left>
      <right style="thin">
        <color indexed="64"/>
      </right>
      <top style="medium">
        <color indexed="10"/>
      </top>
      <bottom/>
      <diagonal/>
    </border>
    <border>
      <left/>
      <right/>
      <top style="medium">
        <color indexed="10"/>
      </top>
      <bottom/>
      <diagonal/>
    </border>
    <border>
      <left style="thin">
        <color indexed="64"/>
      </left>
      <right style="thin">
        <color indexed="64"/>
      </right>
      <top style="medium">
        <color indexed="10"/>
      </top>
      <bottom/>
      <diagonal/>
    </border>
    <border>
      <left style="thin">
        <color indexed="64"/>
      </left>
      <right style="medium">
        <color indexed="10"/>
      </right>
      <top style="medium">
        <color indexed="10"/>
      </top>
      <bottom/>
      <diagonal/>
    </border>
    <border>
      <left style="medium">
        <color indexed="10"/>
      </left>
      <right style="thin">
        <color indexed="64"/>
      </right>
      <top/>
      <bottom style="medium">
        <color indexed="10"/>
      </bottom>
      <diagonal/>
    </border>
    <border>
      <left style="thin">
        <color indexed="64"/>
      </left>
      <right/>
      <top/>
      <bottom style="medium">
        <color indexed="10"/>
      </bottom>
      <diagonal/>
    </border>
    <border>
      <left style="thin">
        <color indexed="64"/>
      </left>
      <right style="thin">
        <color indexed="64"/>
      </right>
      <top/>
      <bottom style="medium">
        <color indexed="10"/>
      </bottom>
      <diagonal/>
    </border>
    <border>
      <left style="thin">
        <color indexed="64"/>
      </left>
      <right style="medium">
        <color indexed="10"/>
      </right>
      <top/>
      <bottom style="medium">
        <color indexed="10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/>
      <top/>
      <bottom style="medium">
        <color indexed="10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medium">
        <color indexed="10"/>
      </left>
      <right/>
      <top/>
      <bottom/>
      <diagonal/>
    </border>
    <border>
      <left/>
      <right style="medium">
        <color indexed="10"/>
      </right>
      <top/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1" fillId="0" borderId="0"/>
    <xf numFmtId="0" fontId="1" fillId="0" borderId="0"/>
    <xf numFmtId="0" fontId="53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/>
  </cellStyleXfs>
  <cellXfs count="448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right"/>
    </xf>
    <xf numFmtId="0" fontId="6" fillId="0" borderId="0" xfId="0" applyFont="1"/>
    <xf numFmtId="2" fontId="0" fillId="0" borderId="0" xfId="0" applyNumberFormat="1"/>
    <xf numFmtId="1" fontId="0" fillId="0" borderId="0" xfId="0" applyNumberFormat="1"/>
    <xf numFmtId="0" fontId="0" fillId="0" borderId="1" xfId="0" applyBorder="1" applyAlignment="1">
      <alignment horizontal="left"/>
    </xf>
    <xf numFmtId="0" fontId="2" fillId="0" borderId="0" xfId="0" applyFont="1"/>
    <xf numFmtId="0" fontId="8" fillId="0" borderId="0" xfId="0" applyFont="1"/>
    <xf numFmtId="166" fontId="0" fillId="0" borderId="0" xfId="0" applyNumberFormat="1"/>
    <xf numFmtId="168" fontId="0" fillId="0" borderId="0" xfId="0" applyNumberFormat="1"/>
    <xf numFmtId="0" fontId="9" fillId="0" borderId="0" xfId="0" applyFont="1"/>
    <xf numFmtId="0" fontId="3" fillId="0" borderId="0" xfId="0" applyFont="1"/>
    <xf numFmtId="0" fontId="0" fillId="0" borderId="0" xfId="0" quotePrefix="1"/>
    <xf numFmtId="1" fontId="3" fillId="0" borderId="0" xfId="0" applyNumberFormat="1" applyFont="1"/>
    <xf numFmtId="166" fontId="7" fillId="0" borderId="0" xfId="0" applyNumberFormat="1" applyFont="1"/>
    <xf numFmtId="9" fontId="7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7" fillId="0" borderId="0" xfId="0" applyFont="1"/>
    <xf numFmtId="0" fontId="10" fillId="0" borderId="0" xfId="0" applyFont="1"/>
    <xf numFmtId="0" fontId="0" fillId="0" borderId="2" xfId="0" applyBorder="1"/>
    <xf numFmtId="0" fontId="0" fillId="0" borderId="3" xfId="0" applyBorder="1"/>
    <xf numFmtId="166" fontId="0" fillId="0" borderId="4" xfId="0" applyNumberForma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6" xfId="0" applyBorder="1" applyAlignment="1">
      <alignment horizontal="centerContinuous"/>
    </xf>
    <xf numFmtId="0" fontId="0" fillId="0" borderId="8" xfId="0" applyBorder="1" applyAlignment="1">
      <alignment horizontal="centerContinuous"/>
    </xf>
    <xf numFmtId="0" fontId="0" fillId="0" borderId="8" xfId="0" applyBorder="1" applyAlignment="1">
      <alignment horizontal="right"/>
    </xf>
    <xf numFmtId="166" fontId="0" fillId="0" borderId="3" xfId="0" applyNumberFormat="1" applyBorder="1"/>
    <xf numFmtId="0" fontId="0" fillId="0" borderId="9" xfId="0" applyBorder="1"/>
    <xf numFmtId="0" fontId="0" fillId="0" borderId="9" xfId="0" applyBorder="1" applyAlignment="1">
      <alignment horizontal="right"/>
    </xf>
    <xf numFmtId="166" fontId="0" fillId="0" borderId="10" xfId="0" applyNumberFormat="1" applyBorder="1"/>
    <xf numFmtId="166" fontId="0" fillId="0" borderId="5" xfId="0" applyNumberFormat="1" applyBorder="1"/>
    <xf numFmtId="166" fontId="10" fillId="0" borderId="0" xfId="0" applyNumberFormat="1" applyFont="1" applyAlignment="1">
      <alignment horizontal="right"/>
    </xf>
    <xf numFmtId="166" fontId="10" fillId="0" borderId="0" xfId="0" applyNumberFormat="1" applyFont="1"/>
    <xf numFmtId="1" fontId="13" fillId="0" borderId="0" xfId="0" applyNumberFormat="1" applyFont="1"/>
    <xf numFmtId="0" fontId="13" fillId="0" borderId="0" xfId="0" applyFont="1"/>
    <xf numFmtId="2" fontId="10" fillId="0" borderId="0" xfId="0" applyNumberFormat="1" applyFont="1"/>
    <xf numFmtId="166" fontId="13" fillId="0" borderId="0" xfId="0" applyNumberFormat="1" applyFont="1"/>
    <xf numFmtId="1" fontId="13" fillId="0" borderId="0" xfId="0" applyNumberFormat="1" applyFont="1" applyAlignment="1">
      <alignment horizontal="right"/>
    </xf>
    <xf numFmtId="1" fontId="7" fillId="0" borderId="0" xfId="0" applyNumberFormat="1" applyFont="1"/>
    <xf numFmtId="0" fontId="11" fillId="0" borderId="0" xfId="0" applyFont="1"/>
    <xf numFmtId="168" fontId="7" fillId="0" borderId="0" xfId="0" applyNumberFormat="1" applyFont="1"/>
    <xf numFmtId="168" fontId="13" fillId="0" borderId="0" xfId="0" applyNumberFormat="1" applyFont="1"/>
    <xf numFmtId="168" fontId="10" fillId="0" borderId="0" xfId="0" applyNumberFormat="1" applyFont="1"/>
    <xf numFmtId="166" fontId="11" fillId="0" borderId="0" xfId="0" applyNumberFormat="1" applyFont="1"/>
    <xf numFmtId="0" fontId="6" fillId="0" borderId="5" xfId="0" applyFont="1" applyBorder="1" applyAlignment="1">
      <alignment horizontal="right"/>
    </xf>
    <xf numFmtId="0" fontId="11" fillId="0" borderId="3" xfId="0" applyFont="1" applyBorder="1"/>
    <xf numFmtId="0" fontId="15" fillId="0" borderId="0" xfId="0" applyFont="1"/>
    <xf numFmtId="2" fontId="13" fillId="0" borderId="0" xfId="0" applyNumberFormat="1" applyFont="1"/>
    <xf numFmtId="0" fontId="10" fillId="0" borderId="0" xfId="0" applyFont="1" applyAlignment="1">
      <alignment horizontal="right"/>
    </xf>
    <xf numFmtId="2" fontId="7" fillId="0" borderId="0" xfId="0" applyNumberFormat="1" applyFont="1"/>
    <xf numFmtId="168" fontId="11" fillId="0" borderId="3" xfId="0" applyNumberFormat="1" applyFont="1" applyBorder="1"/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0" fillId="0" borderId="11" xfId="0" applyBorder="1"/>
    <xf numFmtId="0" fontId="0" fillId="0" borderId="12" xfId="0" applyBorder="1"/>
    <xf numFmtId="0" fontId="9" fillId="0" borderId="13" xfId="0" applyFont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7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0" xfId="0" applyAlignment="1">
      <alignment horizontal="right"/>
    </xf>
    <xf numFmtId="0" fontId="0" fillId="0" borderId="13" xfId="0" applyBorder="1"/>
    <xf numFmtId="0" fontId="9" fillId="0" borderId="15" xfId="0" applyFont="1" applyBorder="1"/>
    <xf numFmtId="0" fontId="0" fillId="0" borderId="20" xfId="0" applyBorder="1"/>
    <xf numFmtId="11" fontId="7" fillId="0" borderId="0" xfId="0" applyNumberFormat="1" applyFont="1"/>
    <xf numFmtId="0" fontId="0" fillId="0" borderId="6" xfId="0" applyBorder="1" applyAlignment="1">
      <alignment horizontal="right"/>
    </xf>
    <xf numFmtId="0" fontId="0" fillId="0" borderId="8" xfId="0" applyBorder="1"/>
    <xf numFmtId="166" fontId="11" fillId="0" borderId="3" xfId="0" applyNumberFormat="1" applyFont="1" applyBorder="1"/>
    <xf numFmtId="166" fontId="7" fillId="0" borderId="3" xfId="0" applyNumberFormat="1" applyFont="1" applyBorder="1"/>
    <xf numFmtId="0" fontId="0" fillId="0" borderId="21" xfId="0" applyBorder="1"/>
    <xf numFmtId="0" fontId="0" fillId="0" borderId="22" xfId="0" applyBorder="1"/>
    <xf numFmtId="0" fontId="7" fillId="0" borderId="0" xfId="0" applyFont="1" applyAlignment="1">
      <alignment wrapText="1"/>
    </xf>
    <xf numFmtId="0" fontId="0" fillId="0" borderId="4" xfId="0" applyBorder="1" applyAlignment="1">
      <alignment horizontal="right"/>
    </xf>
    <xf numFmtId="0" fontId="0" fillId="0" borderId="2" xfId="0" applyBorder="1" applyAlignment="1">
      <alignment horizontal="right"/>
    </xf>
    <xf numFmtId="165" fontId="0" fillId="0" borderId="0" xfId="0" applyNumberFormat="1"/>
    <xf numFmtId="166" fontId="3" fillId="0" borderId="0" xfId="0" applyNumberFormat="1" applyFont="1"/>
    <xf numFmtId="0" fontId="41" fillId="0" borderId="0" xfId="0" applyFont="1"/>
    <xf numFmtId="0" fontId="3" fillId="0" borderId="7" xfId="0" applyFont="1" applyBorder="1"/>
    <xf numFmtId="0" fontId="3" fillId="0" borderId="1" xfId="0" applyFont="1" applyBorder="1"/>
    <xf numFmtId="0" fontId="3" fillId="0" borderId="10" xfId="0" applyFont="1" applyBorder="1"/>
    <xf numFmtId="0" fontId="3" fillId="0" borderId="4" xfId="0" applyFont="1" applyBorder="1"/>
    <xf numFmtId="0" fontId="3" fillId="0" borderId="5" xfId="0" applyFont="1" applyBorder="1"/>
    <xf numFmtId="166" fontId="13" fillId="0" borderId="0" xfId="0" applyNumberFormat="1" applyFont="1" applyAlignment="1">
      <alignment horizontal="right"/>
    </xf>
    <xf numFmtId="166" fontId="9" fillId="0" borderId="0" xfId="0" applyNumberFormat="1" applyFont="1"/>
    <xf numFmtId="166" fontId="0" fillId="0" borderId="0" xfId="0" applyNumberFormat="1" applyAlignment="1">
      <alignment horizontal="right"/>
    </xf>
    <xf numFmtId="0" fontId="42" fillId="0" borderId="0" xfId="0" applyFont="1"/>
    <xf numFmtId="2" fontId="0" fillId="0" borderId="9" xfId="0" applyNumberFormat="1" applyBorder="1"/>
    <xf numFmtId="1" fontId="0" fillId="0" borderId="9" xfId="0" applyNumberFormat="1" applyBorder="1"/>
    <xf numFmtId="172" fontId="11" fillId="0" borderId="0" xfId="0" applyNumberFormat="1" applyFont="1"/>
    <xf numFmtId="2" fontId="3" fillId="0" borderId="0" xfId="0" applyNumberFormat="1" applyFont="1"/>
    <xf numFmtId="0" fontId="40" fillId="0" borderId="0" xfId="0" applyFont="1"/>
    <xf numFmtId="0" fontId="0" fillId="0" borderId="23" xfId="0" applyBorder="1"/>
    <xf numFmtId="0" fontId="0" fillId="0" borderId="24" xfId="0" applyBorder="1"/>
    <xf numFmtId="0" fontId="0" fillId="0" borderId="25" xfId="0" applyBorder="1"/>
    <xf numFmtId="2" fontId="0" fillId="0" borderId="11" xfId="0" applyNumberFormat="1" applyBorder="1"/>
    <xf numFmtId="2" fontId="0" fillId="0" borderId="26" xfId="0" applyNumberFormat="1" applyBorder="1"/>
    <xf numFmtId="0" fontId="0" fillId="0" borderId="27" xfId="0" applyBorder="1"/>
    <xf numFmtId="0" fontId="0" fillId="0" borderId="28" xfId="0" applyBorder="1"/>
    <xf numFmtId="0" fontId="0" fillId="0" borderId="0" xfId="0" applyAlignment="1">
      <alignment vertical="center" wrapText="1"/>
    </xf>
    <xf numFmtId="2" fontId="0" fillId="0" borderId="9" xfId="0" applyNumberFormat="1" applyBorder="1" applyAlignment="1">
      <alignment wrapText="1"/>
    </xf>
    <xf numFmtId="0" fontId="0" fillId="0" borderId="9" xfId="0" applyBorder="1" applyAlignment="1">
      <alignment wrapText="1"/>
    </xf>
    <xf numFmtId="2" fontId="0" fillId="0" borderId="29" xfId="0" applyNumberFormat="1" applyBorder="1"/>
    <xf numFmtId="0" fontId="0" fillId="0" borderId="30" xfId="0" applyBorder="1"/>
    <xf numFmtId="0" fontId="3" fillId="0" borderId="0" xfId="0" applyFont="1" applyAlignment="1">
      <alignment horizontal="right"/>
    </xf>
    <xf numFmtId="169" fontId="3" fillId="0" borderId="0" xfId="0" applyNumberFormat="1" applyFont="1"/>
    <xf numFmtId="170" fontId="3" fillId="0" borderId="0" xfId="0" applyNumberFormat="1" applyFont="1"/>
    <xf numFmtId="0" fontId="43" fillId="0" borderId="0" xfId="0" applyFont="1"/>
    <xf numFmtId="0" fontId="39" fillId="0" borderId="11" xfId="0" applyFont="1" applyBorder="1"/>
    <xf numFmtId="2" fontId="0" fillId="0" borderId="6" xfId="0" applyNumberFormat="1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3" fillId="0" borderId="35" xfId="0" applyFont="1" applyBorder="1"/>
    <xf numFmtId="0" fontId="0" fillId="0" borderId="35" xfId="0" applyBorder="1"/>
    <xf numFmtId="0" fontId="0" fillId="0" borderId="36" xfId="0" applyBorder="1"/>
    <xf numFmtId="0" fontId="31" fillId="0" borderId="0" xfId="0" applyFont="1"/>
    <xf numFmtId="0" fontId="3" fillId="0" borderId="11" xfId="0" applyFont="1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3" fillId="0" borderId="39" xfId="0" applyFont="1" applyBorder="1"/>
    <xf numFmtId="0" fontId="0" fillId="0" borderId="40" xfId="0" applyBorder="1"/>
    <xf numFmtId="0" fontId="0" fillId="0" borderId="41" xfId="0" applyBorder="1"/>
    <xf numFmtId="0" fontId="3" fillId="0" borderId="34" xfId="0" applyFont="1" applyBorder="1"/>
    <xf numFmtId="0" fontId="9" fillId="0" borderId="42" xfId="0" applyFont="1" applyBorder="1"/>
    <xf numFmtId="0" fontId="9" fillId="0" borderId="43" xfId="0" applyFont="1" applyBorder="1"/>
    <xf numFmtId="0" fontId="9" fillId="0" borderId="44" xfId="0" applyFont="1" applyBorder="1"/>
    <xf numFmtId="0" fontId="9" fillId="0" borderId="45" xfId="0" applyFont="1" applyBorder="1"/>
    <xf numFmtId="0" fontId="9" fillId="0" borderId="14" xfId="0" applyFont="1" applyBorder="1"/>
    <xf numFmtId="1" fontId="0" fillId="0" borderId="5" xfId="0" applyNumberFormat="1" applyBorder="1"/>
    <xf numFmtId="166" fontId="0" fillId="0" borderId="46" xfId="0" applyNumberFormat="1" applyBorder="1"/>
    <xf numFmtId="1" fontId="0" fillId="0" borderId="46" xfId="0" applyNumberFormat="1" applyBorder="1"/>
    <xf numFmtId="2" fontId="0" fillId="0" borderId="5" xfId="0" applyNumberFormat="1" applyBorder="1"/>
    <xf numFmtId="0" fontId="3" fillId="0" borderId="0" xfId="0" quotePrefix="1" applyFont="1"/>
    <xf numFmtId="0" fontId="3" fillId="0" borderId="9" xfId="0" applyFont="1" applyBorder="1"/>
    <xf numFmtId="2" fontId="0" fillId="0" borderId="27" xfId="0" applyNumberFormat="1" applyBorder="1"/>
    <xf numFmtId="2" fontId="0" fillId="0" borderId="30" xfId="0" applyNumberFormat="1" applyBorder="1"/>
    <xf numFmtId="0" fontId="3" fillId="0" borderId="24" xfId="0" applyFont="1" applyBorder="1"/>
    <xf numFmtId="1" fontId="0" fillId="0" borderId="10" xfId="0" applyNumberFormat="1" applyBorder="1"/>
    <xf numFmtId="2" fontId="0" fillId="0" borderId="10" xfId="0" applyNumberFormat="1" applyBorder="1"/>
    <xf numFmtId="0" fontId="0" fillId="0" borderId="47" xfId="0" applyBorder="1" applyAlignment="1">
      <alignment horizontal="right"/>
    </xf>
    <xf numFmtId="0" fontId="0" fillId="0" borderId="13" xfId="0" applyBorder="1" applyAlignment="1">
      <alignment horizontal="right"/>
    </xf>
    <xf numFmtId="0" fontId="0" fillId="0" borderId="14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48" xfId="0" applyBorder="1"/>
    <xf numFmtId="0" fontId="9" fillId="0" borderId="49" xfId="0" applyFont="1" applyBorder="1" applyAlignment="1">
      <alignment horizontal="right"/>
    </xf>
    <xf numFmtId="0" fontId="9" fillId="0" borderId="50" xfId="0" applyFont="1" applyBorder="1"/>
    <xf numFmtId="0" fontId="9" fillId="0" borderId="51" xfId="0" applyFont="1" applyBorder="1" applyAlignment="1">
      <alignment horizontal="right"/>
    </xf>
    <xf numFmtId="0" fontId="9" fillId="0" borderId="52" xfId="0" applyFont="1" applyBorder="1"/>
    <xf numFmtId="0" fontId="9" fillId="0" borderId="53" xfId="0" applyFont="1" applyBorder="1"/>
    <xf numFmtId="0" fontId="9" fillId="0" borderId="54" xfId="0" applyFont="1" applyBorder="1" applyAlignment="1">
      <alignment horizontal="right"/>
    </xf>
    <xf numFmtId="0" fontId="9" fillId="0" borderId="54" xfId="0" applyFont="1" applyBorder="1"/>
    <xf numFmtId="2" fontId="9" fillId="0" borderId="53" xfId="0" applyNumberFormat="1" applyFont="1" applyBorder="1"/>
    <xf numFmtId="0" fontId="9" fillId="0" borderId="23" xfId="0" applyFont="1" applyBorder="1"/>
    <xf numFmtId="0" fontId="9" fillId="0" borderId="26" xfId="0" applyFont="1" applyBorder="1"/>
    <xf numFmtId="0" fontId="9" fillId="0" borderId="55" xfId="0" applyFont="1" applyBorder="1"/>
    <xf numFmtId="0" fontId="9" fillId="0" borderId="56" xfId="0" applyFont="1" applyBorder="1"/>
    <xf numFmtId="0" fontId="0" fillId="0" borderId="57" xfId="0" applyBorder="1"/>
    <xf numFmtId="0" fontId="23" fillId="0" borderId="8" xfId="0" applyFont="1" applyBorder="1" applyAlignment="1">
      <alignment horizontal="right"/>
    </xf>
    <xf numFmtId="0" fontId="0" fillId="0" borderId="58" xfId="0" applyBorder="1"/>
    <xf numFmtId="0" fontId="0" fillId="0" borderId="59" xfId="0" applyBorder="1"/>
    <xf numFmtId="0" fontId="0" fillId="0" borderId="60" xfId="0" applyBorder="1"/>
    <xf numFmtId="0" fontId="0" fillId="0" borderId="61" xfId="0" applyBorder="1"/>
    <xf numFmtId="0" fontId="3" fillId="0" borderId="0" xfId="0" applyFont="1" applyAlignment="1">
      <alignment horizontal="justify"/>
    </xf>
    <xf numFmtId="0" fontId="3" fillId="0" borderId="4" xfId="0" applyFont="1" applyBorder="1" applyAlignment="1">
      <alignment horizontal="justify"/>
    </xf>
    <xf numFmtId="0" fontId="0" fillId="0" borderId="62" xfId="0" applyBorder="1"/>
    <xf numFmtId="0" fontId="3" fillId="0" borderId="10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0" xfId="0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20" xfId="0" applyFont="1" applyBorder="1"/>
    <xf numFmtId="0" fontId="9" fillId="0" borderId="63" xfId="0" applyFont="1" applyBorder="1"/>
    <xf numFmtId="0" fontId="9" fillId="0" borderId="64" xfId="0" applyFont="1" applyBorder="1"/>
    <xf numFmtId="0" fontId="9" fillId="0" borderId="65" xfId="0" applyFont="1" applyBorder="1"/>
    <xf numFmtId="0" fontId="3" fillId="0" borderId="46" xfId="0" applyFont="1" applyBorder="1"/>
    <xf numFmtId="0" fontId="0" fillId="0" borderId="66" xfId="0" applyBorder="1"/>
    <xf numFmtId="0" fontId="3" fillId="0" borderId="67" xfId="0" applyFont="1" applyBorder="1"/>
    <xf numFmtId="0" fontId="0" fillId="0" borderId="68" xfId="0" applyBorder="1"/>
    <xf numFmtId="0" fontId="3" fillId="0" borderId="69" xfId="0" applyFont="1" applyBorder="1"/>
    <xf numFmtId="0" fontId="3" fillId="0" borderId="70" xfId="0" applyFont="1" applyBorder="1" applyAlignment="1">
      <alignment horizontal="center"/>
    </xf>
    <xf numFmtId="0" fontId="0" fillId="0" borderId="71" xfId="0" applyBorder="1"/>
    <xf numFmtId="0" fontId="0" fillId="0" borderId="72" xfId="0" applyBorder="1"/>
    <xf numFmtId="0" fontId="0" fillId="0" borderId="73" xfId="0" applyBorder="1"/>
    <xf numFmtId="0" fontId="0" fillId="0" borderId="74" xfId="0" applyBorder="1" applyAlignment="1">
      <alignment horizontal="center"/>
    </xf>
    <xf numFmtId="0" fontId="35" fillId="0" borderId="75" xfId="0" applyFont="1" applyBorder="1" applyAlignment="1">
      <alignment horizontal="right" vertical="top" wrapText="1"/>
    </xf>
    <xf numFmtId="0" fontId="3" fillId="0" borderId="76" xfId="0" applyFont="1" applyBorder="1" applyAlignment="1">
      <alignment horizontal="right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right" vertical="top" wrapText="1"/>
    </xf>
    <xf numFmtId="3" fontId="3" fillId="0" borderId="9" xfId="0" applyNumberFormat="1" applyFont="1" applyBorder="1" applyAlignment="1">
      <alignment horizontal="right" vertical="top" wrapText="1"/>
    </xf>
    <xf numFmtId="0" fontId="3" fillId="0" borderId="77" xfId="0" applyFont="1" applyBorder="1" applyAlignment="1">
      <alignment horizontal="justify" vertical="top" wrapText="1"/>
    </xf>
    <xf numFmtId="0" fontId="3" fillId="0" borderId="78" xfId="0" applyFont="1" applyBorder="1" applyAlignment="1">
      <alignment horizontal="justify" vertical="top" wrapText="1"/>
    </xf>
    <xf numFmtId="0" fontId="3" fillId="0" borderId="79" xfId="0" applyFont="1" applyBorder="1" applyAlignment="1">
      <alignment horizontal="justify" vertical="top" wrapText="1"/>
    </xf>
    <xf numFmtId="0" fontId="3" fillId="0" borderId="80" xfId="0" applyFont="1" applyBorder="1" applyAlignment="1">
      <alignment horizontal="justify" vertical="top" wrapText="1"/>
    </xf>
    <xf numFmtId="0" fontId="3" fillId="0" borderId="81" xfId="0" applyFont="1" applyBorder="1" applyAlignment="1">
      <alignment horizontal="justify" vertical="top" wrapText="1"/>
    </xf>
    <xf numFmtId="0" fontId="3" fillId="0" borderId="82" xfId="0" applyFont="1" applyBorder="1" applyAlignment="1">
      <alignment horizontal="justify" vertical="top" wrapText="1"/>
    </xf>
    <xf numFmtId="0" fontId="3" fillId="0" borderId="46" xfId="0" applyFont="1" applyBorder="1" applyAlignment="1">
      <alignment horizontal="justify" vertical="top" wrapText="1"/>
    </xf>
    <xf numFmtId="0" fontId="3" fillId="0" borderId="82" xfId="0" applyFont="1" applyBorder="1" applyAlignment="1">
      <alignment horizontal="right" vertical="top" wrapText="1"/>
    </xf>
    <xf numFmtId="0" fontId="3" fillId="0" borderId="46" xfId="0" applyFont="1" applyBorder="1" applyAlignment="1">
      <alignment horizontal="right" vertical="top" wrapText="1"/>
    </xf>
    <xf numFmtId="0" fontId="3" fillId="0" borderId="80" xfId="0" applyFont="1" applyBorder="1" applyAlignment="1">
      <alignment horizontal="right" vertical="top" wrapText="1"/>
    </xf>
    <xf numFmtId="0" fontId="3" fillId="0" borderId="81" xfId="0" applyFont="1" applyBorder="1" applyAlignment="1">
      <alignment horizontal="right" vertical="top" wrapText="1"/>
    </xf>
    <xf numFmtId="0" fontId="3" fillId="0" borderId="81" xfId="0" applyFont="1" applyBorder="1" applyAlignment="1">
      <alignment horizontal="justify" wrapText="1"/>
    </xf>
    <xf numFmtId="0" fontId="35" fillId="0" borderId="81" xfId="0" applyFont="1" applyBorder="1" applyAlignment="1">
      <alignment horizontal="right" vertical="top" wrapText="1"/>
    </xf>
    <xf numFmtId="3" fontId="3" fillId="0" borderId="80" xfId="0" applyNumberFormat="1" applyFont="1" applyBorder="1" applyAlignment="1">
      <alignment horizontal="right" vertical="top" wrapText="1"/>
    </xf>
    <xf numFmtId="3" fontId="3" fillId="0" borderId="46" xfId="0" applyNumberFormat="1" applyFont="1" applyBorder="1" applyAlignment="1">
      <alignment horizontal="right" vertical="top" wrapText="1"/>
    </xf>
    <xf numFmtId="0" fontId="44" fillId="0" borderId="0" xfId="0" applyFont="1"/>
    <xf numFmtId="0" fontId="44" fillId="0" borderId="83" xfId="0" applyFont="1" applyBorder="1" applyAlignment="1">
      <alignment horizontal="justify" vertical="top" wrapText="1"/>
    </xf>
    <xf numFmtId="3" fontId="44" fillId="0" borderId="82" xfId="0" applyNumberFormat="1" applyFont="1" applyBorder="1" applyAlignment="1">
      <alignment horizontal="right" vertical="top" wrapText="1"/>
    </xf>
    <xf numFmtId="0" fontId="44" fillId="0" borderId="82" xfId="0" applyFont="1" applyBorder="1" applyAlignment="1">
      <alignment horizontal="right" vertical="top" wrapText="1"/>
    </xf>
    <xf numFmtId="0" fontId="44" fillId="0" borderId="84" xfId="0" applyFont="1" applyBorder="1" applyAlignment="1">
      <alignment horizontal="right" vertical="top" wrapText="1"/>
    </xf>
    <xf numFmtId="0" fontId="3" fillId="0" borderId="0" xfId="0" applyFont="1" applyAlignment="1">
      <alignment horizontal="justify" vertical="top" wrapText="1"/>
    </xf>
    <xf numFmtId="0" fontId="3" fillId="0" borderId="68" xfId="0" applyFont="1" applyBorder="1"/>
    <xf numFmtId="0" fontId="0" fillId="0" borderId="85" xfId="0" applyBorder="1"/>
    <xf numFmtId="0" fontId="3" fillId="0" borderId="18" xfId="0" applyFont="1" applyBorder="1"/>
    <xf numFmtId="0" fontId="3" fillId="0" borderId="6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62" xfId="0" applyFont="1" applyBorder="1"/>
    <xf numFmtId="0" fontId="3" fillId="0" borderId="11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76" xfId="0" applyBorder="1"/>
    <xf numFmtId="0" fontId="3" fillId="0" borderId="86" xfId="0" applyFont="1" applyBorder="1" applyAlignment="1">
      <alignment horizontal="center"/>
    </xf>
    <xf numFmtId="0" fontId="0" fillId="0" borderId="86" xfId="0" applyBorder="1"/>
    <xf numFmtId="0" fontId="3" fillId="0" borderId="87" xfId="0" applyFont="1" applyBorder="1"/>
    <xf numFmtId="0" fontId="0" fillId="0" borderId="88" xfId="0" applyBorder="1"/>
    <xf numFmtId="0" fontId="0" fillId="0" borderId="89" xfId="0" applyBorder="1" applyAlignment="1">
      <alignment horizontal="center"/>
    </xf>
    <xf numFmtId="0" fontId="0" fillId="0" borderId="90" xfId="0" applyBorder="1"/>
    <xf numFmtId="0" fontId="3" fillId="0" borderId="18" xfId="0" applyFont="1" applyBorder="1" applyAlignment="1">
      <alignment horizontal="center"/>
    </xf>
    <xf numFmtId="0" fontId="8" fillId="0" borderId="0" xfId="0" applyFont="1" applyAlignment="1">
      <alignment horizontal="justify" vertical="top" wrapText="1"/>
    </xf>
    <xf numFmtId="0" fontId="3" fillId="0" borderId="12" xfId="0" applyFont="1" applyBorder="1"/>
    <xf numFmtId="0" fontId="3" fillId="0" borderId="89" xfId="0" applyFont="1" applyBorder="1" applyAlignment="1">
      <alignment horizontal="center"/>
    </xf>
    <xf numFmtId="164" fontId="0" fillId="0" borderId="2" xfId="0" applyNumberFormat="1" applyBorder="1"/>
    <xf numFmtId="164" fontId="0" fillId="0" borderId="3" xfId="0" applyNumberFormat="1" applyBorder="1"/>
    <xf numFmtId="0" fontId="0" fillId="0" borderId="87" xfId="0" applyBorder="1"/>
    <xf numFmtId="0" fontId="9" fillId="0" borderId="0" xfId="0" applyFont="1" applyAlignment="1">
      <alignment horizontal="center"/>
    </xf>
    <xf numFmtId="167" fontId="0" fillId="0" borderId="2" xfId="0" applyNumberFormat="1" applyBorder="1"/>
    <xf numFmtId="0" fontId="0" fillId="0" borderId="91" xfId="0" applyBorder="1"/>
    <xf numFmtId="0" fontId="0" fillId="0" borderId="92" xfId="0" applyBorder="1"/>
    <xf numFmtId="0" fontId="0" fillId="0" borderId="93" xfId="0" applyBorder="1"/>
    <xf numFmtId="0" fontId="0" fillId="0" borderId="20" xfId="0" applyBorder="1" applyAlignment="1">
      <alignment horizontal="center"/>
    </xf>
    <xf numFmtId="0" fontId="3" fillId="0" borderId="1" xfId="0" applyFont="1" applyBorder="1" applyAlignment="1">
      <alignment horizontal="center"/>
    </xf>
    <xf numFmtId="170" fontId="0" fillId="0" borderId="86" xfId="0" applyNumberFormat="1" applyBorder="1"/>
    <xf numFmtId="170" fontId="0" fillId="0" borderId="88" xfId="0" applyNumberFormat="1" applyBorder="1"/>
    <xf numFmtId="170" fontId="0" fillId="0" borderId="2" xfId="0" applyNumberFormat="1" applyBorder="1"/>
    <xf numFmtId="170" fontId="0" fillId="0" borderId="0" xfId="0" applyNumberFormat="1"/>
    <xf numFmtId="170" fontId="0" fillId="0" borderId="9" xfId="0" applyNumberFormat="1" applyBorder="1"/>
    <xf numFmtId="170" fontId="0" fillId="0" borderId="92" xfId="0" applyNumberFormat="1" applyBorder="1"/>
    <xf numFmtId="0" fontId="3" fillId="0" borderId="49" xfId="0" applyFont="1" applyBorder="1" applyAlignment="1">
      <alignment horizontal="right"/>
    </xf>
    <xf numFmtId="0" fontId="3" fillId="0" borderId="50" xfId="0" applyFont="1" applyBorder="1"/>
    <xf numFmtId="0" fontId="3" fillId="0" borderId="51" xfId="0" applyFont="1" applyBorder="1" applyAlignment="1">
      <alignment horizontal="right"/>
    </xf>
    <xf numFmtId="0" fontId="3" fillId="0" borderId="52" xfId="0" applyFont="1" applyBorder="1"/>
    <xf numFmtId="0" fontId="3" fillId="0" borderId="85" xfId="0" applyFont="1" applyBorder="1"/>
    <xf numFmtId="0" fontId="3" fillId="0" borderId="94" xfId="0" applyFont="1" applyBorder="1" applyAlignment="1">
      <alignment horizontal="right"/>
    </xf>
    <xf numFmtId="0" fontId="3" fillId="0" borderId="95" xfId="0" applyFont="1" applyBorder="1"/>
    <xf numFmtId="0" fontId="9" fillId="0" borderId="96" xfId="0" applyFont="1" applyBorder="1" applyAlignment="1">
      <alignment horizontal="center"/>
    </xf>
    <xf numFmtId="0" fontId="3" fillId="0" borderId="49" xfId="0" applyFont="1" applyBorder="1"/>
    <xf numFmtId="0" fontId="0" fillId="0" borderId="50" xfId="0" applyBorder="1"/>
    <xf numFmtId="0" fontId="3" fillId="0" borderId="51" xfId="0" applyFont="1" applyBorder="1"/>
    <xf numFmtId="0" fontId="0" fillId="0" borderId="52" xfId="0" applyBorder="1"/>
    <xf numFmtId="0" fontId="3" fillId="0" borderId="94" xfId="0" applyFont="1" applyBorder="1"/>
    <xf numFmtId="0" fontId="0" fillId="0" borderId="95" xfId="0" applyBorder="1"/>
    <xf numFmtId="0" fontId="3" fillId="0" borderId="97" xfId="0" applyFont="1" applyBorder="1" applyAlignment="1">
      <alignment horizontal="center"/>
    </xf>
    <xf numFmtId="0" fontId="3" fillId="0" borderId="9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98" xfId="0" applyBorder="1"/>
    <xf numFmtId="0" fontId="0" fillId="0" borderId="99" xfId="0" applyBorder="1"/>
    <xf numFmtId="0" fontId="0" fillId="0" borderId="100" xfId="0" applyBorder="1"/>
    <xf numFmtId="170" fontId="0" fillId="0" borderId="3" xfId="0" applyNumberFormat="1" applyBorder="1"/>
    <xf numFmtId="0" fontId="3" fillId="0" borderId="101" xfId="0" applyFont="1" applyBorder="1" applyAlignment="1">
      <alignment horizontal="right" vertical="top" wrapText="1"/>
    </xf>
    <xf numFmtId="0" fontId="3" fillId="0" borderId="92" xfId="0" applyFont="1" applyBorder="1" applyAlignment="1">
      <alignment horizontal="right" vertical="top" wrapText="1"/>
    </xf>
    <xf numFmtId="0" fontId="3" fillId="0" borderId="0" xfId="1" applyFont="1" applyAlignment="1" applyProtection="1">
      <alignment horizontal="justify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45" fillId="0" borderId="0" xfId="0" applyFont="1"/>
    <xf numFmtId="0" fontId="46" fillId="0" borderId="11" xfId="0" applyFont="1" applyBorder="1"/>
    <xf numFmtId="0" fontId="46" fillId="0" borderId="7" xfId="0" applyFont="1" applyBorder="1"/>
    <xf numFmtId="0" fontId="46" fillId="0" borderId="9" xfId="0" applyFont="1" applyBorder="1"/>
    <xf numFmtId="0" fontId="47" fillId="0" borderId="0" xfId="0" applyFont="1"/>
    <xf numFmtId="0" fontId="46" fillId="0" borderId="0" xfId="0" applyFont="1"/>
    <xf numFmtId="0" fontId="16" fillId="0" borderId="17" xfId="1" applyBorder="1" applyAlignment="1" applyProtection="1"/>
    <xf numFmtId="0" fontId="5" fillId="0" borderId="0" xfId="0" applyFont="1"/>
    <xf numFmtId="0" fontId="16" fillId="0" borderId="0" xfId="1" applyAlignment="1" applyProtection="1"/>
    <xf numFmtId="168" fontId="0" fillId="0" borderId="33" xfId="0" applyNumberFormat="1" applyBorder="1"/>
    <xf numFmtId="168" fontId="0" fillId="0" borderId="9" xfId="0" applyNumberFormat="1" applyBorder="1"/>
    <xf numFmtId="171" fontId="3" fillId="0" borderId="0" xfId="0" applyNumberFormat="1" applyFont="1"/>
    <xf numFmtId="1" fontId="7" fillId="0" borderId="0" xfId="0" applyNumberFormat="1" applyFont="1" applyAlignment="1">
      <alignment horizontal="right"/>
    </xf>
    <xf numFmtId="166" fontId="7" fillId="0" borderId="4" xfId="0" applyNumberFormat="1" applyFont="1" applyBorder="1"/>
    <xf numFmtId="166" fontId="0" fillId="0" borderId="1" xfId="0" applyNumberFormat="1" applyBorder="1"/>
    <xf numFmtId="0" fontId="0" fillId="0" borderId="9" xfId="0" applyBorder="1" applyAlignment="1">
      <alignment horizontal="left"/>
    </xf>
    <xf numFmtId="1" fontId="10" fillId="0" borderId="0" xfId="0" applyNumberFormat="1" applyFont="1"/>
    <xf numFmtId="1" fontId="42" fillId="0" borderId="0" xfId="0" applyNumberFormat="1" applyFont="1"/>
    <xf numFmtId="1" fontId="11" fillId="0" borderId="0" xfId="0" applyNumberFormat="1" applyFont="1"/>
    <xf numFmtId="168" fontId="3" fillId="0" borderId="0" xfId="0" applyNumberFormat="1" applyFont="1"/>
    <xf numFmtId="0" fontId="16" fillId="0" borderId="0" xfId="1" applyAlignment="1" applyProtection="1">
      <alignment horizontal="left" readingOrder="1"/>
    </xf>
    <xf numFmtId="168" fontId="0" fillId="0" borderId="46" xfId="0" applyNumberFormat="1" applyBorder="1"/>
    <xf numFmtId="165" fontId="0" fillId="0" borderId="5" xfId="0" applyNumberFormat="1" applyBorder="1"/>
    <xf numFmtId="165" fontId="0" fillId="0" borderId="9" xfId="0" applyNumberFormat="1" applyBorder="1"/>
    <xf numFmtId="165" fontId="0" fillId="0" borderId="46" xfId="0" applyNumberFormat="1" applyBorder="1"/>
    <xf numFmtId="0" fontId="0" fillId="0" borderId="102" xfId="0" applyBorder="1"/>
    <xf numFmtId="168" fontId="0" fillId="0" borderId="103" xfId="0" applyNumberFormat="1" applyBorder="1"/>
    <xf numFmtId="165" fontId="0" fillId="0" borderId="10" xfId="0" applyNumberFormat="1" applyBorder="1"/>
    <xf numFmtId="1" fontId="0" fillId="0" borderId="40" xfId="0" applyNumberFormat="1" applyBorder="1"/>
    <xf numFmtId="2" fontId="0" fillId="0" borderId="40" xfId="0" applyNumberFormat="1" applyBorder="1"/>
    <xf numFmtId="165" fontId="0" fillId="0" borderId="40" xfId="0" applyNumberFormat="1" applyBorder="1"/>
    <xf numFmtId="1" fontId="0" fillId="0" borderId="1" xfId="0" applyNumberFormat="1" applyBorder="1"/>
    <xf numFmtId="2" fontId="0" fillId="0" borderId="1" xfId="0" applyNumberFormat="1" applyBorder="1"/>
    <xf numFmtId="165" fontId="0" fillId="0" borderId="4" xfId="0" applyNumberFormat="1" applyBorder="1"/>
    <xf numFmtId="2" fontId="0" fillId="0" borderId="0" xfId="0" applyNumberFormat="1" applyAlignment="1">
      <alignment horizontal="right"/>
    </xf>
    <xf numFmtId="168" fontId="0" fillId="0" borderId="104" xfId="0" applyNumberFormat="1" applyBorder="1"/>
    <xf numFmtId="1" fontId="0" fillId="0" borderId="4" xfId="0" applyNumberFormat="1" applyBorder="1"/>
    <xf numFmtId="1" fontId="0" fillId="0" borderId="35" xfId="0" applyNumberFormat="1" applyBorder="1"/>
    <xf numFmtId="0" fontId="0" fillId="0" borderId="105" xfId="0" applyBorder="1"/>
    <xf numFmtId="0" fontId="0" fillId="2" borderId="62" xfId="0" applyFill="1" applyBorder="1"/>
    <xf numFmtId="0" fontId="3" fillId="2" borderId="21" xfId="0" applyFont="1" applyFill="1" applyBorder="1"/>
    <xf numFmtId="0" fontId="0" fillId="2" borderId="21" xfId="0" applyFill="1" applyBorder="1"/>
    <xf numFmtId="0" fontId="0" fillId="2" borderId="11" xfId="0" applyFill="1" applyBorder="1"/>
    <xf numFmtId="0" fontId="0" fillId="2" borderId="6" xfId="0" applyFill="1" applyBorder="1"/>
    <xf numFmtId="0" fontId="0" fillId="2" borderId="8" xfId="0" applyFill="1" applyBorder="1"/>
    <xf numFmtId="0" fontId="0" fillId="2" borderId="7" xfId="0" applyFill="1" applyBorder="1"/>
    <xf numFmtId="0" fontId="3" fillId="2" borderId="0" xfId="0" applyFont="1" applyFill="1"/>
    <xf numFmtId="0" fontId="10" fillId="2" borderId="0" xfId="0" applyFont="1" applyFill="1"/>
    <xf numFmtId="0" fontId="0" fillId="2" borderId="0" xfId="0" applyFill="1"/>
    <xf numFmtId="0" fontId="0" fillId="2" borderId="2" xfId="0" applyFill="1" applyBorder="1"/>
    <xf numFmtId="0" fontId="0" fillId="2" borderId="20" xfId="0" applyFill="1" applyBorder="1"/>
    <xf numFmtId="0" fontId="3" fillId="2" borderId="1" xfId="0" applyFont="1" applyFill="1" applyBorder="1"/>
    <xf numFmtId="0" fontId="0" fillId="2" borderId="1" xfId="0" quotePrefix="1" applyFill="1" applyBorder="1"/>
    <xf numFmtId="0" fontId="2" fillId="2" borderId="1" xfId="0" applyFont="1" applyFill="1" applyBorder="1"/>
    <xf numFmtId="0" fontId="0" fillId="2" borderId="1" xfId="0" applyFill="1" applyBorder="1"/>
    <xf numFmtId="0" fontId="0" fillId="2" borderId="3" xfId="0" applyFill="1" applyBorder="1"/>
    <xf numFmtId="0" fontId="0" fillId="2" borderId="22" xfId="0" applyFill="1" applyBorder="1"/>
    <xf numFmtId="0" fontId="9" fillId="2" borderId="9" xfId="0" applyFont="1" applyFill="1" applyBorder="1" applyAlignment="1">
      <alignment horizontal="center"/>
    </xf>
    <xf numFmtId="0" fontId="7" fillId="2" borderId="21" xfId="0" applyFont="1" applyFill="1" applyBorder="1"/>
    <xf numFmtId="0" fontId="7" fillId="2" borderId="0" xfId="0" applyFont="1" applyFill="1"/>
    <xf numFmtId="0" fontId="3" fillId="2" borderId="20" xfId="0" applyFont="1" applyFill="1" applyBorder="1"/>
    <xf numFmtId="0" fontId="7" fillId="2" borderId="1" xfId="0" applyFont="1" applyFill="1" applyBorder="1"/>
    <xf numFmtId="0" fontId="7" fillId="2" borderId="11" xfId="0" applyFont="1" applyFill="1" applyBorder="1"/>
    <xf numFmtId="0" fontId="3" fillId="0" borderId="12" xfId="0" applyFont="1" applyBorder="1" applyAlignment="1">
      <alignment horizontal="center"/>
    </xf>
    <xf numFmtId="2" fontId="3" fillId="0" borderId="15" xfId="0" applyNumberFormat="1" applyFont="1" applyBorder="1" applyAlignment="1">
      <alignment horizontal="center"/>
    </xf>
    <xf numFmtId="2" fontId="3" fillId="0" borderId="17" xfId="0" applyNumberFormat="1" applyFont="1" applyBorder="1" applyAlignment="1">
      <alignment horizontal="center"/>
    </xf>
    <xf numFmtId="0" fontId="0" fillId="0" borderId="12" xfId="0" applyBorder="1" applyAlignment="1">
      <alignment horizontal="right"/>
    </xf>
    <xf numFmtId="0" fontId="0" fillId="0" borderId="106" xfId="0" applyBorder="1" applyAlignment="1">
      <alignment horizontal="right"/>
    </xf>
    <xf numFmtId="0" fontId="3" fillId="0" borderId="43" xfId="0" applyFont="1" applyBorder="1" applyAlignment="1">
      <alignment horizontal="right"/>
    </xf>
    <xf numFmtId="0" fontId="3" fillId="0" borderId="13" xfId="0" applyFont="1" applyBorder="1" applyAlignment="1">
      <alignment horizontal="right"/>
    </xf>
    <xf numFmtId="0" fontId="3" fillId="0" borderId="106" xfId="0" applyFont="1" applyBorder="1" applyAlignment="1">
      <alignment horizontal="right"/>
    </xf>
    <xf numFmtId="0" fontId="3" fillId="0" borderId="47" xfId="0" applyFont="1" applyBorder="1" applyAlignment="1">
      <alignment horizontal="right"/>
    </xf>
    <xf numFmtId="168" fontId="0" fillId="0" borderId="31" xfId="0" applyNumberFormat="1" applyBorder="1"/>
    <xf numFmtId="2" fontId="0" fillId="0" borderId="35" xfId="0" applyNumberFormat="1" applyBorder="1"/>
    <xf numFmtId="165" fontId="0" fillId="0" borderId="35" xfId="0" applyNumberFormat="1" applyBorder="1"/>
    <xf numFmtId="166" fontId="0" fillId="0" borderId="35" xfId="0" applyNumberFormat="1" applyBorder="1"/>
    <xf numFmtId="168" fontId="0" fillId="0" borderId="26" xfId="0" applyNumberFormat="1" applyBorder="1"/>
    <xf numFmtId="168" fontId="0" fillId="0" borderId="107" xfId="0" applyNumberFormat="1" applyBorder="1"/>
    <xf numFmtId="1" fontId="0" fillId="0" borderId="18" xfId="0" applyNumberFormat="1" applyBorder="1"/>
    <xf numFmtId="0" fontId="0" fillId="0" borderId="63" xfId="0" applyBorder="1" applyAlignment="1">
      <alignment horizontal="right"/>
    </xf>
    <xf numFmtId="0" fontId="0" fillId="0" borderId="65" xfId="0" applyBorder="1" applyAlignment="1">
      <alignment horizontal="right"/>
    </xf>
    <xf numFmtId="0" fontId="3" fillId="0" borderId="0" xfId="0" applyFont="1" applyAlignment="1">
      <alignment horizontal="left"/>
    </xf>
    <xf numFmtId="168" fontId="0" fillId="0" borderId="35" xfId="0" applyNumberFormat="1" applyBorder="1"/>
    <xf numFmtId="168" fontId="0" fillId="0" borderId="10" xfId="0" applyNumberFormat="1" applyBorder="1"/>
    <xf numFmtId="168" fontId="0" fillId="0" borderId="4" xfId="0" applyNumberFormat="1" applyBorder="1"/>
    <xf numFmtId="168" fontId="0" fillId="0" borderId="108" xfId="0" applyNumberFormat="1" applyBorder="1"/>
    <xf numFmtId="168" fontId="0" fillId="0" borderId="11" xfId="0" applyNumberFormat="1" applyBorder="1"/>
    <xf numFmtId="168" fontId="0" fillId="0" borderId="62" xfId="0" applyNumberFormat="1" applyBorder="1"/>
    <xf numFmtId="168" fontId="0" fillId="0" borderId="56" xfId="0" applyNumberFormat="1" applyBorder="1"/>
    <xf numFmtId="168" fontId="0" fillId="0" borderId="7" xfId="0" applyNumberFormat="1" applyBorder="1"/>
    <xf numFmtId="0" fontId="3" fillId="0" borderId="109" xfId="0" applyFont="1" applyBorder="1" applyAlignment="1">
      <alignment horizontal="right"/>
    </xf>
    <xf numFmtId="0" fontId="8" fillId="0" borderId="0" xfId="0" applyFont="1" applyAlignment="1">
      <alignment horizontal="left"/>
    </xf>
    <xf numFmtId="1" fontId="13" fillId="2" borderId="0" xfId="0" applyNumberFormat="1" applyFont="1" applyFill="1"/>
    <xf numFmtId="0" fontId="13" fillId="2" borderId="0" xfId="0" applyFont="1" applyFill="1"/>
    <xf numFmtId="2" fontId="13" fillId="2" borderId="21" xfId="0" applyNumberFormat="1" applyFont="1" applyFill="1" applyBorder="1"/>
    <xf numFmtId="0" fontId="13" fillId="2" borderId="21" xfId="0" applyFont="1" applyFill="1" applyBorder="1"/>
    <xf numFmtId="168" fontId="13" fillId="2" borderId="21" xfId="0" applyNumberFormat="1" applyFont="1" applyFill="1" applyBorder="1"/>
    <xf numFmtId="0" fontId="9" fillId="2" borderId="1" xfId="0" applyFont="1" applyFill="1" applyBorder="1"/>
    <xf numFmtId="0" fontId="7" fillId="2" borderId="62" xfId="0" applyFont="1" applyFill="1" applyBorder="1"/>
    <xf numFmtId="0" fontId="9" fillId="2" borderId="6" xfId="0" applyFont="1" applyFill="1" applyBorder="1" applyAlignment="1">
      <alignment horizontal="center"/>
    </xf>
    <xf numFmtId="0" fontId="13" fillId="2" borderId="6" xfId="0" applyFont="1" applyFill="1" applyBorder="1"/>
    <xf numFmtId="0" fontId="2" fillId="2" borderId="6" xfId="0" applyFont="1" applyFill="1" applyBorder="1"/>
    <xf numFmtId="1" fontId="13" fillId="2" borderId="21" xfId="0" applyNumberFormat="1" applyFont="1" applyFill="1" applyBorder="1"/>
    <xf numFmtId="0" fontId="9" fillId="2" borderId="12" xfId="0" applyFont="1" applyFill="1" applyBorder="1"/>
    <xf numFmtId="0" fontId="0" fillId="2" borderId="13" xfId="0" applyFill="1" applyBorder="1"/>
    <xf numFmtId="0" fontId="0" fillId="2" borderId="14" xfId="0" applyFill="1" applyBorder="1"/>
    <xf numFmtId="0" fontId="9" fillId="2" borderId="17" xfId="0" applyFont="1" applyFill="1" applyBorder="1"/>
    <xf numFmtId="0" fontId="0" fillId="2" borderId="18" xfId="0" applyFill="1" applyBorder="1"/>
    <xf numFmtId="0" fontId="0" fillId="2" borderId="19" xfId="0" applyFill="1" applyBorder="1"/>
    <xf numFmtId="0" fontId="48" fillId="0" borderId="0" xfId="0" applyFont="1"/>
    <xf numFmtId="1" fontId="3" fillId="2" borderId="0" xfId="0" applyNumberFormat="1" applyFont="1" applyFill="1" applyAlignment="1">
      <alignment horizontal="right"/>
    </xf>
    <xf numFmtId="2" fontId="13" fillId="2" borderId="0" xfId="0" applyNumberFormat="1" applyFont="1" applyFill="1"/>
    <xf numFmtId="0" fontId="9" fillId="2" borderId="0" xfId="0" applyFont="1" applyFill="1" applyAlignment="1">
      <alignment horizontal="center"/>
    </xf>
    <xf numFmtId="2" fontId="3" fillId="2" borderId="21" xfId="0" applyNumberFormat="1" applyFont="1" applyFill="1" applyBorder="1"/>
    <xf numFmtId="0" fontId="33" fillId="0" borderId="7" xfId="0" applyFont="1" applyBorder="1"/>
    <xf numFmtId="164" fontId="13" fillId="0" borderId="0" xfId="0" applyNumberFormat="1" applyFont="1"/>
    <xf numFmtId="2" fontId="10" fillId="7" borderId="0" xfId="0" applyNumberFormat="1" applyFont="1" applyFill="1"/>
    <xf numFmtId="2" fontId="3" fillId="7" borderId="0" xfId="0" applyNumberFormat="1" applyFont="1" applyFill="1"/>
    <xf numFmtId="0" fontId="10" fillId="7" borderId="0" xfId="0" applyFont="1" applyFill="1"/>
    <xf numFmtId="168" fontId="13" fillId="7" borderId="6" xfId="0" applyNumberFormat="1" applyFont="1" applyFill="1" applyBorder="1"/>
    <xf numFmtId="168" fontId="0" fillId="0" borderId="39" xfId="0" applyNumberFormat="1" applyBorder="1"/>
    <xf numFmtId="2" fontId="0" fillId="0" borderId="46" xfId="0" applyNumberFormat="1" applyBorder="1"/>
    <xf numFmtId="0" fontId="0" fillId="0" borderId="110" xfId="0" applyBorder="1"/>
    <xf numFmtId="0" fontId="9" fillId="0" borderId="0" xfId="0" applyFont="1" applyAlignment="1">
      <alignment horizontal="right"/>
    </xf>
    <xf numFmtId="166" fontId="10" fillId="7" borderId="1" xfId="0" applyNumberFormat="1" applyFont="1" applyFill="1" applyBorder="1"/>
    <xf numFmtId="171" fontId="10" fillId="0" borderId="0" xfId="0" applyNumberFormat="1" applyFont="1"/>
    <xf numFmtId="0" fontId="49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9" fillId="8" borderId="0" xfId="2" applyFont="1" applyFill="1" applyAlignment="1">
      <alignment vertical="center"/>
    </xf>
    <xf numFmtId="0" fontId="3" fillId="0" borderId="0" xfId="2" applyAlignment="1">
      <alignment vertical="center"/>
    </xf>
    <xf numFmtId="166" fontId="3" fillId="0" borderId="0" xfId="2" applyNumberFormat="1" applyAlignment="1">
      <alignment vertical="center"/>
    </xf>
    <xf numFmtId="0" fontId="3" fillId="0" borderId="0" xfId="2" applyAlignment="1">
      <alignment horizontal="right" vertical="center"/>
    </xf>
    <xf numFmtId="0" fontId="3" fillId="6" borderId="0" xfId="2" applyFill="1" applyAlignment="1">
      <alignment vertical="center"/>
    </xf>
    <xf numFmtId="0" fontId="3" fillId="4" borderId="0" xfId="2" applyFill="1" applyAlignment="1">
      <alignment vertical="center"/>
    </xf>
    <xf numFmtId="1" fontId="9" fillId="8" borderId="0" xfId="2" applyNumberFormat="1" applyFont="1" applyFill="1" applyAlignment="1">
      <alignment vertical="center"/>
    </xf>
    <xf numFmtId="0" fontId="3" fillId="3" borderId="0" xfId="2" applyFill="1" applyAlignment="1">
      <alignment vertical="center"/>
    </xf>
    <xf numFmtId="0" fontId="3" fillId="0" borderId="0" xfId="0" applyFont="1" applyAlignment="1">
      <alignment horizontal="right" vertical="center"/>
    </xf>
    <xf numFmtId="1" fontId="3" fillId="0" borderId="0" xfId="2" applyNumberFormat="1" applyAlignment="1">
      <alignment vertical="center"/>
    </xf>
    <xf numFmtId="0" fontId="2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2" fontId="0" fillId="0" borderId="0" xfId="0" applyNumberFormat="1" applyAlignment="1">
      <alignment vertical="center"/>
    </xf>
    <xf numFmtId="0" fontId="9" fillId="0" borderId="0" xfId="2" applyFont="1" applyAlignment="1">
      <alignment vertical="center"/>
    </xf>
    <xf numFmtId="0" fontId="9" fillId="5" borderId="0" xfId="2" applyFont="1" applyFill="1" applyAlignment="1">
      <alignment vertical="center"/>
    </xf>
    <xf numFmtId="1" fontId="3" fillId="6" borderId="0" xfId="2" applyNumberFormat="1" applyFill="1" applyAlignment="1">
      <alignment vertical="center"/>
    </xf>
    <xf numFmtId="1" fontId="0" fillId="5" borderId="0" xfId="0" applyNumberFormat="1" applyFill="1" applyAlignment="1">
      <alignment vertical="center"/>
    </xf>
    <xf numFmtId="1" fontId="0" fillId="0" borderId="0" xfId="0" applyNumberFormat="1" applyAlignment="1">
      <alignment vertical="center"/>
    </xf>
    <xf numFmtId="1" fontId="3" fillId="3" borderId="0" xfId="2" applyNumberFormat="1" applyFill="1" applyAlignment="1">
      <alignment vertical="center"/>
    </xf>
    <xf numFmtId="165" fontId="0" fillId="0" borderId="0" xfId="0" applyNumberFormat="1" applyAlignment="1">
      <alignment vertical="center"/>
    </xf>
    <xf numFmtId="165" fontId="9" fillId="0" borderId="0" xfId="0" applyNumberFormat="1" applyFont="1" applyAlignment="1">
      <alignment vertical="center"/>
    </xf>
    <xf numFmtId="165" fontId="9" fillId="5" borderId="0" xfId="0" applyNumberFormat="1" applyFont="1" applyFill="1" applyAlignment="1">
      <alignment vertical="center"/>
    </xf>
    <xf numFmtId="0" fontId="0" fillId="5" borderId="0" xfId="0" applyFill="1" applyAlignment="1">
      <alignment vertical="center"/>
    </xf>
    <xf numFmtId="169" fontId="9" fillId="0" borderId="0" xfId="0" applyNumberFormat="1" applyFont="1" applyAlignment="1">
      <alignment vertical="center"/>
    </xf>
    <xf numFmtId="2" fontId="0" fillId="5" borderId="0" xfId="0" applyNumberFormat="1" applyFill="1" applyAlignment="1">
      <alignment vertical="center"/>
    </xf>
    <xf numFmtId="1" fontId="0" fillId="6" borderId="0" xfId="0" applyNumberFormat="1" applyFill="1" applyAlignment="1">
      <alignment vertical="center"/>
    </xf>
    <xf numFmtId="1" fontId="0" fillId="3" borderId="0" xfId="0" applyNumberFormat="1" applyFill="1" applyAlignment="1">
      <alignment vertical="center"/>
    </xf>
    <xf numFmtId="1" fontId="9" fillId="0" borderId="0" xfId="0" applyNumberFormat="1" applyFont="1" applyAlignment="1">
      <alignment vertical="center"/>
    </xf>
    <xf numFmtId="1" fontId="9" fillId="5" borderId="0" xfId="0" applyNumberFormat="1" applyFont="1" applyFill="1" applyAlignment="1">
      <alignment vertical="center"/>
    </xf>
    <xf numFmtId="165" fontId="0" fillId="5" borderId="0" xfId="0" applyNumberFormat="1" applyFill="1" applyAlignment="1">
      <alignment vertical="center"/>
    </xf>
    <xf numFmtId="0" fontId="50" fillId="7" borderId="0" xfId="3" applyFont="1" applyFill="1"/>
    <xf numFmtId="0" fontId="1" fillId="7" borderId="0" xfId="3" applyFill="1"/>
    <xf numFmtId="0" fontId="1" fillId="0" borderId="0" xfId="4"/>
    <xf numFmtId="0" fontId="51" fillId="7" borderId="0" xfId="3" applyFont="1" applyFill="1"/>
    <xf numFmtId="0" fontId="52" fillId="7" borderId="0" xfId="3" applyFont="1" applyFill="1"/>
    <xf numFmtId="0" fontId="54" fillId="7" borderId="0" xfId="5" applyFont="1" applyFill="1" applyAlignment="1" applyProtection="1"/>
    <xf numFmtId="0" fontId="54" fillId="7" borderId="0" xfId="6" applyFont="1" applyFill="1"/>
    <xf numFmtId="0" fontId="5" fillId="0" borderId="0" xfId="0" applyFont="1" applyAlignment="1">
      <alignment horizontal="center" vertical="center"/>
    </xf>
    <xf numFmtId="0" fontId="9" fillId="0" borderId="0" xfId="2" applyFont="1" applyAlignment="1">
      <alignment horizontal="center" vertical="center"/>
    </xf>
  </cellXfs>
  <cellStyles count="7">
    <cellStyle name="Hyperlink 2" xfId="5" xr:uid="{7C135972-33A9-421C-801D-23FDDB6C22B8}"/>
    <cellStyle name="Hyperlink 3" xfId="6" xr:uid="{BF248056-B02E-4825-A16A-DAF3F93CBD0B}"/>
    <cellStyle name="Link" xfId="1" builtinId="8"/>
    <cellStyle name="Normal 2" xfId="2" xr:uid="{00000000-0005-0000-0000-000002000000}"/>
    <cellStyle name="Normal 3" xfId="4" xr:uid="{F31A0D32-D26C-4E51-BC0D-E849E8551898}"/>
    <cellStyle name="Standard" xfId="0" builtinId="0"/>
    <cellStyle name="Standard 2" xfId="3" xr:uid="{E5FACAF0-B445-4C03-B08C-152C1584972F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1.xml"/><Relationship Id="rId13" Type="http://schemas.openxmlformats.org/officeDocument/2006/relationships/worksheet" Target="worksheets/sheet12.xml"/><Relationship Id="rId18" Type="http://schemas.openxmlformats.org/officeDocument/2006/relationships/worksheet" Target="worksheets/sheet17.xml"/><Relationship Id="rId26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0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1.xml"/><Relationship Id="rId17" Type="http://schemas.openxmlformats.org/officeDocument/2006/relationships/worksheet" Target="worksheets/sheet16.xml"/><Relationship Id="rId25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5.xml"/><Relationship Id="rId20" Type="http://schemas.openxmlformats.org/officeDocument/2006/relationships/worksheet" Target="worksheets/sheet19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0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4.xml"/><Relationship Id="rId23" Type="http://schemas.openxmlformats.org/officeDocument/2006/relationships/worksheet" Target="worksheets/sheet22.xml"/><Relationship Id="rId28" Type="http://schemas.openxmlformats.org/officeDocument/2006/relationships/styles" Target="styles.xml"/><Relationship Id="rId10" Type="http://schemas.openxmlformats.org/officeDocument/2006/relationships/worksheet" Target="worksheets/sheet9.xml"/><Relationship Id="rId19" Type="http://schemas.openxmlformats.org/officeDocument/2006/relationships/worksheet" Target="worksheets/sheet1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8.xml"/><Relationship Id="rId14" Type="http://schemas.openxmlformats.org/officeDocument/2006/relationships/worksheet" Target="worksheets/sheet13.xml"/><Relationship Id="rId22" Type="http://schemas.openxmlformats.org/officeDocument/2006/relationships/worksheet" Target="worksheets/sheet21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54250441746664"/>
          <c:y val="5.4055727854231989E-2"/>
          <c:w val="0.65190280930777955"/>
          <c:h val="0.86151316267682232"/>
        </c:manualLayout>
      </c:layout>
      <c:scatterChart>
        <c:scatterStyle val="lineMarker"/>
        <c:varyColors val="0"/>
        <c:ser>
          <c:idx val="0"/>
          <c:order val="0"/>
          <c:tx>
            <c:v>KL Factor</c:v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5.5555555555555558E-3"/>
                  <c:y val="1.8691588785046728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Shorts 360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79A3-4C85-95D0-FD2EDB34EF15}"/>
                </c:ext>
              </c:extLst>
            </c:dLbl>
            <c:dLbl>
              <c:idx val="1"/>
              <c:layout>
                <c:manualLayout>
                  <c:x val="-2.7777777777777779E-3"/>
                  <c:y val="4.7278681286334535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DHC 8 Q 200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79A3-4C85-95D0-FD2EDB34EF15}"/>
                </c:ext>
              </c:extLst>
            </c:dLbl>
            <c:dLbl>
              <c:idx val="2"/>
              <c:layout>
                <c:manualLayout>
                  <c:x val="2.7777777777777779E-3"/>
                  <c:y val="1.3987538940809912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DHC 8 Q 100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79A3-4C85-95D0-FD2EDB34EF15}"/>
                </c:ext>
              </c:extLst>
            </c:dLbl>
            <c:dLbl>
              <c:idx val="3"/>
              <c:layout>
                <c:manualLayout>
                  <c:x val="-2.7777777777777601E-3"/>
                  <c:y val="-9.8039215686274508E-3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DHC 8 Q 300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79A3-4C85-95D0-FD2EDB34EF15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DHC 8 Q 400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79A3-4C85-95D0-FD2EDB34EF15}"/>
                </c:ext>
              </c:extLst>
            </c:dLbl>
            <c:dLbl>
              <c:idx val="5"/>
              <c:layout>
                <c:manualLayout>
                  <c:x val="1.9444225721784794E-2"/>
                  <c:y val="-2.2875816993464099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Embraer 120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79A3-4C85-95D0-FD2EDB34EF15}"/>
                </c:ext>
              </c:extLst>
            </c:dLbl>
            <c:dLbl>
              <c:idx val="6"/>
              <c:layout>
                <c:manualLayout>
                  <c:x val="2.7777777777777848E-3"/>
                  <c:y val="-3.2679738562091565E-3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SAAB 340 B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79A3-4C85-95D0-FD2EDB34EF15}"/>
                </c:ext>
              </c:extLst>
            </c:dLbl>
            <c:dLbl>
              <c:idx val="7"/>
              <c:layout>
                <c:manualLayout>
                  <c:x val="-2.7777777777777779E-3"/>
                  <c:y val="-6.0166310986827579E-3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SAAB 2000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79A3-4C85-95D0-FD2EDB34EF15}"/>
                </c:ext>
              </c:extLst>
            </c:dLbl>
            <c:dLbl>
              <c:idx val="8"/>
              <c:layout>
                <c:manualLayout>
                  <c:x val="1.6666666666666684E-2"/>
                  <c:y val="9.8039215686274508E-3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Dornier 328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79A3-4C85-95D0-FD2EDB34EF15}"/>
                </c:ext>
              </c:extLst>
            </c:dLbl>
            <c:dLbl>
              <c:idx val="9"/>
              <c:layout>
                <c:manualLayout>
                  <c:x val="5.5555555555555558E-3"/>
                  <c:y val="-1.2826550886746349E-3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AN 140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79A3-4C85-95D0-FD2EDB34EF15}"/>
                </c:ext>
              </c:extLst>
            </c:dLbl>
            <c:dLbl>
              <c:idx val="10"/>
              <c:layout>
                <c:manualLayout>
                  <c:x val="0"/>
                  <c:y val="6.5359477124183095E-3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IL 114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79A3-4C85-95D0-FD2EDB34EF15}"/>
                </c:ext>
              </c:extLst>
            </c:dLbl>
            <c:dLbl>
              <c:idx val="11"/>
              <c:layout>
                <c:manualLayout>
                  <c:x val="1.9444444444444445E-2"/>
                  <c:y val="9.345794392523421E-3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LET 610 G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B-79A3-4C85-95D0-FD2EDB34EF15}"/>
                </c:ext>
              </c:extLst>
            </c:dLbl>
            <c:dLbl>
              <c:idx val="12"/>
              <c:layout>
                <c:manualLayout>
                  <c:x val="1.6666666666666684E-2"/>
                  <c:y val="1.9607843137254902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ATR 72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C-79A3-4C85-95D0-FD2EDB34EF15}"/>
                </c:ext>
              </c:extLst>
            </c:dLbl>
            <c:dLbl>
              <c:idx val="13"/>
              <c:layout>
                <c:manualLayout>
                  <c:x val="1.9444444444444403E-2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ATR 42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D-79A3-4C85-95D0-FD2EDB34EF15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de-DE"/>
              </a:p>
            </c:txPr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trendlineType val="linear"/>
            <c:intercept val="0"/>
            <c:dispRSqr val="0"/>
            <c:dispEq val="1"/>
            <c:trendlineLbl>
              <c:layout>
                <c:manualLayout>
                  <c:x val="0.26725984251968504"/>
                  <c:y val="0.3720984509289280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3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de-DE"/>
                </a:p>
              </c:txPr>
            </c:trendlineLbl>
          </c:trendline>
          <c:xVal>
            <c:numRef>
              <c:f>'2.) Parameters-Statistics'!$H$7:$H$20</c:f>
              <c:numCache>
                <c:formatCode>0.00</c:formatCode>
                <c:ptCount val="14"/>
                <c:pt idx="0">
                  <c:v>2111.5</c:v>
                </c:pt>
                <c:pt idx="1">
                  <c:v>1416.6000000000001</c:v>
                </c:pt>
                <c:pt idx="2">
                  <c:v>1429.2</c:v>
                </c:pt>
                <c:pt idx="3">
                  <c:v>1872</c:v>
                </c:pt>
                <c:pt idx="4">
                  <c:v>2316.6</c:v>
                </c:pt>
                <c:pt idx="5">
                  <c:v>3312</c:v>
                </c:pt>
                <c:pt idx="6">
                  <c:v>1859.4</c:v>
                </c:pt>
                <c:pt idx="7">
                  <c:v>2237.4</c:v>
                </c:pt>
                <c:pt idx="8">
                  <c:v>2095.2000000000003</c:v>
                </c:pt>
                <c:pt idx="9">
                  <c:v>2430</c:v>
                </c:pt>
                <c:pt idx="10">
                  <c:v>3120</c:v>
                </c:pt>
                <c:pt idx="11">
                  <c:v>2052</c:v>
                </c:pt>
                <c:pt idx="12">
                  <c:v>2603.48</c:v>
                </c:pt>
                <c:pt idx="13">
                  <c:v>2747.44</c:v>
                </c:pt>
              </c:numCache>
            </c:numRef>
          </c:xVal>
          <c:yVal>
            <c:numRef>
              <c:f>'2.) Parameters-Statistics'!$G$7:$G$20</c:f>
              <c:numCache>
                <c:formatCode>0.00</c:formatCode>
                <c:ptCount val="14"/>
                <c:pt idx="0">
                  <c:v>247</c:v>
                </c:pt>
                <c:pt idx="1">
                  <c:v>287.66544117647061</c:v>
                </c:pt>
                <c:pt idx="2">
                  <c:v>287.66544117647061</c:v>
                </c:pt>
                <c:pt idx="3">
                  <c:v>338.98576512455514</c:v>
                </c:pt>
                <c:pt idx="4">
                  <c:v>443.88272583201268</c:v>
                </c:pt>
                <c:pt idx="5">
                  <c:v>296.95431472081219</c:v>
                </c:pt>
                <c:pt idx="6">
                  <c:v>309.33014354066989</c:v>
                </c:pt>
                <c:pt idx="7">
                  <c:v>394.68963042698238</c:v>
                </c:pt>
                <c:pt idx="8">
                  <c:v>330.75</c:v>
                </c:pt>
                <c:pt idx="9">
                  <c:v>374.50980392156862</c:v>
                </c:pt>
                <c:pt idx="10">
                  <c:v>286.89999999999998</c:v>
                </c:pt>
                <c:pt idx="11">
                  <c:v>264.28571428571428</c:v>
                </c:pt>
                <c:pt idx="12">
                  <c:v>366.39344262295083</c:v>
                </c:pt>
                <c:pt idx="13">
                  <c:v>335.77981651376149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79A3-4C85-95D0-FD2EDB34EF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338592"/>
        <c:axId val="1"/>
      </c:scatterChart>
      <c:valAx>
        <c:axId val="645338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C</a:t>
                </a:r>
                <a:r>
                  <a:rPr lang="en-US" sz="1300" b="0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L,max,L</a:t>
                </a:r>
                <a:r>
                  <a:rPr lang="en-US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·S</a:t>
                </a:r>
                <a:r>
                  <a:rPr lang="en-US" sz="1300" b="0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LFL</a:t>
                </a:r>
              </a:p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[m]</a:t>
                </a:r>
              </a:p>
            </c:rich>
          </c:tx>
          <c:layout>
            <c:manualLayout>
              <c:xMode val="edge"/>
              <c:yMode val="edge"/>
              <c:x val="0.80471333346758767"/>
              <c:y val="0.850098056311955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m</a:t>
                </a:r>
                <a:r>
                  <a:rPr lang="en-US" sz="1300" b="0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L</a:t>
                </a:r>
                <a:r>
                  <a:rPr lang="en-US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/S</a:t>
                </a:r>
                <a:r>
                  <a:rPr lang="en-US" sz="1300" b="0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W</a:t>
                </a:r>
              </a:p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[kg/m</a:t>
                </a:r>
                <a:r>
                  <a:rPr lang="en-US" sz="1300" b="0" i="0" u="none" strike="noStrike" baseline="30000">
                    <a:solidFill>
                      <a:srgbClr val="000000"/>
                    </a:solidFill>
                    <a:latin typeface="Calibri"/>
                    <a:cs typeface="Calibri"/>
                  </a:rPr>
                  <a:t>2</a:t>
                </a:r>
                <a:r>
                  <a:rPr lang="en-US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1.3888676319552127E-2"/>
              <c:y val="1.266630001743819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64533859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38492277020359666"/>
          <c:y val="0.64567626661658772"/>
          <c:w val="0.13043901161971116"/>
          <c:h val="4.5997934244590755E-2"/>
        </c:manualLayout>
      </c:layout>
      <c:overlay val="0"/>
      <c:txPr>
        <a:bodyPr/>
        <a:lstStyle/>
        <a:p>
          <a:pPr>
            <a:defRPr sz="109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de-DE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040010666120742"/>
          <c:y val="6.2352097270583232E-2"/>
          <c:w val="0.76529782675827274"/>
          <c:h val="0.8225680524542327"/>
        </c:manualLayout>
      </c:layout>
      <c:scatterChart>
        <c:scatterStyle val="lineMarker"/>
        <c:varyColors val="0"/>
        <c:ser>
          <c:idx val="0"/>
          <c:order val="0"/>
          <c:tx>
            <c:v>Kapp Factor</c:v>
          </c:tx>
          <c:spPr>
            <a:ln w="28575">
              <a:noFill/>
            </a:ln>
          </c:spPr>
          <c:dLbls>
            <c:dLbl>
              <c:idx val="0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DHC Q 8 200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3E67-48F1-82E3-D99654EA7E2E}"/>
                </c:ext>
              </c:extLst>
            </c:dLbl>
            <c:dLbl>
              <c:idx val="1"/>
              <c:layout>
                <c:manualLayout>
                  <c:x val="6.4412238325281977E-3"/>
                  <c:y val="3.7037037037037056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DHC 8 Q 100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3E67-48F1-82E3-D99654EA7E2E}"/>
                </c:ext>
              </c:extLst>
            </c:dLbl>
            <c:dLbl>
              <c:idx val="2"/>
              <c:layout>
                <c:manualLayout>
                  <c:x val="6.4412238325281977E-3"/>
                  <c:y val="-9.2592592592593264E-3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DHC Q 8 300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3E67-48F1-82E3-D99654EA7E2E}"/>
                </c:ext>
              </c:extLst>
            </c:dLbl>
            <c:dLbl>
              <c:idx val="3"/>
              <c:layout>
                <c:manualLayout>
                  <c:x val="1.2882447665056375E-2"/>
                  <c:y val="-3.2407407407407461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Embraer 120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3E67-48F1-82E3-D99654EA7E2E}"/>
                </c:ext>
              </c:extLst>
            </c:dLbl>
            <c:dLbl>
              <c:idx val="4"/>
              <c:layout>
                <c:manualLayout>
                  <c:x val="8.5882984433709019E-3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SAAB 340 B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3E67-48F1-82E3-D99654EA7E2E}"/>
                </c:ext>
              </c:extLst>
            </c:dLbl>
            <c:dLbl>
              <c:idx val="5"/>
              <c:layout>
                <c:manualLayout>
                  <c:x val="1.0735203993220654E-2"/>
                  <c:y val="-1.8518518518518542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SAAB 2000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3E67-48F1-82E3-D99654EA7E2E}"/>
                </c:ext>
              </c:extLst>
            </c:dLbl>
            <c:dLbl>
              <c:idx val="6"/>
              <c:layout>
                <c:manualLayout>
                  <c:x val="2.1470577047434328E-2"/>
                  <c:y val="-3.7037037037037056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IL 114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3E67-48F1-82E3-D99654EA7E2E}"/>
                </c:ext>
              </c:extLst>
            </c:dLbl>
            <c:dLbl>
              <c:idx val="7"/>
              <c:layout>
                <c:manualLayout>
                  <c:x val="5.1529790660225387E-2"/>
                  <c:y val="3.7037037037037125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LET 610 G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3E67-48F1-82E3-D99654EA7E2E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de-DE"/>
              </a:p>
            </c:txPr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trendlineType val="linear"/>
            <c:intercept val="0"/>
            <c:dispRSqr val="0"/>
            <c:dispEq val="1"/>
            <c:trendlineLbl>
              <c:layout>
                <c:manualLayout>
                  <c:x val="-0.46885972586760055"/>
                  <c:y val="1.9771925061091503E-2"/>
                </c:manualLayout>
              </c:layout>
              <c:tx>
                <c:rich>
                  <a:bodyPr/>
                  <a:lstStyle/>
                  <a:p>
                    <a:pPr>
                      <a:defRPr sz="13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y = 1,643x</a:t>
                    </a:r>
                  </a:p>
                </c:rich>
              </c:tx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'2.) Parameters-Statistics'!$E$28:$E$35</c:f>
              <c:numCache>
                <c:formatCode>General</c:formatCode>
                <c:ptCount val="8"/>
                <c:pt idx="0">
                  <c:v>28.053520278211074</c:v>
                </c:pt>
                <c:pt idx="1">
                  <c:v>28.178005607210743</c:v>
                </c:pt>
                <c:pt idx="2">
                  <c:v>32.249030993194197</c:v>
                </c:pt>
                <c:pt idx="3">
                  <c:v>37.148351242013419</c:v>
                </c:pt>
                <c:pt idx="4">
                  <c:v>32.140317359976393</c:v>
                </c:pt>
                <c:pt idx="5">
                  <c:v>35.256205127608389</c:v>
                </c:pt>
                <c:pt idx="6">
                  <c:v>36.055512754639892</c:v>
                </c:pt>
                <c:pt idx="7">
                  <c:v>33.763886032268267</c:v>
                </c:pt>
              </c:numCache>
            </c:numRef>
          </c:xVal>
          <c:yVal>
            <c:numRef>
              <c:f>'2.) Parameters-Statistics'!$C$28:$C$35</c:f>
              <c:numCache>
                <c:formatCode>General</c:formatCode>
                <c:ptCount val="8"/>
                <c:pt idx="0">
                  <c:v>48.388888888888893</c:v>
                </c:pt>
                <c:pt idx="1">
                  <c:v>48.388888888888893</c:v>
                </c:pt>
                <c:pt idx="2">
                  <c:v>50.916666666666664</c:v>
                </c:pt>
                <c:pt idx="3">
                  <c:v>59.583333333333336</c:v>
                </c:pt>
                <c:pt idx="4">
                  <c:v>57.777777777777779</c:v>
                </c:pt>
                <c:pt idx="5">
                  <c:v>65.722222222222229</c:v>
                </c:pt>
                <c:pt idx="6">
                  <c:v>51.388888888888886</c:v>
                </c:pt>
                <c:pt idx="7">
                  <c:v>51.111111111111107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3E67-48F1-82E3-D99654EA7E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339840"/>
        <c:axId val="1"/>
      </c:scatterChart>
      <c:valAx>
        <c:axId val="645339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S</a:t>
                </a:r>
                <a:r>
                  <a:rPr lang="en-US" sz="1300" b="0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LFL</a:t>
                </a:r>
                <a:r>
                  <a:rPr lang="en-US" sz="1300" b="0" i="0" u="none" strike="noStrike" baseline="30000">
                    <a:solidFill>
                      <a:srgbClr val="000000"/>
                    </a:solidFill>
                    <a:latin typeface="Calibri"/>
                    <a:cs typeface="Calibri"/>
                  </a:rPr>
                  <a:t>1/2</a:t>
                </a:r>
              </a:p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[m</a:t>
                </a:r>
                <a:r>
                  <a:rPr lang="en-US" sz="1300" b="0" i="0" u="none" strike="noStrike" baseline="30000">
                    <a:solidFill>
                      <a:srgbClr val="000000"/>
                    </a:solidFill>
                    <a:latin typeface="Calibri"/>
                    <a:cs typeface="Calibri"/>
                  </a:rPr>
                  <a:t>1/2</a:t>
                </a:r>
                <a:r>
                  <a:rPr lang="en-US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0.8843481262089945"/>
              <c:y val="0.718597207767981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V</a:t>
                </a:r>
                <a:r>
                  <a:rPr lang="en-US" sz="1300" b="0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app</a:t>
                </a:r>
              </a:p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[m/s]</a:t>
                </a:r>
              </a:p>
            </c:rich>
          </c:tx>
          <c:layout>
            <c:manualLayout>
              <c:xMode val="edge"/>
              <c:yMode val="edge"/>
              <c:x val="7.0424683153137964E-3"/>
              <c:y val="6.1877196771849899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645339840"/>
        <c:crosses val="autoZero"/>
        <c:crossBetween val="midCat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33844076829845809"/>
          <c:y val="0.54615390657215235"/>
          <c:w val="0.11417274675527944"/>
          <c:h val="6.7334027136882191E-2"/>
        </c:manualLayout>
      </c:layout>
      <c:overlay val="0"/>
      <c:txPr>
        <a:bodyPr/>
        <a:lstStyle/>
        <a:p>
          <a:pPr>
            <a:defRPr sz="109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de-DE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432576707554707"/>
          <c:y val="6.750210463410139E-2"/>
          <c:w val="0.75187513719206522"/>
          <c:h val="0.80252502176098328"/>
        </c:manualLayout>
      </c:layout>
      <c:scatterChart>
        <c:scatterStyle val="lineMarker"/>
        <c:varyColors val="0"/>
        <c:ser>
          <c:idx val="0"/>
          <c:order val="0"/>
          <c:tx>
            <c:v>KTO Factor</c:v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0"/>
                  <c:y val="-1.8518518518518535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Shorts 330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67C3-4886-9E55-5B7518619CB0}"/>
                </c:ext>
              </c:extLst>
            </c:dLbl>
            <c:dLbl>
              <c:idx val="1"/>
              <c:layout>
                <c:manualLayout>
                  <c:x val="0.1281575385331917"/>
                  <c:y val="3.2407407407407447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DHC 8 Q 100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67C3-4886-9E55-5B7518619CB0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DHC 8 Q 200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67C3-4886-9E55-5B7518619CB0}"/>
                </c:ext>
              </c:extLst>
            </c:dLbl>
            <c:dLbl>
              <c:idx val="3"/>
              <c:layout>
                <c:manualLayout>
                  <c:x val="7.3937153419593397E-3"/>
                  <c:y val="4.6296296296296337E-3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DHC 8 Q 300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67C3-4886-9E55-5B7518619CB0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Embraer 120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67C3-4886-9E55-5B7518619CB0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SAAB 340 B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67C3-4886-9E55-5B7518619CB0}"/>
                </c:ext>
              </c:extLst>
            </c:dLbl>
            <c:dLbl>
              <c:idx val="6"/>
              <c:layout>
                <c:manualLayout>
                  <c:x val="1.2322858903265557E-2"/>
                  <c:y val="-1.3888888888888846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SAAB 2000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67C3-4886-9E55-5B7518619CB0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IL 114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67C3-4886-9E55-5B7518619CB0}"/>
                </c:ext>
              </c:extLst>
            </c:dLbl>
            <c:dLbl>
              <c:idx val="8"/>
              <c:layout>
                <c:manualLayout>
                  <c:x val="7.3937153419593397E-3"/>
                  <c:y val="1.8518518518518535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LET 610 G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67C3-4886-9E55-5B7518619CB0}"/>
                </c:ext>
              </c:extLst>
            </c:dLbl>
            <c:dLbl>
              <c:idx val="9"/>
              <c:layout>
                <c:manualLayout>
                  <c:x val="7.3937153419593345E-3"/>
                  <c:y val="1.3888888888888888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ATR 72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67C3-4886-9E55-5B7518619CB0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de-DE"/>
              </a:p>
            </c:txPr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trendlineType val="linear"/>
            <c:intercept val="0"/>
            <c:dispRSqr val="0"/>
            <c:dispEq val="1"/>
            <c:trendlineLbl>
              <c:layout>
                <c:manualLayout>
                  <c:x val="0.26504684141839019"/>
                  <c:y val="8.7639253426654989E-2"/>
                </c:manualLayout>
              </c:layout>
              <c:tx>
                <c:rich>
                  <a:bodyPr/>
                  <a:lstStyle/>
                  <a:p>
                    <a:pPr>
                      <a:defRPr sz="13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y = 2,25x</a:t>
                    </a:r>
                  </a:p>
                </c:rich>
              </c:tx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'2.) Parameters-Statistics'!$J$49:$J$58</c:f>
              <c:numCache>
                <c:formatCode>General</c:formatCode>
                <c:ptCount val="10"/>
                <c:pt idx="0">
                  <c:v>77672.738349132516</c:v>
                </c:pt>
                <c:pt idx="1">
                  <c:v>93782.386146435674</c:v>
                </c:pt>
                <c:pt idx="2">
                  <c:v>93782.386146435674</c:v>
                </c:pt>
                <c:pt idx="3">
                  <c:v>113130.92608978345</c:v>
                </c:pt>
                <c:pt idx="4">
                  <c:v>116096.37283105409</c:v>
                </c:pt>
                <c:pt idx="5">
                  <c:v>125845.46686241415</c:v>
                </c:pt>
                <c:pt idx="6">
                  <c:v>194834.4522574365</c:v>
                </c:pt>
                <c:pt idx="7">
                  <c:v>106152.12581336789</c:v>
                </c:pt>
                <c:pt idx="8">
                  <c:v>87909.576111957373</c:v>
                </c:pt>
                <c:pt idx="9">
                  <c:v>168354.28162976974</c:v>
                </c:pt>
              </c:numCache>
            </c:numRef>
          </c:xVal>
          <c:yVal>
            <c:numRef>
              <c:f>'2.) Parameters-Statistics'!$I$49:$I$58</c:f>
              <c:numCache>
                <c:formatCode>General</c:formatCode>
                <c:ptCount val="10"/>
                <c:pt idx="0">
                  <c:v>220363.51999999999</c:v>
                </c:pt>
                <c:pt idx="1">
                  <c:v>152568.00000000003</c:v>
                </c:pt>
                <c:pt idx="2">
                  <c:v>181584.00000000006</c:v>
                </c:pt>
                <c:pt idx="3">
                  <c:v>210598.12800000006</c:v>
                </c:pt>
                <c:pt idx="4">
                  <c:v>432338.4</c:v>
                </c:pt>
                <c:pt idx="5">
                  <c:v>342115.48800000001</c:v>
                </c:pt>
                <c:pt idx="6">
                  <c:v>328074.08400000003</c:v>
                </c:pt>
                <c:pt idx="7">
                  <c:v>301766.40000000002</c:v>
                </c:pt>
                <c:pt idx="8">
                  <c:v>162711.24480000004</c:v>
                </c:pt>
                <c:pt idx="9">
                  <c:v>294451.68479999999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67C3-4886-9E55-5B7518619C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3028176"/>
        <c:axId val="1"/>
      </c:scatterChart>
      <c:valAx>
        <c:axId val="423028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m</a:t>
                </a:r>
                <a:r>
                  <a:rPr lang="en-US" sz="1300" b="0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MTO</a:t>
                </a:r>
                <a:r>
                  <a:rPr lang="en-US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/S</a:t>
                </a:r>
                <a:r>
                  <a:rPr lang="en-US" sz="1300" b="0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W</a:t>
                </a:r>
                <a:r>
                  <a:rPr lang="en-US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·g·V</a:t>
                </a:r>
              </a:p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[kg/s</a:t>
                </a:r>
                <a:r>
                  <a:rPr lang="en-US" sz="1300" b="0" i="0" u="none" strike="noStrike" baseline="30000">
                    <a:solidFill>
                      <a:srgbClr val="000000"/>
                    </a:solidFill>
                    <a:latin typeface="Calibri"/>
                    <a:cs typeface="Calibri"/>
                  </a:rPr>
                  <a:t>3</a:t>
                </a:r>
                <a:r>
                  <a:rPr lang="en-US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0.81473808731655017"/>
              <c:y val="0.670347218048125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P</a:t>
                </a:r>
                <a:r>
                  <a:rPr lang="en-US" sz="1300" b="0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S</a:t>
                </a:r>
                <a:r>
                  <a:rPr lang="en-US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/m</a:t>
                </a:r>
                <a:r>
                  <a:rPr lang="en-US" sz="1300" b="0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MTO</a:t>
                </a:r>
                <a:r>
                  <a:rPr lang="en-US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·S</a:t>
                </a:r>
                <a:r>
                  <a:rPr lang="en-US" sz="1300" b="0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TOFL</a:t>
                </a:r>
                <a:r>
                  <a:rPr lang="en-US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·σ·C</a:t>
                </a:r>
                <a:r>
                  <a:rPr lang="en-US" sz="1300" b="0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L,max,TO</a:t>
                </a:r>
                <a:r>
                  <a:rPr lang="en-US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·η</a:t>
                </a:r>
                <a:r>
                  <a:rPr lang="en-US" sz="1300" b="0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P</a:t>
                </a:r>
              </a:p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[W·m/kg]</a:t>
                </a:r>
              </a:p>
            </c:rich>
          </c:tx>
          <c:layout>
            <c:manualLayout>
              <c:xMode val="edge"/>
              <c:yMode val="edge"/>
              <c:x val="1.0178736460759306E-2"/>
              <c:y val="0.1199923864478772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423028176"/>
        <c:crosses val="autoZero"/>
        <c:crossBetween val="midCat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82514435695538058"/>
          <c:y val="0.41838232053054436"/>
          <c:w val="0.12441721193301547"/>
          <c:h val="6.3777924705976652E-2"/>
        </c:manualLayout>
      </c:layout>
      <c:overlay val="1"/>
      <c:txPr>
        <a:bodyPr/>
        <a:lstStyle/>
        <a:p>
          <a:pPr>
            <a:defRPr sz="109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de-DE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822430551838584"/>
          <c:y val="5.1725752764119469E-2"/>
          <c:w val="0.68680319112815602"/>
          <c:h val="0.84485396181395134"/>
        </c:manualLayout>
      </c:layout>
      <c:scatterChart>
        <c:scatterStyle val="lineMarker"/>
        <c:varyColors val="0"/>
        <c:ser>
          <c:idx val="0"/>
          <c:order val="0"/>
          <c:tx>
            <c:v>(KE Factor)^2</c:v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-2.2222222222222244E-2"/>
                  <c:y val="-3.7037037037037056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Fokker 27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4E8E-4C19-B242-2788871FD052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Shorts 360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4E8E-4C19-B242-2788871FD052}"/>
                </c:ext>
              </c:extLst>
            </c:dLbl>
            <c:dLbl>
              <c:idx val="2"/>
              <c:layout>
                <c:manualLayout>
                  <c:x val="-0.15000000000000011"/>
                  <c:y val="-4.2437781360066833E-17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Saab 340A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4E8E-4C19-B242-2788871FD052}"/>
                </c:ext>
              </c:extLst>
            </c:dLbl>
            <c:dLbl>
              <c:idx val="3"/>
              <c:layout>
                <c:manualLayout>
                  <c:x val="-8.3333333333333367E-3"/>
                  <c:y val="-1.3888888888888904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BAE ATP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4E8E-4C19-B242-2788871FD052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Embraer 120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4E8E-4C19-B242-2788871FD052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Jetstream 41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4E8E-4C19-B242-2788871FD052}"/>
                </c:ext>
              </c:extLst>
            </c:dLbl>
            <c:dLbl>
              <c:idx val="6"/>
              <c:layout>
                <c:manualLayout>
                  <c:x val="-8.3333333333333367E-3"/>
                  <c:y val="2.3148148148148147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Dornier 328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4E8E-4C19-B242-2788871FD052}"/>
                </c:ext>
              </c:extLst>
            </c:dLbl>
            <c:dLbl>
              <c:idx val="7"/>
              <c:layout>
                <c:manualLayout>
                  <c:x val="-2.5000000000000001E-2"/>
                  <c:y val="2.7777777777777821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DHC 8 Q 300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4E8E-4C19-B242-2788871FD052}"/>
                </c:ext>
              </c:extLst>
            </c:dLbl>
            <c:dLbl>
              <c:idx val="8"/>
              <c:layout>
                <c:manualLayout>
                  <c:x val="-1.3888888888888904E-2"/>
                  <c:y val="-1.3888888888888904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ATR42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4E8E-4C19-B242-2788871FD052}"/>
                </c:ext>
              </c:extLst>
            </c:dLbl>
            <c:dLbl>
              <c:idx val="9"/>
              <c:layout>
                <c:manualLayout>
                  <c:x val="-1.1111111111111122E-2"/>
                  <c:y val="-2.3148148148148147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ATR 72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4E8E-4C19-B242-2788871FD052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de-DE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trendlineType val="linear"/>
            <c:intercept val="0"/>
            <c:dispRSqr val="0"/>
            <c:dispEq val="1"/>
            <c:trendlineLbl>
              <c:layout>
                <c:manualLayout>
                  <c:x val="-0.35215638670166238"/>
                  <c:y val="-9.8374161563138038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3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de-DE"/>
                </a:p>
              </c:txPr>
            </c:trendlineLbl>
          </c:trendline>
          <c:xVal>
            <c:numRef>
              <c:f>'2.) Parameters-Statistics'!$K$69:$K$78</c:f>
              <c:numCache>
                <c:formatCode>0.00</c:formatCode>
                <c:ptCount val="10"/>
                <c:pt idx="0">
                  <c:v>1.9313627081892957</c:v>
                </c:pt>
                <c:pt idx="1">
                  <c:v>1.8104985566910281</c:v>
                </c:pt>
                <c:pt idx="2">
                  <c:v>1.7701305149393614</c:v>
                </c:pt>
                <c:pt idx="3">
                  <c:v>2.3724392242556678</c:v>
                </c:pt>
                <c:pt idx="4">
                  <c:v>1.5725287180765117</c:v>
                </c:pt>
                <c:pt idx="5">
                  <c:v>1.7522288453393113</c:v>
                </c:pt>
                <c:pt idx="6">
                  <c:v>1.6314846881454099</c:v>
                </c:pt>
                <c:pt idx="7">
                  <c:v>2.1328152436192269</c:v>
                </c:pt>
                <c:pt idx="8">
                  <c:v>1.7600542316073675</c:v>
                </c:pt>
                <c:pt idx="9">
                  <c:v>1.845051003561553</c:v>
                </c:pt>
              </c:numCache>
            </c:numRef>
          </c:xVal>
          <c:yVal>
            <c:numRef>
              <c:f>'2.) Parameters-Statistics'!$M$69:$M$78</c:f>
              <c:numCache>
                <c:formatCode>General</c:formatCode>
                <c:ptCount val="10"/>
                <c:pt idx="0">
                  <c:v>250.5889</c:v>
                </c:pt>
                <c:pt idx="1">
                  <c:v>348.19560000000001</c:v>
                </c:pt>
                <c:pt idx="2">
                  <c:v>256</c:v>
                </c:pt>
                <c:pt idx="3">
                  <c:v>242.7364</c:v>
                </c:pt>
                <c:pt idx="4">
                  <c:v>200.50560000000002</c:v>
                </c:pt>
                <c:pt idx="5">
                  <c:v>128.3689</c:v>
                </c:pt>
                <c:pt idx="6">
                  <c:v>193.4881</c:v>
                </c:pt>
                <c:pt idx="7">
                  <c:v>245.23560000000001</c:v>
                </c:pt>
                <c:pt idx="8">
                  <c:v>214.91560000000001</c:v>
                </c:pt>
                <c:pt idx="9">
                  <c:v>277.55560000000003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4E8E-4C19-B242-2788871FD0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3029008"/>
        <c:axId val="1"/>
      </c:scatterChart>
      <c:valAx>
        <c:axId val="423029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A/(S</a:t>
                </a:r>
                <a:r>
                  <a:rPr lang="en-US" sz="1300" b="0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wet</a:t>
                </a:r>
                <a:r>
                  <a:rPr lang="en-US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/S</a:t>
                </a:r>
                <a:r>
                  <a:rPr lang="en-US" sz="1300" b="0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w</a:t>
                </a:r>
                <a:r>
                  <a:rPr lang="en-US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80166675618480843"/>
              <c:y val="0.73979175903982874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E</a:t>
                </a:r>
                <a:r>
                  <a:rPr lang="en-US" sz="1300" b="0" i="0" u="none" strike="noStrike" baseline="30000">
                    <a:solidFill>
                      <a:srgbClr val="000000"/>
                    </a:solidFill>
                    <a:latin typeface="Calibri"/>
                    <a:cs typeface="Calibri"/>
                  </a:rPr>
                  <a:t>2</a:t>
                </a:r>
                <a:r>
                  <a:rPr lang="en-US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=(L/D)</a:t>
                </a:r>
                <a:r>
                  <a:rPr lang="en-US" sz="1300" b="0" i="0" u="none" strike="noStrike" baseline="30000">
                    <a:solidFill>
                      <a:srgbClr val="000000"/>
                    </a:solidFill>
                    <a:latin typeface="Calibri"/>
                    <a:cs typeface="Calibri"/>
                  </a:rPr>
                  <a:t>2</a:t>
                </a:r>
              </a:p>
            </c:rich>
          </c:tx>
          <c:layout>
            <c:manualLayout>
              <c:xMode val="edge"/>
              <c:yMode val="edge"/>
              <c:x val="0"/>
              <c:y val="3.6462044186224299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423029008"/>
        <c:crosses val="autoZero"/>
        <c:crossBetween val="midCat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24557411565027767"/>
          <c:y val="0.6213803226053054"/>
          <c:w val="0.13097270412821863"/>
          <c:h val="0.10679978594908646"/>
        </c:manualLayout>
      </c:layout>
      <c:overlay val="0"/>
      <c:txPr>
        <a:bodyPr/>
        <a:lstStyle/>
        <a:p>
          <a:pPr>
            <a:defRPr sz="109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de-DE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Matching Chart</a:t>
            </a:r>
          </a:p>
        </c:rich>
      </c:tx>
      <c:layout>
        <c:manualLayout>
          <c:xMode val="edge"/>
          <c:yMode val="edge"/>
          <c:x val="0.43698346939247323"/>
          <c:y val="2.03043554660127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721991701244813"/>
          <c:y val="0.13898305084745763"/>
          <c:w val="0.80394190871369298"/>
          <c:h val="0.74406779661016953"/>
        </c:manualLayout>
      </c:layout>
      <c:scatterChart>
        <c:scatterStyle val="lineMarker"/>
        <c:varyColors val="0"/>
        <c:ser>
          <c:idx val="0"/>
          <c:order val="0"/>
          <c:tx>
            <c:v>2. Segment</c:v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'5.) Preliminary Sizing II'!$F$43:$F$54</c:f>
              <c:numCache>
                <c:formatCode>0</c:formatCode>
                <c:ptCount val="12"/>
                <c:pt idx="0">
                  <c:v>1072.1935699923574</c:v>
                </c:pt>
                <c:pt idx="1">
                  <c:v>997.86413273752578</c:v>
                </c:pt>
                <c:pt idx="2">
                  <c:v>927.76332158795753</c:v>
                </c:pt>
                <c:pt idx="3">
                  <c:v>861.7045832729093</c:v>
                </c:pt>
                <c:pt idx="4">
                  <c:v>799.50714577014878</c:v>
                </c:pt>
                <c:pt idx="5">
                  <c:v>740.9959171657307</c:v>
                </c:pt>
                <c:pt idx="6">
                  <c:v>686.00138487941285</c:v>
                </c:pt>
                <c:pt idx="7">
                  <c:v>634.35951525961241</c:v>
                </c:pt>
                <c:pt idx="8">
                  <c:v>586.31374914135733</c:v>
                </c:pt>
                <c:pt idx="9">
                  <c:v>541.86183631546965</c:v>
                </c:pt>
                <c:pt idx="10">
                  <c:v>500.78008589285861</c:v>
                </c:pt>
                <c:pt idx="11">
                  <c:v>462.81298593033847</c:v>
                </c:pt>
              </c:numCache>
            </c:numRef>
          </c:xVal>
          <c:yVal>
            <c:numRef>
              <c:f>'5.) Preliminary Sizing II'!$J$43:$J$54</c:f>
              <c:numCache>
                <c:formatCode>0.0</c:formatCode>
                <c:ptCount val="12"/>
                <c:pt idx="0">
                  <c:v>187.34687081731897</c:v>
                </c:pt>
                <c:pt idx="1">
                  <c:v>187.34687081731897</c:v>
                </c:pt>
                <c:pt idx="2">
                  <c:v>187.34687081731897</c:v>
                </c:pt>
                <c:pt idx="3">
                  <c:v>187.34687081731897</c:v>
                </c:pt>
                <c:pt idx="4">
                  <c:v>187.34687081731897</c:v>
                </c:pt>
                <c:pt idx="5">
                  <c:v>187.34687081731897</c:v>
                </c:pt>
                <c:pt idx="6">
                  <c:v>187.34687081731897</c:v>
                </c:pt>
                <c:pt idx="7">
                  <c:v>187.34687081731897</c:v>
                </c:pt>
                <c:pt idx="8">
                  <c:v>187.34687081731897</c:v>
                </c:pt>
                <c:pt idx="9">
                  <c:v>187.34687081731897</c:v>
                </c:pt>
                <c:pt idx="10">
                  <c:v>187.34687081731897</c:v>
                </c:pt>
                <c:pt idx="11">
                  <c:v>187.34687081731897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9E-49AC-B367-44FC7556F9CE}"/>
            </c:ext>
          </c:extLst>
        </c:ser>
        <c:ser>
          <c:idx val="1"/>
          <c:order val="1"/>
          <c:tx>
            <c:v>Missed Approach</c:v>
          </c:tx>
          <c:spPr>
            <a:ln w="25400">
              <a:solidFill>
                <a:srgbClr val="FF00FF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'5.) Preliminary Sizing II'!$F$43:$F$54</c:f>
              <c:numCache>
                <c:formatCode>0</c:formatCode>
                <c:ptCount val="12"/>
                <c:pt idx="0">
                  <c:v>1072.1935699923574</c:v>
                </c:pt>
                <c:pt idx="1">
                  <c:v>997.86413273752578</c:v>
                </c:pt>
                <c:pt idx="2">
                  <c:v>927.76332158795753</c:v>
                </c:pt>
                <c:pt idx="3">
                  <c:v>861.7045832729093</c:v>
                </c:pt>
                <c:pt idx="4">
                  <c:v>799.50714577014878</c:v>
                </c:pt>
                <c:pt idx="5">
                  <c:v>740.9959171657307</c:v>
                </c:pt>
                <c:pt idx="6">
                  <c:v>686.00138487941285</c:v>
                </c:pt>
                <c:pt idx="7">
                  <c:v>634.35951525961241</c:v>
                </c:pt>
                <c:pt idx="8">
                  <c:v>586.31374914135733</c:v>
                </c:pt>
                <c:pt idx="9">
                  <c:v>541.86183631546965</c:v>
                </c:pt>
                <c:pt idx="10">
                  <c:v>500.78008589285861</c:v>
                </c:pt>
                <c:pt idx="11">
                  <c:v>462.81298593033847</c:v>
                </c:pt>
              </c:numCache>
            </c:numRef>
          </c:xVal>
          <c:yVal>
            <c:numRef>
              <c:f>'5.) Preliminary Sizing II'!$K$43:$K$54</c:f>
              <c:numCache>
                <c:formatCode>0.0</c:formatCode>
                <c:ptCount val="12"/>
                <c:pt idx="0">
                  <c:v>196.27408469521319</c:v>
                </c:pt>
                <c:pt idx="1">
                  <c:v>196.27408469521319</c:v>
                </c:pt>
                <c:pt idx="2">
                  <c:v>196.27408469521319</c:v>
                </c:pt>
                <c:pt idx="3">
                  <c:v>196.27408469521319</c:v>
                </c:pt>
                <c:pt idx="4">
                  <c:v>196.27408469521319</c:v>
                </c:pt>
                <c:pt idx="5">
                  <c:v>196.27408469521319</c:v>
                </c:pt>
                <c:pt idx="6">
                  <c:v>196.27408469521319</c:v>
                </c:pt>
                <c:pt idx="7">
                  <c:v>196.27408469521319</c:v>
                </c:pt>
                <c:pt idx="8">
                  <c:v>196.27408469521319</c:v>
                </c:pt>
                <c:pt idx="9">
                  <c:v>196.27408469521319</c:v>
                </c:pt>
                <c:pt idx="10">
                  <c:v>196.27408469521319</c:v>
                </c:pt>
                <c:pt idx="11">
                  <c:v>196.27408469521319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49E-49AC-B367-44FC7556F9CE}"/>
            </c:ext>
          </c:extLst>
        </c:ser>
        <c:ser>
          <c:idx val="2"/>
          <c:order val="2"/>
          <c:tx>
            <c:v>Take off</c:v>
          </c:tx>
          <c:spPr>
            <a:ln w="25400">
              <a:solidFill>
                <a:srgbClr val="FFFF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'5.) Preliminary Sizing II'!$F$43:$F$54</c:f>
              <c:numCache>
                <c:formatCode>0</c:formatCode>
                <c:ptCount val="12"/>
                <c:pt idx="0">
                  <c:v>1072.1935699923574</c:v>
                </c:pt>
                <c:pt idx="1">
                  <c:v>997.86413273752578</c:v>
                </c:pt>
                <c:pt idx="2">
                  <c:v>927.76332158795753</c:v>
                </c:pt>
                <c:pt idx="3">
                  <c:v>861.7045832729093</c:v>
                </c:pt>
                <c:pt idx="4">
                  <c:v>799.50714577014878</c:v>
                </c:pt>
                <c:pt idx="5">
                  <c:v>740.9959171657307</c:v>
                </c:pt>
                <c:pt idx="6">
                  <c:v>686.00138487941285</c:v>
                </c:pt>
                <c:pt idx="7">
                  <c:v>634.35951525961241</c:v>
                </c:pt>
                <c:pt idx="8">
                  <c:v>586.31374914135733</c:v>
                </c:pt>
                <c:pt idx="9">
                  <c:v>541.86183631546965</c:v>
                </c:pt>
                <c:pt idx="10">
                  <c:v>500.78008589285861</c:v>
                </c:pt>
                <c:pt idx="11">
                  <c:v>462.81298593033847</c:v>
                </c:pt>
              </c:numCache>
            </c:numRef>
          </c:xVal>
          <c:yVal>
            <c:numRef>
              <c:f>'5.) Preliminary Sizing II'!$L$43:$L$54</c:f>
              <c:numCache>
                <c:formatCode>0.0</c:formatCode>
                <c:ptCount val="12"/>
                <c:pt idx="0">
                  <c:v>478.51510255347051</c:v>
                </c:pt>
                <c:pt idx="1">
                  <c:v>445.34221354706563</c:v>
                </c:pt>
                <c:pt idx="2">
                  <c:v>414.05654109469657</c:v>
                </c:pt>
                <c:pt idx="3">
                  <c:v>384.57482732205801</c:v>
                </c:pt>
                <c:pt idx="4">
                  <c:v>356.81639449970049</c:v>
                </c:pt>
                <c:pt idx="5">
                  <c:v>330.70309990460959</c:v>
                </c:pt>
                <c:pt idx="6">
                  <c:v>306.15929084496833</c:v>
                </c:pt>
                <c:pt idx="7">
                  <c:v>283.11175984984408</c:v>
                </c:pt>
                <c:pt idx="8">
                  <c:v>261.6691534541531</c:v>
                </c:pt>
                <c:pt idx="9">
                  <c:v>241.83046739979704</c:v>
                </c:pt>
                <c:pt idx="10">
                  <c:v>223.49586946269889</c:v>
                </c:pt>
                <c:pt idx="11">
                  <c:v>206.55132582739924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49E-49AC-B367-44FC7556F9CE}"/>
            </c:ext>
          </c:extLst>
        </c:ser>
        <c:ser>
          <c:idx val="3"/>
          <c:order val="3"/>
          <c:tx>
            <c:v>Landing</c:v>
          </c:tx>
          <c:spPr>
            <a:ln w="25400">
              <a:solidFill>
                <a:srgbClr val="00FFFF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('5.) Preliminary Sizing II'!$N$28,'5.) Preliminary Sizing II'!$N$46)</c:f>
              <c:numCache>
                <c:formatCode>0</c:formatCode>
                <c:ptCount val="2"/>
                <c:pt idx="0">
                  <c:v>636.15</c:v>
                </c:pt>
                <c:pt idx="1">
                  <c:v>636.15</c:v>
                </c:pt>
              </c:numCache>
            </c:numRef>
          </c:xVal>
          <c:yVal>
            <c:numRef>
              <c:f>('5.) Preliminary Sizing II'!$O$28,'5.) Preliminary Sizing II'!$O$46)</c:f>
              <c:numCache>
                <c:formatCode>General</c:formatCode>
                <c:ptCount val="2"/>
                <c:pt idx="0">
                  <c:v>0</c:v>
                </c:pt>
                <c:pt idx="1">
                  <c:v>350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49E-49AC-B367-44FC7556F9CE}"/>
            </c:ext>
          </c:extLst>
        </c:ser>
        <c:ser>
          <c:idx val="4"/>
          <c:order val="4"/>
          <c:tx>
            <c:v>Cruise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star"/>
            <c:size val="7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'5.) Preliminary Sizing II'!$F$43:$F$54</c:f>
              <c:numCache>
                <c:formatCode>0</c:formatCode>
                <c:ptCount val="12"/>
                <c:pt idx="0">
                  <c:v>1072.1935699923574</c:v>
                </c:pt>
                <c:pt idx="1">
                  <c:v>997.86413273752578</c:v>
                </c:pt>
                <c:pt idx="2">
                  <c:v>927.76332158795753</c:v>
                </c:pt>
                <c:pt idx="3">
                  <c:v>861.7045832729093</c:v>
                </c:pt>
                <c:pt idx="4">
                  <c:v>799.50714577014878</c:v>
                </c:pt>
                <c:pt idx="5">
                  <c:v>740.9959171657307</c:v>
                </c:pt>
                <c:pt idx="6">
                  <c:v>686.00138487941285</c:v>
                </c:pt>
                <c:pt idx="7">
                  <c:v>634.35951525961241</c:v>
                </c:pt>
                <c:pt idx="8">
                  <c:v>586.31374914135733</c:v>
                </c:pt>
                <c:pt idx="9">
                  <c:v>541.86183631546965</c:v>
                </c:pt>
                <c:pt idx="10">
                  <c:v>500.78008589285861</c:v>
                </c:pt>
                <c:pt idx="11">
                  <c:v>462.81298593033847</c:v>
                </c:pt>
              </c:numCache>
            </c:numRef>
          </c:xVal>
          <c:yVal>
            <c:numRef>
              <c:f>'5.) Preliminary Sizing II'!$H$43:$H$54</c:f>
              <c:numCache>
                <c:formatCode>0.0</c:formatCode>
                <c:ptCount val="12"/>
                <c:pt idx="0">
                  <c:v>202.45019251080731</c:v>
                </c:pt>
                <c:pt idx="1">
                  <c:v>212.23724800385108</c:v>
                </c:pt>
                <c:pt idx="2">
                  <c:v>222.64305803131342</c:v>
                </c:pt>
                <c:pt idx="3">
                  <c:v>233.71621189385723</c:v>
                </c:pt>
                <c:pt idx="4">
                  <c:v>245.50987985498006</c:v>
                </c:pt>
                <c:pt idx="5">
                  <c:v>258.08231932114052</c:v>
                </c:pt>
                <c:pt idx="6">
                  <c:v>271.49744540804829</c:v>
                </c:pt>
                <c:pt idx="7">
                  <c:v>285.82547519127502</c:v>
                </c:pt>
                <c:pt idx="8">
                  <c:v>307.40595824600217</c:v>
                </c:pt>
                <c:pt idx="9">
                  <c:v>330.76704555901551</c:v>
                </c:pt>
                <c:pt idx="10">
                  <c:v>355.90344133891784</c:v>
                </c:pt>
                <c:pt idx="11">
                  <c:v>382.95005883312666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49E-49AC-B367-44FC7556F9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3830112"/>
        <c:axId val="1"/>
      </c:scatterChart>
      <c:valAx>
        <c:axId val="4238301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Wing loading</a:t>
                </a:r>
              </a:p>
            </c:rich>
          </c:tx>
          <c:layout>
            <c:manualLayout>
              <c:xMode val="edge"/>
              <c:yMode val="edge"/>
              <c:x val="0.40495869383225697"/>
              <c:y val="0.9407783110982108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Power to weight ratio</a:t>
                </a:r>
              </a:p>
            </c:rich>
          </c:tx>
          <c:layout>
            <c:manualLayout>
              <c:xMode val="edge"/>
              <c:yMode val="edge"/>
              <c:x val="3.099170077778006E-2"/>
              <c:y val="0.438239999886174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383011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1081088121452605"/>
          <c:y val="0.16496604083920779"/>
          <c:w val="0.14553014981755119"/>
          <c:h val="0.2125851646807653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Cruise Power with altitude-PW-120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882046951182593E-2"/>
          <c:y val="0.20044705001039245"/>
          <c:w val="0.87158689410213153"/>
          <c:h val="0.69826060278345503"/>
        </c:manualLayout>
      </c:layout>
      <c:scatterChart>
        <c:scatterStyle val="smoothMarker"/>
        <c:varyColors val="0"/>
        <c:ser>
          <c:idx val="0"/>
          <c:order val="0"/>
          <c:xVal>
            <c:numRef>
              <c:f>'8.) Power variation with alt.'!$G$24:$G$29</c:f>
              <c:numCache>
                <c:formatCode>General</c:formatCode>
                <c:ptCount val="6"/>
                <c:pt idx="0">
                  <c:v>9144</c:v>
                </c:pt>
                <c:pt idx="1">
                  <c:v>7620</c:v>
                </c:pt>
                <c:pt idx="2">
                  <c:v>6096</c:v>
                </c:pt>
                <c:pt idx="3">
                  <c:v>4572</c:v>
                </c:pt>
                <c:pt idx="4">
                  <c:v>3048</c:v>
                </c:pt>
                <c:pt idx="5">
                  <c:v>1524</c:v>
                </c:pt>
              </c:numCache>
            </c:numRef>
          </c:xVal>
          <c:yVal>
            <c:numRef>
              <c:f>'8.) Power variation with alt.'!$E$24:$E$29</c:f>
              <c:numCache>
                <c:formatCode>0.0000</c:formatCode>
                <c:ptCount val="6"/>
                <c:pt idx="0">
                  <c:v>0.42523462447895083</c:v>
                </c:pt>
                <c:pt idx="1">
                  <c:v>0.49565365770421466</c:v>
                </c:pt>
                <c:pt idx="2">
                  <c:v>0.58503766179947836</c:v>
                </c:pt>
                <c:pt idx="3">
                  <c:v>0.65816736952441313</c:v>
                </c:pt>
                <c:pt idx="4">
                  <c:v>0.74077468737049945</c:v>
                </c:pt>
                <c:pt idx="5">
                  <c:v>0.78817248860395384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872-4D04-9FF4-42E1DA83E4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3826784"/>
        <c:axId val="1"/>
      </c:scatterChart>
      <c:valAx>
        <c:axId val="423826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42382678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zoomScale="60" workbookViewId="0"/>
  </sheetViews>
  <pageMargins left="0.75" right="0.75" top="1" bottom="1" header="0.4921259845" footer="0.4921259845"/>
  <pageSetup paperSize="9" orientation="landscape" horizontalDpi="96" verticalDpi="96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emf"/><Relationship Id="rId3" Type="http://schemas.openxmlformats.org/officeDocument/2006/relationships/chart" Target="../charts/chart3.xml"/><Relationship Id="rId7" Type="http://schemas.openxmlformats.org/officeDocument/2006/relationships/image" Target="../media/image7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2.emf"/><Relationship Id="rId5" Type="http://schemas.openxmlformats.org/officeDocument/2006/relationships/image" Target="../media/image11.emf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20.emf"/><Relationship Id="rId3" Type="http://schemas.openxmlformats.org/officeDocument/2006/relationships/image" Target="../media/image15.emf"/><Relationship Id="rId7" Type="http://schemas.openxmlformats.org/officeDocument/2006/relationships/image" Target="../media/image19.emf"/><Relationship Id="rId2" Type="http://schemas.openxmlformats.org/officeDocument/2006/relationships/image" Target="../media/image14.emf"/><Relationship Id="rId1" Type="http://schemas.openxmlformats.org/officeDocument/2006/relationships/image" Target="../media/image13.emf"/><Relationship Id="rId6" Type="http://schemas.openxmlformats.org/officeDocument/2006/relationships/image" Target="../media/image18.emf"/><Relationship Id="rId5" Type="http://schemas.openxmlformats.org/officeDocument/2006/relationships/image" Target="../media/image17.emf"/><Relationship Id="rId10" Type="http://schemas.openxmlformats.org/officeDocument/2006/relationships/image" Target="../media/image22.emf"/><Relationship Id="rId4" Type="http://schemas.openxmlformats.org/officeDocument/2006/relationships/image" Target="../media/image16.emf"/><Relationship Id="rId9" Type="http://schemas.openxmlformats.org/officeDocument/2006/relationships/image" Target="../media/image21.emf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30.emf"/><Relationship Id="rId3" Type="http://schemas.openxmlformats.org/officeDocument/2006/relationships/image" Target="../media/image25.emf"/><Relationship Id="rId7" Type="http://schemas.openxmlformats.org/officeDocument/2006/relationships/image" Target="../media/image29.emf"/><Relationship Id="rId12" Type="http://schemas.openxmlformats.org/officeDocument/2006/relationships/image" Target="../media/image34.emf"/><Relationship Id="rId2" Type="http://schemas.openxmlformats.org/officeDocument/2006/relationships/image" Target="../media/image24.emf"/><Relationship Id="rId1" Type="http://schemas.openxmlformats.org/officeDocument/2006/relationships/image" Target="../media/image23.emf"/><Relationship Id="rId6" Type="http://schemas.openxmlformats.org/officeDocument/2006/relationships/image" Target="../media/image28.emf"/><Relationship Id="rId11" Type="http://schemas.openxmlformats.org/officeDocument/2006/relationships/image" Target="../media/image33.emf"/><Relationship Id="rId5" Type="http://schemas.openxmlformats.org/officeDocument/2006/relationships/image" Target="../media/image27.emf"/><Relationship Id="rId10" Type="http://schemas.openxmlformats.org/officeDocument/2006/relationships/image" Target="../media/image32.emf"/><Relationship Id="rId4" Type="http://schemas.openxmlformats.org/officeDocument/2006/relationships/image" Target="../media/image26.emf"/><Relationship Id="rId9" Type="http://schemas.openxmlformats.org/officeDocument/2006/relationships/image" Target="../media/image3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6.emf"/><Relationship Id="rId2" Type="http://schemas.openxmlformats.org/officeDocument/2006/relationships/image" Target="../media/image22.emf"/><Relationship Id="rId1" Type="http://schemas.openxmlformats.org/officeDocument/2006/relationships/image" Target="../media/image35.png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image" Target="../media/image43.wmf"/><Relationship Id="rId3" Type="http://schemas.openxmlformats.org/officeDocument/2006/relationships/image" Target="../media/image38.emf"/><Relationship Id="rId7" Type="http://schemas.openxmlformats.org/officeDocument/2006/relationships/image" Target="../media/image42.wmf"/><Relationship Id="rId2" Type="http://schemas.openxmlformats.org/officeDocument/2006/relationships/image" Target="../media/image37.wmf"/><Relationship Id="rId1" Type="http://schemas.openxmlformats.org/officeDocument/2006/relationships/chart" Target="../charts/chart6.xml"/><Relationship Id="rId6" Type="http://schemas.openxmlformats.org/officeDocument/2006/relationships/image" Target="../media/image41.wmf"/><Relationship Id="rId5" Type="http://schemas.openxmlformats.org/officeDocument/2006/relationships/image" Target="../media/image40.wmf"/><Relationship Id="rId4" Type="http://schemas.openxmlformats.org/officeDocument/2006/relationships/image" Target="../media/image39.wmf"/><Relationship Id="rId9" Type="http://schemas.openxmlformats.org/officeDocument/2006/relationships/image" Target="../media/image44.w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158750</xdr:rowOff>
    </xdr:from>
    <xdr:to>
      <xdr:col>1</xdr:col>
      <xdr:colOff>412750</xdr:colOff>
      <xdr:row>4</xdr:row>
      <xdr:rowOff>158750</xdr:rowOff>
    </xdr:to>
    <xdr:sp macro="" textlink="">
      <xdr:nvSpPr>
        <xdr:cNvPr id="3543065" name="Object 25" hidden="1">
          <a:extLst>
            <a:ext uri="{63B3BB69-23CF-44E3-9099-C40C66FF867C}">
              <a14:compatExt xmlns:a14="http://schemas.microsoft.com/office/drawing/2010/main" spid="_x0000_s3543065"/>
            </a:ext>
            <a:ext uri="{FF2B5EF4-FFF2-40B4-BE49-F238E27FC236}">
              <a16:creationId xmlns:a16="http://schemas.microsoft.com/office/drawing/2014/main" id="{87173857-0A6D-4808-8F78-1C0756116E75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215900</xdr:rowOff>
    </xdr:from>
    <xdr:to>
      <xdr:col>7</xdr:col>
      <xdr:colOff>82550</xdr:colOff>
      <xdr:row>9</xdr:row>
      <xdr:rowOff>114300</xdr:rowOff>
    </xdr:to>
    <xdr:sp macro="" textlink="">
      <xdr:nvSpPr>
        <xdr:cNvPr id="3543066" name="Object 26" hidden="1">
          <a:extLst>
            <a:ext uri="{63B3BB69-23CF-44E3-9099-C40C66FF867C}">
              <a14:compatExt xmlns:a14="http://schemas.microsoft.com/office/drawing/2010/main" spid="_x0000_s3543066"/>
            </a:ext>
            <a:ext uri="{FF2B5EF4-FFF2-40B4-BE49-F238E27FC236}">
              <a16:creationId xmlns:a16="http://schemas.microsoft.com/office/drawing/2014/main" id="{FD8B4F53-1AA7-4B6B-B181-1E2DF383F7BA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4</xdr:col>
      <xdr:colOff>50800</xdr:colOff>
      <xdr:row>13</xdr:row>
      <xdr:rowOff>139700</xdr:rowOff>
    </xdr:to>
    <xdr:sp macro="" textlink="">
      <xdr:nvSpPr>
        <xdr:cNvPr id="3543067" name="Object 27" hidden="1">
          <a:extLst>
            <a:ext uri="{63B3BB69-23CF-44E3-9099-C40C66FF867C}">
              <a14:compatExt xmlns:a14="http://schemas.microsoft.com/office/drawing/2010/main" spid="_x0000_s3543067"/>
            </a:ext>
            <a:ext uri="{FF2B5EF4-FFF2-40B4-BE49-F238E27FC236}">
              <a16:creationId xmlns:a16="http://schemas.microsoft.com/office/drawing/2014/main" id="{3C1E7F9B-2EA7-45EF-917C-E4ED7E11A2D9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184150</xdr:rowOff>
    </xdr:from>
    <xdr:to>
      <xdr:col>3</xdr:col>
      <xdr:colOff>800100</xdr:colOff>
      <xdr:row>22</xdr:row>
      <xdr:rowOff>133350</xdr:rowOff>
    </xdr:to>
    <xdr:sp macro="" textlink="">
      <xdr:nvSpPr>
        <xdr:cNvPr id="3543068" name="Object 28" hidden="1">
          <a:extLst>
            <a:ext uri="{63B3BB69-23CF-44E3-9099-C40C66FF867C}">
              <a14:compatExt xmlns:a14="http://schemas.microsoft.com/office/drawing/2010/main" spid="_x0000_s3543068"/>
            </a:ext>
            <a:ext uri="{FF2B5EF4-FFF2-40B4-BE49-F238E27FC236}">
              <a16:creationId xmlns:a16="http://schemas.microsoft.com/office/drawing/2014/main" id="{43D7798D-BF75-4CA8-9C06-8385D4229866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4</xdr:col>
      <xdr:colOff>952500</xdr:colOff>
      <xdr:row>19</xdr:row>
      <xdr:rowOff>184150</xdr:rowOff>
    </xdr:from>
    <xdr:to>
      <xdr:col>10</xdr:col>
      <xdr:colOff>774700</xdr:colOff>
      <xdr:row>22</xdr:row>
      <xdr:rowOff>133350</xdr:rowOff>
    </xdr:to>
    <xdr:sp macro="" textlink="">
      <xdr:nvSpPr>
        <xdr:cNvPr id="3543069" name="Object 29" hidden="1">
          <a:extLst>
            <a:ext uri="{63B3BB69-23CF-44E3-9099-C40C66FF867C}">
              <a14:compatExt xmlns:a14="http://schemas.microsoft.com/office/drawing/2010/main" spid="_x0000_s3543069"/>
            </a:ext>
            <a:ext uri="{FF2B5EF4-FFF2-40B4-BE49-F238E27FC236}">
              <a16:creationId xmlns:a16="http://schemas.microsoft.com/office/drawing/2014/main" id="{29099D00-235F-4DEB-9E02-114246F5BE5D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</xdr:row>
      <xdr:rowOff>196850</xdr:rowOff>
    </xdr:from>
    <xdr:to>
      <xdr:col>3</xdr:col>
      <xdr:colOff>469900</xdr:colOff>
      <xdr:row>27</xdr:row>
      <xdr:rowOff>139700</xdr:rowOff>
    </xdr:to>
    <xdr:sp macro="" textlink="">
      <xdr:nvSpPr>
        <xdr:cNvPr id="3543070" name="Object 30" hidden="1">
          <a:extLst>
            <a:ext uri="{63B3BB69-23CF-44E3-9099-C40C66FF867C}">
              <a14:compatExt xmlns:a14="http://schemas.microsoft.com/office/drawing/2010/main" spid="_x0000_s3543070"/>
            </a:ext>
            <a:ext uri="{FF2B5EF4-FFF2-40B4-BE49-F238E27FC236}">
              <a16:creationId xmlns:a16="http://schemas.microsoft.com/office/drawing/2014/main" id="{0B420DD6-8C67-429C-8CF8-4C9206D63299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4</xdr:col>
      <xdr:colOff>952500</xdr:colOff>
      <xdr:row>24</xdr:row>
      <xdr:rowOff>196850</xdr:rowOff>
    </xdr:from>
    <xdr:to>
      <xdr:col>8</xdr:col>
      <xdr:colOff>952500</xdr:colOff>
      <xdr:row>27</xdr:row>
      <xdr:rowOff>158750</xdr:rowOff>
    </xdr:to>
    <xdr:sp macro="" textlink="">
      <xdr:nvSpPr>
        <xdr:cNvPr id="3543071" name="Object 31" hidden="1">
          <a:extLst>
            <a:ext uri="{63B3BB69-23CF-44E3-9099-C40C66FF867C}">
              <a14:compatExt xmlns:a14="http://schemas.microsoft.com/office/drawing/2010/main" spid="_x0000_s3543071"/>
            </a:ext>
            <a:ext uri="{FF2B5EF4-FFF2-40B4-BE49-F238E27FC236}">
              <a16:creationId xmlns:a16="http://schemas.microsoft.com/office/drawing/2014/main" id="{2188241E-412C-4742-BDE9-9E400C28114E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</xdr:row>
      <xdr:rowOff>0</xdr:rowOff>
    </xdr:from>
    <xdr:to>
      <xdr:col>7</xdr:col>
      <xdr:colOff>482600</xdr:colOff>
      <xdr:row>31</xdr:row>
      <xdr:rowOff>114300</xdr:rowOff>
    </xdr:to>
    <xdr:sp macro="" textlink="">
      <xdr:nvSpPr>
        <xdr:cNvPr id="3543072" name="Object 32" hidden="1">
          <a:extLst>
            <a:ext uri="{63B3BB69-23CF-44E3-9099-C40C66FF867C}">
              <a14:compatExt xmlns:a14="http://schemas.microsoft.com/office/drawing/2010/main" spid="_x0000_s3543072"/>
            </a:ext>
            <a:ext uri="{FF2B5EF4-FFF2-40B4-BE49-F238E27FC236}">
              <a16:creationId xmlns:a16="http://schemas.microsoft.com/office/drawing/2014/main" id="{7D81096D-A1F1-41A9-B974-229261DEAFCC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</xdr:row>
      <xdr:rowOff>95250</xdr:rowOff>
    </xdr:from>
    <xdr:to>
      <xdr:col>1</xdr:col>
      <xdr:colOff>654050</xdr:colOff>
      <xdr:row>37</xdr:row>
      <xdr:rowOff>139700</xdr:rowOff>
    </xdr:to>
    <xdr:sp macro="" textlink="">
      <xdr:nvSpPr>
        <xdr:cNvPr id="3543073" name="Object 33" hidden="1">
          <a:extLst>
            <a:ext uri="{63B3BB69-23CF-44E3-9099-C40C66FF867C}">
              <a14:compatExt xmlns:a14="http://schemas.microsoft.com/office/drawing/2010/main" spid="_x0000_s3543073"/>
            </a:ext>
            <a:ext uri="{FF2B5EF4-FFF2-40B4-BE49-F238E27FC236}">
              <a16:creationId xmlns:a16="http://schemas.microsoft.com/office/drawing/2014/main" id="{40D6F373-EF29-4498-B7CB-B88679C893ED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2</xdr:col>
      <xdr:colOff>0</xdr:colOff>
      <xdr:row>33</xdr:row>
      <xdr:rowOff>95250</xdr:rowOff>
    </xdr:from>
    <xdr:to>
      <xdr:col>3</xdr:col>
      <xdr:colOff>952500</xdr:colOff>
      <xdr:row>36</xdr:row>
      <xdr:rowOff>57150</xdr:rowOff>
    </xdr:to>
    <xdr:sp macro="" textlink="">
      <xdr:nvSpPr>
        <xdr:cNvPr id="3543074" name="Object 34" hidden="1">
          <a:extLst>
            <a:ext uri="{63B3BB69-23CF-44E3-9099-C40C66FF867C}">
              <a14:compatExt xmlns:a14="http://schemas.microsoft.com/office/drawing/2010/main" spid="_x0000_s3543074"/>
            </a:ext>
            <a:ext uri="{FF2B5EF4-FFF2-40B4-BE49-F238E27FC236}">
              <a16:creationId xmlns:a16="http://schemas.microsoft.com/office/drawing/2014/main" id="{16424216-9BFA-47D7-ACEE-E5F31BEE5C94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0</xdr:col>
      <xdr:colOff>0</xdr:colOff>
      <xdr:row>1</xdr:row>
      <xdr:rowOff>158750</xdr:rowOff>
    </xdr:from>
    <xdr:to>
      <xdr:col>1</xdr:col>
      <xdr:colOff>412750</xdr:colOff>
      <xdr:row>4</xdr:row>
      <xdr:rowOff>158750</xdr:rowOff>
    </xdr:to>
    <xdr:pic>
      <xdr:nvPicPr>
        <xdr:cNvPr id="2" name="Picture 25">
          <a:extLst>
            <a:ext uri="{FF2B5EF4-FFF2-40B4-BE49-F238E27FC236}">
              <a16:creationId xmlns:a16="http://schemas.microsoft.com/office/drawing/2014/main" id="{E7DEBCCF-F9FB-4A40-9D6E-9DA2BD15B9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00"/>
          <a:ext cx="1054100" cy="476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7</xdr:row>
      <xdr:rowOff>215900</xdr:rowOff>
    </xdr:from>
    <xdr:to>
      <xdr:col>7</xdr:col>
      <xdr:colOff>82550</xdr:colOff>
      <xdr:row>9</xdr:row>
      <xdr:rowOff>114300</xdr:rowOff>
    </xdr:to>
    <xdr:pic>
      <xdr:nvPicPr>
        <xdr:cNvPr id="3" name="Picture 26">
          <a:extLst>
            <a:ext uri="{FF2B5EF4-FFF2-40B4-BE49-F238E27FC236}">
              <a16:creationId xmlns:a16="http://schemas.microsoft.com/office/drawing/2014/main" id="{5CAF7A41-FBF0-42F0-812D-59A61EFAFA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71600"/>
          <a:ext cx="4572000" cy="273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12</xdr:row>
      <xdr:rowOff>0</xdr:rowOff>
    </xdr:from>
    <xdr:to>
      <xdr:col>4</xdr:col>
      <xdr:colOff>50800</xdr:colOff>
      <xdr:row>13</xdr:row>
      <xdr:rowOff>139700</xdr:rowOff>
    </xdr:to>
    <xdr:pic>
      <xdr:nvPicPr>
        <xdr:cNvPr id="4" name="Picture 27">
          <a:extLst>
            <a:ext uri="{FF2B5EF4-FFF2-40B4-BE49-F238E27FC236}">
              <a16:creationId xmlns:a16="http://schemas.microsoft.com/office/drawing/2014/main" id="{59B20B9F-EC77-4DE2-BADC-6BA45C41D3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44700"/>
          <a:ext cx="2616200" cy="298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19</xdr:row>
      <xdr:rowOff>184150</xdr:rowOff>
    </xdr:from>
    <xdr:to>
      <xdr:col>3</xdr:col>
      <xdr:colOff>800100</xdr:colOff>
      <xdr:row>22</xdr:row>
      <xdr:rowOff>133350</xdr:rowOff>
    </xdr:to>
    <xdr:pic>
      <xdr:nvPicPr>
        <xdr:cNvPr id="5" name="Picture 28">
          <a:extLst>
            <a:ext uri="{FF2B5EF4-FFF2-40B4-BE49-F238E27FC236}">
              <a16:creationId xmlns:a16="http://schemas.microsoft.com/office/drawing/2014/main" id="{9A2BEE19-4B26-4156-BB07-6B69E32F95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422650"/>
          <a:ext cx="2565400" cy="450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4</xdr:col>
      <xdr:colOff>952500</xdr:colOff>
      <xdr:row>19</xdr:row>
      <xdr:rowOff>184150</xdr:rowOff>
    </xdr:from>
    <xdr:to>
      <xdr:col>10</xdr:col>
      <xdr:colOff>774700</xdr:colOff>
      <xdr:row>22</xdr:row>
      <xdr:rowOff>133350</xdr:rowOff>
    </xdr:to>
    <xdr:pic>
      <xdr:nvPicPr>
        <xdr:cNvPr id="6" name="Picture 29">
          <a:extLst>
            <a:ext uri="{FF2B5EF4-FFF2-40B4-BE49-F238E27FC236}">
              <a16:creationId xmlns:a16="http://schemas.microsoft.com/office/drawing/2014/main" id="{F42C3342-B493-43A0-8AEA-44BC7E7F49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6750" y="3422650"/>
          <a:ext cx="3848100" cy="450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24</xdr:row>
      <xdr:rowOff>196850</xdr:rowOff>
    </xdr:from>
    <xdr:to>
      <xdr:col>3</xdr:col>
      <xdr:colOff>469900</xdr:colOff>
      <xdr:row>27</xdr:row>
      <xdr:rowOff>139700</xdr:rowOff>
    </xdr:to>
    <xdr:pic>
      <xdr:nvPicPr>
        <xdr:cNvPr id="7" name="Picture 30">
          <a:extLst>
            <a:ext uri="{FF2B5EF4-FFF2-40B4-BE49-F238E27FC236}">
              <a16:creationId xmlns:a16="http://schemas.microsoft.com/office/drawing/2014/main" id="{D1101228-81B6-47DA-8565-051AC46DD9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216400"/>
          <a:ext cx="2393950" cy="457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4</xdr:col>
      <xdr:colOff>952500</xdr:colOff>
      <xdr:row>24</xdr:row>
      <xdr:rowOff>196850</xdr:rowOff>
    </xdr:from>
    <xdr:to>
      <xdr:col>8</xdr:col>
      <xdr:colOff>952500</xdr:colOff>
      <xdr:row>27</xdr:row>
      <xdr:rowOff>158750</xdr:rowOff>
    </xdr:to>
    <xdr:pic>
      <xdr:nvPicPr>
        <xdr:cNvPr id="8" name="Picture 31">
          <a:extLst>
            <a:ext uri="{FF2B5EF4-FFF2-40B4-BE49-F238E27FC236}">
              <a16:creationId xmlns:a16="http://schemas.microsoft.com/office/drawing/2014/main" id="{C599F5BC-A6E7-4375-AED2-B33DAD1966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6750" y="4216400"/>
          <a:ext cx="2565400" cy="476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30</xdr:row>
      <xdr:rowOff>0</xdr:rowOff>
    </xdr:from>
    <xdr:to>
      <xdr:col>7</xdr:col>
      <xdr:colOff>482600</xdr:colOff>
      <xdr:row>31</xdr:row>
      <xdr:rowOff>114300</xdr:rowOff>
    </xdr:to>
    <xdr:pic>
      <xdr:nvPicPr>
        <xdr:cNvPr id="9" name="Picture 32">
          <a:extLst>
            <a:ext uri="{FF2B5EF4-FFF2-40B4-BE49-F238E27FC236}">
              <a16:creationId xmlns:a16="http://schemas.microsoft.com/office/drawing/2014/main" id="{5A849210-61D3-48F0-ACFD-AEE4CB175C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010150"/>
          <a:ext cx="4972050" cy="273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33</xdr:row>
      <xdr:rowOff>95250</xdr:rowOff>
    </xdr:from>
    <xdr:to>
      <xdr:col>1</xdr:col>
      <xdr:colOff>654050</xdr:colOff>
      <xdr:row>37</xdr:row>
      <xdr:rowOff>139700</xdr:rowOff>
    </xdr:to>
    <xdr:pic>
      <xdr:nvPicPr>
        <xdr:cNvPr id="10" name="Picture 33">
          <a:extLst>
            <a:ext uri="{FF2B5EF4-FFF2-40B4-BE49-F238E27FC236}">
              <a16:creationId xmlns:a16="http://schemas.microsoft.com/office/drawing/2014/main" id="{F72C2CB9-2BB0-4B91-AB61-58E48D51B1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19750"/>
          <a:ext cx="1282700" cy="679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33</xdr:row>
      <xdr:rowOff>95250</xdr:rowOff>
    </xdr:from>
    <xdr:to>
      <xdr:col>3</xdr:col>
      <xdr:colOff>952500</xdr:colOff>
      <xdr:row>36</xdr:row>
      <xdr:rowOff>57150</xdr:rowOff>
    </xdr:to>
    <xdr:pic>
      <xdr:nvPicPr>
        <xdr:cNvPr id="11" name="Picture 34">
          <a:extLst>
            <a:ext uri="{FF2B5EF4-FFF2-40B4-BE49-F238E27FC236}">
              <a16:creationId xmlns:a16="http://schemas.microsoft.com/office/drawing/2014/main" id="{54714992-DA6A-48F7-AB68-C0324097FB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2700" y="5619750"/>
          <a:ext cx="1282700" cy="4381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482600</xdr:colOff>
      <xdr:row>2</xdr:row>
      <xdr:rowOff>184150</xdr:rowOff>
    </xdr:from>
    <xdr:to>
      <xdr:col>9</xdr:col>
      <xdr:colOff>920750</xdr:colOff>
      <xdr:row>5</xdr:row>
      <xdr:rowOff>6350</xdr:rowOff>
    </xdr:to>
    <xdr:sp macro="" textlink="">
      <xdr:nvSpPr>
        <xdr:cNvPr id="5853388" name="Line 12">
          <a:extLst>
            <a:ext uri="{FF2B5EF4-FFF2-40B4-BE49-F238E27FC236}">
              <a16:creationId xmlns:a16="http://schemas.microsoft.com/office/drawing/2014/main" id="{84257E45-B24D-48D1-89C2-9095F1EC643E}"/>
            </a:ext>
          </a:extLst>
        </xdr:cNvPr>
        <xdr:cNvSpPr>
          <a:spLocks noChangeShapeType="1"/>
        </xdr:cNvSpPr>
      </xdr:nvSpPr>
      <xdr:spPr bwMode="auto">
        <a:xfrm flipH="1">
          <a:off x="9124950" y="539750"/>
          <a:ext cx="158750" cy="3556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469900</xdr:colOff>
      <xdr:row>3</xdr:row>
      <xdr:rowOff>114300</xdr:rowOff>
    </xdr:from>
    <xdr:to>
      <xdr:col>8</xdr:col>
      <xdr:colOff>260350</xdr:colOff>
      <xdr:row>5</xdr:row>
      <xdr:rowOff>0</xdr:rowOff>
    </xdr:to>
    <xdr:sp macro="" textlink="">
      <xdr:nvSpPr>
        <xdr:cNvPr id="5853389" name="Line 12">
          <a:extLst>
            <a:ext uri="{FF2B5EF4-FFF2-40B4-BE49-F238E27FC236}">
              <a16:creationId xmlns:a16="http://schemas.microsoft.com/office/drawing/2014/main" id="{57280A14-7B4C-4690-A89B-972482195346}"/>
            </a:ext>
          </a:extLst>
        </xdr:cNvPr>
        <xdr:cNvSpPr>
          <a:spLocks noChangeShapeType="1"/>
        </xdr:cNvSpPr>
      </xdr:nvSpPr>
      <xdr:spPr bwMode="auto">
        <a:xfrm>
          <a:off x="7829550" y="654050"/>
          <a:ext cx="431800" cy="2349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273050</xdr:colOff>
      <xdr:row>4</xdr:row>
      <xdr:rowOff>127000</xdr:rowOff>
    </xdr:from>
    <xdr:to>
      <xdr:col>17</xdr:col>
      <xdr:colOff>749300</xdr:colOff>
      <xdr:row>20</xdr:row>
      <xdr:rowOff>285750</xdr:rowOff>
    </xdr:to>
    <xdr:graphicFrame macro="">
      <xdr:nvGraphicFramePr>
        <xdr:cNvPr id="5853390" name="Chart 3">
          <a:extLst>
            <a:ext uri="{FF2B5EF4-FFF2-40B4-BE49-F238E27FC236}">
              <a16:creationId xmlns:a16="http://schemas.microsoft.com/office/drawing/2014/main" id="{2B5E135A-53DC-4A08-8EBF-545B369863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292100</xdr:colOff>
      <xdr:row>23</xdr:row>
      <xdr:rowOff>215900</xdr:rowOff>
    </xdr:from>
    <xdr:to>
      <xdr:col>15</xdr:col>
      <xdr:colOff>0</xdr:colOff>
      <xdr:row>37</xdr:row>
      <xdr:rowOff>158750</xdr:rowOff>
    </xdr:to>
    <xdr:graphicFrame macro="">
      <xdr:nvGraphicFramePr>
        <xdr:cNvPr id="5853391" name="Chart 6">
          <a:extLst>
            <a:ext uri="{FF2B5EF4-FFF2-40B4-BE49-F238E27FC236}">
              <a16:creationId xmlns:a16="http://schemas.microsoft.com/office/drawing/2014/main" id="{DEEF5D78-6AF6-48E6-B396-65419947BE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469900</xdr:colOff>
      <xdr:row>44</xdr:row>
      <xdr:rowOff>82550</xdr:rowOff>
    </xdr:from>
    <xdr:to>
      <xdr:col>18</xdr:col>
      <xdr:colOff>901700</xdr:colOff>
      <xdr:row>58</xdr:row>
      <xdr:rowOff>222250</xdr:rowOff>
    </xdr:to>
    <xdr:graphicFrame macro="">
      <xdr:nvGraphicFramePr>
        <xdr:cNvPr id="5853392" name="Chart 6">
          <a:extLst>
            <a:ext uri="{FF2B5EF4-FFF2-40B4-BE49-F238E27FC236}">
              <a16:creationId xmlns:a16="http://schemas.microsoft.com/office/drawing/2014/main" id="{D3948D78-A0C5-43EE-922C-4C30B8AE8B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628650</xdr:colOff>
      <xdr:row>67</xdr:row>
      <xdr:rowOff>31750</xdr:rowOff>
    </xdr:from>
    <xdr:to>
      <xdr:col>21</xdr:col>
      <xdr:colOff>152400</xdr:colOff>
      <xdr:row>86</xdr:row>
      <xdr:rowOff>38100</xdr:rowOff>
    </xdr:to>
    <xdr:graphicFrame macro="">
      <xdr:nvGraphicFramePr>
        <xdr:cNvPr id="5853393" name="Chart 6">
          <a:extLst>
            <a:ext uri="{FF2B5EF4-FFF2-40B4-BE49-F238E27FC236}">
              <a16:creationId xmlns:a16="http://schemas.microsoft.com/office/drawing/2014/main" id="{D812842F-DA04-45CD-A9F6-4A824FBF99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6</xdr:col>
      <xdr:colOff>469900</xdr:colOff>
      <xdr:row>0</xdr:row>
      <xdr:rowOff>165100</xdr:rowOff>
    </xdr:from>
    <xdr:to>
      <xdr:col>8</xdr:col>
      <xdr:colOff>330200</xdr:colOff>
      <xdr:row>3</xdr:row>
      <xdr:rowOff>0</xdr:rowOff>
    </xdr:to>
    <xdr:sp macro="" textlink="">
      <xdr:nvSpPr>
        <xdr:cNvPr id="3564545" name="Object 1" hidden="1">
          <a:extLst>
            <a:ext uri="{63B3BB69-23CF-44E3-9099-C40C66FF867C}">
              <a14:compatExt xmlns:a14="http://schemas.microsoft.com/office/drawing/2010/main" spid="_x0000_s3564545"/>
            </a:ext>
            <a:ext uri="{FF2B5EF4-FFF2-40B4-BE49-F238E27FC236}">
              <a16:creationId xmlns:a16="http://schemas.microsoft.com/office/drawing/2014/main" id="{B4E45175-B13A-4DC6-B817-973F96EE146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82550</xdr:colOff>
      <xdr:row>0</xdr:row>
      <xdr:rowOff>196850</xdr:rowOff>
    </xdr:from>
    <xdr:to>
      <xdr:col>11</xdr:col>
      <xdr:colOff>508000</xdr:colOff>
      <xdr:row>2</xdr:row>
      <xdr:rowOff>38100</xdr:rowOff>
    </xdr:to>
    <xdr:sp macro="" textlink="">
      <xdr:nvSpPr>
        <xdr:cNvPr id="3564546" name="Object 2" hidden="1">
          <a:extLst>
            <a:ext uri="{63B3BB69-23CF-44E3-9099-C40C66FF867C}">
              <a14:compatExt xmlns:a14="http://schemas.microsoft.com/office/drawing/2010/main" spid="_x0000_s3564546"/>
            </a:ext>
            <a:ext uri="{FF2B5EF4-FFF2-40B4-BE49-F238E27FC236}">
              <a16:creationId xmlns:a16="http://schemas.microsoft.com/office/drawing/2014/main" id="{045FD466-4C7D-4288-BE0C-84996EA506A2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5</xdr:col>
      <xdr:colOff>952500</xdr:colOff>
      <xdr:row>43</xdr:row>
      <xdr:rowOff>88900</xdr:rowOff>
    </xdr:from>
    <xdr:to>
      <xdr:col>10</xdr:col>
      <xdr:colOff>0</xdr:colOff>
      <xdr:row>46</xdr:row>
      <xdr:rowOff>0</xdr:rowOff>
    </xdr:to>
    <xdr:sp macro="" textlink="">
      <xdr:nvSpPr>
        <xdr:cNvPr id="3564572" name="Object 28" hidden="1">
          <a:extLst>
            <a:ext uri="{63B3BB69-23CF-44E3-9099-C40C66FF867C}">
              <a14:compatExt xmlns:a14="http://schemas.microsoft.com/office/drawing/2010/main" spid="_x0000_s3564572"/>
            </a:ext>
            <a:ext uri="{FF2B5EF4-FFF2-40B4-BE49-F238E27FC236}">
              <a16:creationId xmlns:a16="http://schemas.microsoft.com/office/drawing/2014/main" id="{0EBA8313-FB96-4F96-B730-370E3117BDED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61</xdr:row>
      <xdr:rowOff>95250</xdr:rowOff>
    </xdr:from>
    <xdr:to>
      <xdr:col>1</xdr:col>
      <xdr:colOff>0</xdr:colOff>
      <xdr:row>65</xdr:row>
      <xdr:rowOff>139700</xdr:rowOff>
    </xdr:to>
    <xdr:sp macro="" textlink="">
      <xdr:nvSpPr>
        <xdr:cNvPr id="3564617" name="Object 73" hidden="1">
          <a:extLst>
            <a:ext uri="{63B3BB69-23CF-44E3-9099-C40C66FF867C}">
              <a14:compatExt xmlns:a14="http://schemas.microsoft.com/office/drawing/2010/main" spid="_x0000_s3564617"/>
            </a:ext>
            <a:ext uri="{FF2B5EF4-FFF2-40B4-BE49-F238E27FC236}">
              <a16:creationId xmlns:a16="http://schemas.microsoft.com/office/drawing/2014/main" id="{27E8B4CC-2DEE-439D-8B98-7878122295B7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6</xdr:col>
      <xdr:colOff>469900</xdr:colOff>
      <xdr:row>0</xdr:row>
      <xdr:rowOff>165100</xdr:rowOff>
    </xdr:from>
    <xdr:to>
      <xdr:col>8</xdr:col>
      <xdr:colOff>330200</xdr:colOff>
      <xdr:row>3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BCAC737-6DE0-484B-9DE9-CC69C4B72E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88200" y="158750"/>
          <a:ext cx="1143000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9</xdr:col>
      <xdr:colOff>82550</xdr:colOff>
      <xdr:row>0</xdr:row>
      <xdr:rowOff>196850</xdr:rowOff>
    </xdr:from>
    <xdr:to>
      <xdr:col>11</xdr:col>
      <xdr:colOff>508000</xdr:colOff>
      <xdr:row>2</xdr:row>
      <xdr:rowOff>38100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481F845-4936-4F4B-88E1-9761C33338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58750"/>
          <a:ext cx="1816100" cy="260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5</xdr:col>
      <xdr:colOff>952500</xdr:colOff>
      <xdr:row>43</xdr:row>
      <xdr:rowOff>88900</xdr:rowOff>
    </xdr:from>
    <xdr:to>
      <xdr:col>10</xdr:col>
      <xdr:colOff>0</xdr:colOff>
      <xdr:row>46</xdr:row>
      <xdr:rowOff>0</xdr:rowOff>
    </xdr:to>
    <xdr:pic>
      <xdr:nvPicPr>
        <xdr:cNvPr id="4" name="Picture 28">
          <a:extLst>
            <a:ext uri="{FF2B5EF4-FFF2-40B4-BE49-F238E27FC236}">
              <a16:creationId xmlns:a16="http://schemas.microsoft.com/office/drawing/2014/main" id="{1E85469A-5D90-4982-A920-1684520071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18300" y="8616950"/>
          <a:ext cx="2565400" cy="482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61</xdr:row>
      <xdr:rowOff>95250</xdr:rowOff>
    </xdr:from>
    <xdr:to>
      <xdr:col>1</xdr:col>
      <xdr:colOff>0</xdr:colOff>
      <xdr:row>65</xdr:row>
      <xdr:rowOff>139700</xdr:rowOff>
    </xdr:to>
    <xdr:pic>
      <xdr:nvPicPr>
        <xdr:cNvPr id="5" name="Picture 73">
          <a:extLst>
            <a:ext uri="{FF2B5EF4-FFF2-40B4-BE49-F238E27FC236}">
              <a16:creationId xmlns:a16="http://schemas.microsoft.com/office/drawing/2014/main" id="{AF203217-7FC7-4530-B324-D56FCE5D3D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811000"/>
          <a:ext cx="1098550" cy="679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15</xdr:row>
      <xdr:rowOff>0</xdr:rowOff>
    </xdr:from>
    <xdr:to>
      <xdr:col>5</xdr:col>
      <xdr:colOff>539750</xdr:colOff>
      <xdr:row>16</xdr:row>
      <xdr:rowOff>95250</xdr:rowOff>
    </xdr:to>
    <xdr:sp macro="" textlink="">
      <xdr:nvSpPr>
        <xdr:cNvPr id="2092" name="Object 44" hidden="1">
          <a:extLst>
            <a:ext uri="{63B3BB69-23CF-44E3-9099-C40C66FF867C}">
              <a14:compatExt xmlns:a14="http://schemas.microsoft.com/office/drawing/2010/main" spid="_x0000_s2092"/>
            </a:ext>
            <a:ext uri="{FF2B5EF4-FFF2-40B4-BE49-F238E27FC236}">
              <a16:creationId xmlns:a16="http://schemas.microsoft.com/office/drawing/2014/main" id="{14B283FF-CA03-49EA-82A7-00075CBAB1BC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19</xdr:row>
      <xdr:rowOff>0</xdr:rowOff>
    </xdr:from>
    <xdr:to>
      <xdr:col>5</xdr:col>
      <xdr:colOff>196850</xdr:colOff>
      <xdr:row>21</xdr:row>
      <xdr:rowOff>152401</xdr:rowOff>
    </xdr:to>
    <xdr:sp macro="" textlink="">
      <xdr:nvSpPr>
        <xdr:cNvPr id="2093" name="Object 45" hidden="1">
          <a:extLst>
            <a:ext uri="{63B3BB69-23CF-44E3-9099-C40C66FF867C}">
              <a14:compatExt xmlns:a14="http://schemas.microsoft.com/office/drawing/2010/main" spid="_x0000_s2093"/>
            </a:ext>
            <a:ext uri="{FF2B5EF4-FFF2-40B4-BE49-F238E27FC236}">
              <a16:creationId xmlns:a16="http://schemas.microsoft.com/office/drawing/2014/main" id="{629D34FC-80B1-48C1-B0B8-F5E5D9DCD0AC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31750</xdr:colOff>
      <xdr:row>25</xdr:row>
      <xdr:rowOff>6350</xdr:rowOff>
    </xdr:from>
    <xdr:to>
      <xdr:col>5</xdr:col>
      <xdr:colOff>685800</xdr:colOff>
      <xdr:row>27</xdr:row>
      <xdr:rowOff>82550</xdr:rowOff>
    </xdr:to>
    <xdr:sp macro="" textlink="">
      <xdr:nvSpPr>
        <xdr:cNvPr id="2095" name="Object 47" hidden="1">
          <a:extLst>
            <a:ext uri="{63B3BB69-23CF-44E3-9099-C40C66FF867C}">
              <a14:compatExt xmlns:a14="http://schemas.microsoft.com/office/drawing/2010/main" spid="_x0000_s2095"/>
            </a:ext>
            <a:ext uri="{FF2B5EF4-FFF2-40B4-BE49-F238E27FC236}">
              <a16:creationId xmlns:a16="http://schemas.microsoft.com/office/drawing/2014/main" id="{144EACA8-476B-459D-8B83-9F6BEAE4ED57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76200</xdr:rowOff>
    </xdr:from>
    <xdr:to>
      <xdr:col>6</xdr:col>
      <xdr:colOff>419100</xdr:colOff>
      <xdr:row>30</xdr:row>
      <xdr:rowOff>177801</xdr:rowOff>
    </xdr:to>
    <xdr:sp macro="" textlink="">
      <xdr:nvSpPr>
        <xdr:cNvPr id="2097" name="Object 49" hidden="1">
          <a:extLst>
            <a:ext uri="{63B3BB69-23CF-44E3-9099-C40C66FF867C}">
              <a14:compatExt xmlns:a14="http://schemas.microsoft.com/office/drawing/2010/main" spid="_x0000_s2097"/>
            </a:ext>
            <a:ext uri="{FF2B5EF4-FFF2-40B4-BE49-F238E27FC236}">
              <a16:creationId xmlns:a16="http://schemas.microsoft.com/office/drawing/2014/main" id="{CC3BA945-00A9-4CA1-A1EB-B655FEC6657E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31</xdr:row>
      <xdr:rowOff>76200</xdr:rowOff>
    </xdr:from>
    <xdr:to>
      <xdr:col>6</xdr:col>
      <xdr:colOff>0</xdr:colOff>
      <xdr:row>33</xdr:row>
      <xdr:rowOff>114300</xdr:rowOff>
    </xdr:to>
    <xdr:sp macro="" textlink="">
      <xdr:nvSpPr>
        <xdr:cNvPr id="2098" name="Object 50" hidden="1">
          <a:extLst>
            <a:ext uri="{63B3BB69-23CF-44E3-9099-C40C66FF867C}">
              <a14:compatExt xmlns:a14="http://schemas.microsoft.com/office/drawing/2010/main" spid="_x0000_s2098"/>
            </a:ext>
            <a:ext uri="{FF2B5EF4-FFF2-40B4-BE49-F238E27FC236}">
              <a16:creationId xmlns:a16="http://schemas.microsoft.com/office/drawing/2014/main" id="{EEA2FC17-C4DE-4AD8-A107-6486D85DF382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31750</xdr:colOff>
      <xdr:row>51</xdr:row>
      <xdr:rowOff>31750</xdr:rowOff>
    </xdr:from>
    <xdr:to>
      <xdr:col>7</xdr:col>
      <xdr:colOff>692150</xdr:colOff>
      <xdr:row>54</xdr:row>
      <xdr:rowOff>0</xdr:rowOff>
    </xdr:to>
    <xdr:sp macro="" textlink="">
      <xdr:nvSpPr>
        <xdr:cNvPr id="2101" name="Object 53" hidden="1">
          <a:extLst>
            <a:ext uri="{63B3BB69-23CF-44E3-9099-C40C66FF867C}">
              <a14:compatExt xmlns:a14="http://schemas.microsoft.com/office/drawing/2010/main" spid="_x0000_s2101"/>
            </a:ext>
            <a:ext uri="{FF2B5EF4-FFF2-40B4-BE49-F238E27FC236}">
              <a16:creationId xmlns:a16="http://schemas.microsoft.com/office/drawing/2014/main" id="{CCCACFF0-D14D-4E01-98CB-1B8A06F88776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65</xdr:row>
      <xdr:rowOff>0</xdr:rowOff>
    </xdr:from>
    <xdr:to>
      <xdr:col>5</xdr:col>
      <xdr:colOff>774700</xdr:colOff>
      <xdr:row>68</xdr:row>
      <xdr:rowOff>171449</xdr:rowOff>
    </xdr:to>
    <xdr:sp macro="" textlink="">
      <xdr:nvSpPr>
        <xdr:cNvPr id="2102" name="Object 54" hidden="1">
          <a:extLst>
            <a:ext uri="{63B3BB69-23CF-44E3-9099-C40C66FF867C}">
              <a14:compatExt xmlns:a14="http://schemas.microsoft.com/office/drawing/2010/main" spid="_x0000_s2102"/>
            </a:ext>
            <a:ext uri="{FF2B5EF4-FFF2-40B4-BE49-F238E27FC236}">
              <a16:creationId xmlns:a16="http://schemas.microsoft.com/office/drawing/2014/main" id="{3368D8FF-8053-4906-8A4D-7F4D6FDD5279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72</xdr:row>
      <xdr:rowOff>38100</xdr:rowOff>
    </xdr:from>
    <xdr:to>
      <xdr:col>7</xdr:col>
      <xdr:colOff>241300</xdr:colOff>
      <xdr:row>75</xdr:row>
      <xdr:rowOff>6351</xdr:rowOff>
    </xdr:to>
    <xdr:sp macro="" textlink="">
      <xdr:nvSpPr>
        <xdr:cNvPr id="2103" name="Object 55" hidden="1">
          <a:extLst>
            <a:ext uri="{63B3BB69-23CF-44E3-9099-C40C66FF867C}">
              <a14:compatExt xmlns:a14="http://schemas.microsoft.com/office/drawing/2010/main" spid="_x0000_s2103"/>
            </a:ext>
            <a:ext uri="{FF2B5EF4-FFF2-40B4-BE49-F238E27FC236}">
              <a16:creationId xmlns:a16="http://schemas.microsoft.com/office/drawing/2014/main" id="{4F2038FC-4ED7-4595-A106-A347F73CF9D2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93</xdr:row>
      <xdr:rowOff>6350</xdr:rowOff>
    </xdr:from>
    <xdr:to>
      <xdr:col>7</xdr:col>
      <xdr:colOff>800100</xdr:colOff>
      <xdr:row>96</xdr:row>
      <xdr:rowOff>0</xdr:rowOff>
    </xdr:to>
    <xdr:sp macro="" textlink="">
      <xdr:nvSpPr>
        <xdr:cNvPr id="2104" name="Object 56" hidden="1">
          <a:extLst>
            <a:ext uri="{63B3BB69-23CF-44E3-9099-C40C66FF867C}">
              <a14:compatExt xmlns:a14="http://schemas.microsoft.com/office/drawing/2010/main" spid="_x0000_s2104"/>
            </a:ext>
            <a:ext uri="{FF2B5EF4-FFF2-40B4-BE49-F238E27FC236}">
              <a16:creationId xmlns:a16="http://schemas.microsoft.com/office/drawing/2014/main" id="{CD7B2527-701C-40C6-92BB-18E2C6A2AB4C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317500</xdr:colOff>
      <xdr:row>26</xdr:row>
      <xdr:rowOff>234950</xdr:rowOff>
    </xdr:from>
    <xdr:to>
      <xdr:col>4</xdr:col>
      <xdr:colOff>190500</xdr:colOff>
      <xdr:row>29</xdr:row>
      <xdr:rowOff>152400</xdr:rowOff>
    </xdr:to>
    <xdr:sp macro="" textlink="">
      <xdr:nvSpPr>
        <xdr:cNvPr id="2293" name="Line 63">
          <a:extLst>
            <a:ext uri="{FF2B5EF4-FFF2-40B4-BE49-F238E27FC236}">
              <a16:creationId xmlns:a16="http://schemas.microsoft.com/office/drawing/2014/main" id="{07D7620D-17AE-4C52-84BD-1786CCFEF571}"/>
            </a:ext>
          </a:extLst>
        </xdr:cNvPr>
        <xdr:cNvSpPr>
          <a:spLocks noChangeShapeType="1"/>
        </xdr:cNvSpPr>
      </xdr:nvSpPr>
      <xdr:spPr bwMode="auto">
        <a:xfrm flipH="1">
          <a:off x="6045200" y="4800600"/>
          <a:ext cx="450850" cy="5080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6</xdr:col>
      <xdr:colOff>1009650</xdr:colOff>
      <xdr:row>48</xdr:row>
      <xdr:rowOff>152400</xdr:rowOff>
    </xdr:from>
    <xdr:to>
      <xdr:col>7</xdr:col>
      <xdr:colOff>800100</xdr:colOff>
      <xdr:row>51</xdr:row>
      <xdr:rowOff>0</xdr:rowOff>
    </xdr:to>
    <xdr:sp macro="" textlink="">
      <xdr:nvSpPr>
        <xdr:cNvPr id="2112" name="Object 64" hidden="1">
          <a:extLst>
            <a:ext uri="{63B3BB69-23CF-44E3-9099-C40C66FF867C}">
              <a14:compatExt xmlns:a14="http://schemas.microsoft.com/office/drawing/2010/main" spid="_x0000_s2112"/>
            </a:ext>
            <a:ext uri="{FF2B5EF4-FFF2-40B4-BE49-F238E27FC236}">
              <a16:creationId xmlns:a16="http://schemas.microsoft.com/office/drawing/2014/main" id="{A74F8DDB-4DEF-4B6B-8A89-707CB7CDCECB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15</xdr:row>
      <xdr:rowOff>0</xdr:rowOff>
    </xdr:from>
    <xdr:to>
      <xdr:col>5</xdr:col>
      <xdr:colOff>539750</xdr:colOff>
      <xdr:row>16</xdr:row>
      <xdr:rowOff>95250</xdr:rowOff>
    </xdr:to>
    <xdr:pic>
      <xdr:nvPicPr>
        <xdr:cNvPr id="2" name="Picture 44">
          <a:extLst>
            <a:ext uri="{FF2B5EF4-FFF2-40B4-BE49-F238E27FC236}">
              <a16:creationId xmlns:a16="http://schemas.microsoft.com/office/drawing/2014/main" id="{A20F4968-135A-4570-AEA1-B3DC24FF7B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2578100"/>
          <a:ext cx="1377950" cy="292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4</xdr:col>
      <xdr:colOff>0</xdr:colOff>
      <xdr:row>19</xdr:row>
      <xdr:rowOff>0</xdr:rowOff>
    </xdr:from>
    <xdr:to>
      <xdr:col>5</xdr:col>
      <xdr:colOff>196850</xdr:colOff>
      <xdr:row>21</xdr:row>
      <xdr:rowOff>152401</xdr:rowOff>
    </xdr:to>
    <xdr:pic>
      <xdr:nvPicPr>
        <xdr:cNvPr id="3" name="Picture 45">
          <a:extLst>
            <a:ext uri="{FF2B5EF4-FFF2-40B4-BE49-F238E27FC236}">
              <a16:creationId xmlns:a16="http://schemas.microsoft.com/office/drawing/2014/main" id="{025B296B-7BBC-421D-84E1-3619B6AC61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3302000"/>
          <a:ext cx="1035050" cy="546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4</xdr:col>
      <xdr:colOff>31750</xdr:colOff>
      <xdr:row>25</xdr:row>
      <xdr:rowOff>6350</xdr:rowOff>
    </xdr:from>
    <xdr:to>
      <xdr:col>5</xdr:col>
      <xdr:colOff>685800</xdr:colOff>
      <xdr:row>27</xdr:row>
      <xdr:rowOff>82550</xdr:rowOff>
    </xdr:to>
    <xdr:pic>
      <xdr:nvPicPr>
        <xdr:cNvPr id="4" name="Picture 47">
          <a:extLst>
            <a:ext uri="{FF2B5EF4-FFF2-40B4-BE49-F238E27FC236}">
              <a16:creationId xmlns:a16="http://schemas.microsoft.com/office/drawing/2014/main" id="{9A4A5DBB-1A7D-4106-BE9B-5713F5E538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37300" y="4413250"/>
          <a:ext cx="1492250" cy="4699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4</xdr:col>
      <xdr:colOff>0</xdr:colOff>
      <xdr:row>29</xdr:row>
      <xdr:rowOff>76200</xdr:rowOff>
    </xdr:from>
    <xdr:to>
      <xdr:col>6</xdr:col>
      <xdr:colOff>419100</xdr:colOff>
      <xdr:row>30</xdr:row>
      <xdr:rowOff>177801</xdr:rowOff>
    </xdr:to>
    <xdr:pic>
      <xdr:nvPicPr>
        <xdr:cNvPr id="5" name="Picture 49">
          <a:extLst>
            <a:ext uri="{FF2B5EF4-FFF2-40B4-BE49-F238E27FC236}">
              <a16:creationId xmlns:a16="http://schemas.microsoft.com/office/drawing/2014/main" id="{9481EC2D-3AC5-45BC-BE2D-D048F7EE9F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5232400"/>
          <a:ext cx="2063750" cy="298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4</xdr:col>
      <xdr:colOff>0</xdr:colOff>
      <xdr:row>31</xdr:row>
      <xdr:rowOff>76200</xdr:rowOff>
    </xdr:from>
    <xdr:to>
      <xdr:col>6</xdr:col>
      <xdr:colOff>0</xdr:colOff>
      <xdr:row>33</xdr:row>
      <xdr:rowOff>114300</xdr:rowOff>
    </xdr:to>
    <xdr:pic>
      <xdr:nvPicPr>
        <xdr:cNvPr id="6" name="Picture 50">
          <a:extLst>
            <a:ext uri="{FF2B5EF4-FFF2-40B4-BE49-F238E27FC236}">
              <a16:creationId xmlns:a16="http://schemas.microsoft.com/office/drawing/2014/main" id="{774295AB-9354-46C8-B11D-81A1DF2F9F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5626100"/>
          <a:ext cx="1644650" cy="431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4</xdr:col>
      <xdr:colOff>31750</xdr:colOff>
      <xdr:row>51</xdr:row>
      <xdr:rowOff>31750</xdr:rowOff>
    </xdr:from>
    <xdr:to>
      <xdr:col>7</xdr:col>
      <xdr:colOff>692150</xdr:colOff>
      <xdr:row>54</xdr:row>
      <xdr:rowOff>0</xdr:rowOff>
    </xdr:to>
    <xdr:pic>
      <xdr:nvPicPr>
        <xdr:cNvPr id="7" name="Picture 53">
          <a:extLst>
            <a:ext uri="{FF2B5EF4-FFF2-40B4-BE49-F238E27FC236}">
              <a16:creationId xmlns:a16="http://schemas.microsoft.com/office/drawing/2014/main" id="{175824E1-193E-4CDE-A137-9164BC4B4A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37300" y="9378950"/>
          <a:ext cx="3105150" cy="495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4</xdr:col>
      <xdr:colOff>0</xdr:colOff>
      <xdr:row>65</xdr:row>
      <xdr:rowOff>0</xdr:rowOff>
    </xdr:from>
    <xdr:to>
      <xdr:col>5</xdr:col>
      <xdr:colOff>774700</xdr:colOff>
      <xdr:row>68</xdr:row>
      <xdr:rowOff>171449</xdr:rowOff>
    </xdr:to>
    <xdr:pic>
      <xdr:nvPicPr>
        <xdr:cNvPr id="8" name="Picture 54">
          <a:extLst>
            <a:ext uri="{FF2B5EF4-FFF2-40B4-BE49-F238E27FC236}">
              <a16:creationId xmlns:a16="http://schemas.microsoft.com/office/drawing/2014/main" id="{432BCAC8-6FBC-437D-8B80-D34178A7C8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11830050"/>
          <a:ext cx="1612900" cy="6921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4</xdr:col>
      <xdr:colOff>0</xdr:colOff>
      <xdr:row>72</xdr:row>
      <xdr:rowOff>38100</xdr:rowOff>
    </xdr:from>
    <xdr:to>
      <xdr:col>7</xdr:col>
      <xdr:colOff>241300</xdr:colOff>
      <xdr:row>75</xdr:row>
      <xdr:rowOff>6351</xdr:rowOff>
    </xdr:to>
    <xdr:pic>
      <xdr:nvPicPr>
        <xdr:cNvPr id="9" name="Picture 55">
          <a:extLst>
            <a:ext uri="{FF2B5EF4-FFF2-40B4-BE49-F238E27FC236}">
              <a16:creationId xmlns:a16="http://schemas.microsoft.com/office/drawing/2014/main" id="{DC9FADCE-3078-4F22-A19D-57F983730B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13144500"/>
          <a:ext cx="2686050" cy="4889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4</xdr:col>
      <xdr:colOff>0</xdr:colOff>
      <xdr:row>93</xdr:row>
      <xdr:rowOff>6350</xdr:rowOff>
    </xdr:from>
    <xdr:to>
      <xdr:col>7</xdr:col>
      <xdr:colOff>800100</xdr:colOff>
      <xdr:row>96</xdr:row>
      <xdr:rowOff>0</xdr:rowOff>
    </xdr:to>
    <xdr:pic>
      <xdr:nvPicPr>
        <xdr:cNvPr id="10" name="Picture 56">
          <a:extLst>
            <a:ext uri="{FF2B5EF4-FFF2-40B4-BE49-F238E27FC236}">
              <a16:creationId xmlns:a16="http://schemas.microsoft.com/office/drawing/2014/main" id="{9B34A108-F265-4505-8FD5-4F12A99F84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16871950"/>
          <a:ext cx="3244850" cy="508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6</xdr:col>
      <xdr:colOff>1009650</xdr:colOff>
      <xdr:row>48</xdr:row>
      <xdr:rowOff>152400</xdr:rowOff>
    </xdr:from>
    <xdr:to>
      <xdr:col>7</xdr:col>
      <xdr:colOff>800100</xdr:colOff>
      <xdr:row>51</xdr:row>
      <xdr:rowOff>0</xdr:rowOff>
    </xdr:to>
    <xdr:pic>
      <xdr:nvPicPr>
        <xdr:cNvPr id="11" name="Picture 64">
          <a:extLst>
            <a:ext uri="{FF2B5EF4-FFF2-40B4-BE49-F238E27FC236}">
              <a16:creationId xmlns:a16="http://schemas.microsoft.com/office/drawing/2014/main" id="{EF7C37F9-078C-4E67-871D-C4D43CFAA5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50300" y="8909050"/>
          <a:ext cx="800100" cy="4381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266700</xdr:colOff>
      <xdr:row>23</xdr:row>
      <xdr:rowOff>82550</xdr:rowOff>
    </xdr:from>
    <xdr:to>
      <xdr:col>5</xdr:col>
      <xdr:colOff>349250</xdr:colOff>
      <xdr:row>25</xdr:row>
      <xdr:rowOff>190500</xdr:rowOff>
    </xdr:to>
    <xdr:sp macro="" textlink="">
      <xdr:nvSpPr>
        <xdr:cNvPr id="5858747" name="Line 12">
          <a:extLst>
            <a:ext uri="{FF2B5EF4-FFF2-40B4-BE49-F238E27FC236}">
              <a16:creationId xmlns:a16="http://schemas.microsoft.com/office/drawing/2014/main" id="{643AE071-D2ED-452C-B2D6-36387D044680}"/>
            </a:ext>
          </a:extLst>
        </xdr:cNvPr>
        <xdr:cNvSpPr>
          <a:spLocks noChangeShapeType="1"/>
        </xdr:cNvSpPr>
      </xdr:nvSpPr>
      <xdr:spPr bwMode="auto">
        <a:xfrm flipH="1">
          <a:off x="6953250" y="4184650"/>
          <a:ext cx="82550" cy="4381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12700</xdr:colOff>
      <xdr:row>87</xdr:row>
      <xdr:rowOff>6350</xdr:rowOff>
    </xdr:from>
    <xdr:to>
      <xdr:col>5</xdr:col>
      <xdr:colOff>984250</xdr:colOff>
      <xdr:row>88</xdr:row>
      <xdr:rowOff>222250</xdr:rowOff>
    </xdr:to>
    <xdr:sp macro="" textlink="">
      <xdr:nvSpPr>
        <xdr:cNvPr id="5858748" name="Line 16">
          <a:extLst>
            <a:ext uri="{FF2B5EF4-FFF2-40B4-BE49-F238E27FC236}">
              <a16:creationId xmlns:a16="http://schemas.microsoft.com/office/drawing/2014/main" id="{B9BD7461-6B38-4E31-87DB-AC6FF0D467B7}"/>
            </a:ext>
          </a:extLst>
        </xdr:cNvPr>
        <xdr:cNvSpPr>
          <a:spLocks noChangeShapeType="1"/>
        </xdr:cNvSpPr>
      </xdr:nvSpPr>
      <xdr:spPr bwMode="auto">
        <a:xfrm flipH="1">
          <a:off x="4749800" y="15062200"/>
          <a:ext cx="2921000" cy="3111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31750</xdr:colOff>
      <xdr:row>94</xdr:row>
      <xdr:rowOff>6350</xdr:rowOff>
    </xdr:from>
    <xdr:to>
      <xdr:col>5</xdr:col>
      <xdr:colOff>1123950</xdr:colOff>
      <xdr:row>96</xdr:row>
      <xdr:rowOff>44450</xdr:rowOff>
    </xdr:to>
    <xdr:sp macro="" textlink="">
      <xdr:nvSpPr>
        <xdr:cNvPr id="5858749" name="Line 18">
          <a:extLst>
            <a:ext uri="{FF2B5EF4-FFF2-40B4-BE49-F238E27FC236}">
              <a16:creationId xmlns:a16="http://schemas.microsoft.com/office/drawing/2014/main" id="{BF793065-F1FE-41FB-9267-D68DA9C402BC}"/>
            </a:ext>
          </a:extLst>
        </xdr:cNvPr>
        <xdr:cNvSpPr>
          <a:spLocks noChangeShapeType="1"/>
        </xdr:cNvSpPr>
      </xdr:nvSpPr>
      <xdr:spPr bwMode="auto">
        <a:xfrm flipH="1">
          <a:off x="4768850" y="16332200"/>
          <a:ext cx="3022600" cy="393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927100</xdr:colOff>
      <xdr:row>23</xdr:row>
      <xdr:rowOff>82550</xdr:rowOff>
    </xdr:from>
    <xdr:to>
      <xdr:col>7</xdr:col>
      <xdr:colOff>1200150</xdr:colOff>
      <xdr:row>25</xdr:row>
      <xdr:rowOff>203200</xdr:rowOff>
    </xdr:to>
    <xdr:sp macro="" textlink="">
      <xdr:nvSpPr>
        <xdr:cNvPr id="5858750" name="Line 44">
          <a:extLst>
            <a:ext uri="{FF2B5EF4-FFF2-40B4-BE49-F238E27FC236}">
              <a16:creationId xmlns:a16="http://schemas.microsoft.com/office/drawing/2014/main" id="{5969F60D-F56C-481C-BD10-C534D22380D7}"/>
            </a:ext>
          </a:extLst>
        </xdr:cNvPr>
        <xdr:cNvSpPr>
          <a:spLocks noChangeShapeType="1"/>
        </xdr:cNvSpPr>
      </xdr:nvSpPr>
      <xdr:spPr bwMode="auto">
        <a:xfrm flipH="1">
          <a:off x="9613900" y="4184650"/>
          <a:ext cx="222250" cy="4381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857250</xdr:colOff>
      <xdr:row>22</xdr:row>
      <xdr:rowOff>158750</xdr:rowOff>
    </xdr:from>
    <xdr:to>
      <xdr:col>6</xdr:col>
      <xdr:colOff>927100</xdr:colOff>
      <xdr:row>26</xdr:row>
      <xdr:rowOff>0</xdr:rowOff>
    </xdr:to>
    <xdr:sp macro="" textlink="">
      <xdr:nvSpPr>
        <xdr:cNvPr id="5858751" name="Line 12">
          <a:extLst>
            <a:ext uri="{FF2B5EF4-FFF2-40B4-BE49-F238E27FC236}">
              <a16:creationId xmlns:a16="http://schemas.microsoft.com/office/drawing/2014/main" id="{2A268F31-3C02-433C-9F49-E29E1C5F0989}"/>
            </a:ext>
          </a:extLst>
        </xdr:cNvPr>
        <xdr:cNvSpPr>
          <a:spLocks noChangeShapeType="1"/>
        </xdr:cNvSpPr>
      </xdr:nvSpPr>
      <xdr:spPr bwMode="auto">
        <a:xfrm flipH="1">
          <a:off x="8648700" y="4102100"/>
          <a:ext cx="38100" cy="520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787400</xdr:colOff>
      <xdr:row>19</xdr:row>
      <xdr:rowOff>241300</xdr:rowOff>
    </xdr:from>
    <xdr:to>
      <xdr:col>6</xdr:col>
      <xdr:colOff>1314450</xdr:colOff>
      <xdr:row>20</xdr:row>
      <xdr:rowOff>254000</xdr:rowOff>
    </xdr:to>
    <xdr:sp macro="" textlink="">
      <xdr:nvSpPr>
        <xdr:cNvPr id="5858752" name="Line 12">
          <a:extLst>
            <a:ext uri="{FF2B5EF4-FFF2-40B4-BE49-F238E27FC236}">
              <a16:creationId xmlns:a16="http://schemas.microsoft.com/office/drawing/2014/main" id="{1A774055-837F-4502-9689-D7C0D468C95D}"/>
            </a:ext>
          </a:extLst>
        </xdr:cNvPr>
        <xdr:cNvSpPr>
          <a:spLocks noChangeShapeType="1"/>
        </xdr:cNvSpPr>
      </xdr:nvSpPr>
      <xdr:spPr bwMode="auto">
        <a:xfrm flipV="1">
          <a:off x="8578850" y="3587750"/>
          <a:ext cx="107950" cy="196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82550</xdr:colOff>
      <xdr:row>19</xdr:row>
      <xdr:rowOff>25400</xdr:rowOff>
    </xdr:from>
    <xdr:to>
      <xdr:col>9</xdr:col>
      <xdr:colOff>723900</xdr:colOff>
      <xdr:row>19</xdr:row>
      <xdr:rowOff>107950</xdr:rowOff>
    </xdr:to>
    <xdr:sp macro="" textlink="">
      <xdr:nvSpPr>
        <xdr:cNvPr id="5858753" name="Line 12">
          <a:extLst>
            <a:ext uri="{FF2B5EF4-FFF2-40B4-BE49-F238E27FC236}">
              <a16:creationId xmlns:a16="http://schemas.microsoft.com/office/drawing/2014/main" id="{E3E5A0B4-7CF2-40DA-A35C-210F64387CEE}"/>
            </a:ext>
          </a:extLst>
        </xdr:cNvPr>
        <xdr:cNvSpPr>
          <a:spLocks noChangeShapeType="1"/>
        </xdr:cNvSpPr>
      </xdr:nvSpPr>
      <xdr:spPr bwMode="auto">
        <a:xfrm flipV="1">
          <a:off x="10718800" y="3448050"/>
          <a:ext cx="641350" cy="82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6</xdr:col>
      <xdr:colOff>120650</xdr:colOff>
      <xdr:row>21</xdr:row>
      <xdr:rowOff>0</xdr:rowOff>
    </xdr:from>
    <xdr:to>
      <xdr:col>7</xdr:col>
      <xdr:colOff>381000</xdr:colOff>
      <xdr:row>22</xdr:row>
      <xdr:rowOff>114300</xdr:rowOff>
    </xdr:to>
    <xdr:sp macro="" textlink="">
      <xdr:nvSpPr>
        <xdr:cNvPr id="2906306" name="Object 1218" hidden="1">
          <a:extLst>
            <a:ext uri="{63B3BB69-23CF-44E3-9099-C40C66FF867C}">
              <a14:compatExt xmlns:a14="http://schemas.microsoft.com/office/drawing/2010/main" spid="_x0000_s2906306"/>
            </a:ext>
            <a:ext uri="{FF2B5EF4-FFF2-40B4-BE49-F238E27FC236}">
              <a16:creationId xmlns:a16="http://schemas.microsoft.com/office/drawing/2014/main" id="{154C49A1-467D-4D26-BE7C-ACBD8944DB32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7</xdr:col>
      <xdr:colOff>647700</xdr:colOff>
      <xdr:row>20</xdr:row>
      <xdr:rowOff>279400</xdr:rowOff>
    </xdr:from>
    <xdr:to>
      <xdr:col>9</xdr:col>
      <xdr:colOff>527050</xdr:colOff>
      <xdr:row>24</xdr:row>
      <xdr:rowOff>0</xdr:rowOff>
    </xdr:to>
    <xdr:sp macro="" textlink="">
      <xdr:nvSpPr>
        <xdr:cNvPr id="2906307" name="Object 1219" hidden="1">
          <a:extLst>
            <a:ext uri="{63B3BB69-23CF-44E3-9099-C40C66FF867C}">
              <a14:compatExt xmlns:a14="http://schemas.microsoft.com/office/drawing/2010/main" spid="_x0000_s2906307"/>
            </a:ext>
            <a:ext uri="{FF2B5EF4-FFF2-40B4-BE49-F238E27FC236}">
              <a16:creationId xmlns:a16="http://schemas.microsoft.com/office/drawing/2014/main" id="{20EA2D1A-A424-4BEC-841D-C967B2271729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8</xdr:col>
      <xdr:colOff>19050</xdr:colOff>
      <xdr:row>8</xdr:row>
      <xdr:rowOff>152400</xdr:rowOff>
    </xdr:from>
    <xdr:to>
      <xdr:col>9</xdr:col>
      <xdr:colOff>679450</xdr:colOff>
      <xdr:row>13</xdr:row>
      <xdr:rowOff>6350</xdr:rowOff>
    </xdr:to>
    <xdr:sp macro="" textlink="">
      <xdr:nvSpPr>
        <xdr:cNvPr id="2906308" name="Object 1220" hidden="1">
          <a:extLst>
            <a:ext uri="{63B3BB69-23CF-44E3-9099-C40C66FF867C}">
              <a14:compatExt xmlns:a14="http://schemas.microsoft.com/office/drawing/2010/main" spid="_x0000_s2906308"/>
            </a:ext>
            <a:ext uri="{FF2B5EF4-FFF2-40B4-BE49-F238E27FC236}">
              <a16:creationId xmlns:a16="http://schemas.microsoft.com/office/drawing/2014/main" id="{EC18033D-8B03-451C-8E78-A50B812049A6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8</xdr:col>
      <xdr:colOff>19050</xdr:colOff>
      <xdr:row>6</xdr:row>
      <xdr:rowOff>234950</xdr:rowOff>
    </xdr:from>
    <xdr:to>
      <xdr:col>10</xdr:col>
      <xdr:colOff>0</xdr:colOff>
      <xdr:row>8</xdr:row>
      <xdr:rowOff>57150</xdr:rowOff>
    </xdr:to>
    <xdr:sp macro="" textlink="">
      <xdr:nvSpPr>
        <xdr:cNvPr id="2906309" name="Object 1221" hidden="1">
          <a:extLst>
            <a:ext uri="{63B3BB69-23CF-44E3-9099-C40C66FF867C}">
              <a14:compatExt xmlns:a14="http://schemas.microsoft.com/office/drawing/2010/main" spid="_x0000_s2906309"/>
            </a:ext>
            <a:ext uri="{FF2B5EF4-FFF2-40B4-BE49-F238E27FC236}">
              <a16:creationId xmlns:a16="http://schemas.microsoft.com/office/drawing/2014/main" id="{21BEC7BC-97CA-4D72-BF52-5FB285F67F5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317500</xdr:colOff>
      <xdr:row>20</xdr:row>
      <xdr:rowOff>279400</xdr:rowOff>
    </xdr:from>
    <xdr:to>
      <xdr:col>6</xdr:col>
      <xdr:colOff>0</xdr:colOff>
      <xdr:row>24</xdr:row>
      <xdr:rowOff>0</xdr:rowOff>
    </xdr:to>
    <xdr:sp macro="" textlink="">
      <xdr:nvSpPr>
        <xdr:cNvPr id="2906311" name="Object 1223" hidden="1">
          <a:extLst>
            <a:ext uri="{63B3BB69-23CF-44E3-9099-C40C66FF867C}">
              <a14:compatExt xmlns:a14="http://schemas.microsoft.com/office/drawing/2010/main" spid="_x0000_s2906311"/>
            </a:ext>
            <a:ext uri="{FF2B5EF4-FFF2-40B4-BE49-F238E27FC236}">
              <a16:creationId xmlns:a16="http://schemas.microsoft.com/office/drawing/2014/main" id="{4AA92CD5-13E3-42F1-B0DC-2C293A403791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3</xdr:col>
      <xdr:colOff>57150</xdr:colOff>
      <xdr:row>9</xdr:row>
      <xdr:rowOff>95250</xdr:rowOff>
    </xdr:from>
    <xdr:to>
      <xdr:col>4</xdr:col>
      <xdr:colOff>88900</xdr:colOff>
      <xdr:row>12</xdr:row>
      <xdr:rowOff>0</xdr:rowOff>
    </xdr:to>
    <xdr:sp macro="" textlink="">
      <xdr:nvSpPr>
        <xdr:cNvPr id="2906312" name="Object 1224" hidden="1">
          <a:extLst>
            <a:ext uri="{63B3BB69-23CF-44E3-9099-C40C66FF867C}">
              <a14:compatExt xmlns:a14="http://schemas.microsoft.com/office/drawing/2010/main" spid="_x0000_s2906312"/>
            </a:ext>
            <a:ext uri="{FF2B5EF4-FFF2-40B4-BE49-F238E27FC236}">
              <a16:creationId xmlns:a16="http://schemas.microsoft.com/office/drawing/2014/main" id="{74EBCABD-314B-4528-AAC7-FC99476DF64C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7</xdr:col>
      <xdr:colOff>82550</xdr:colOff>
      <xdr:row>7</xdr:row>
      <xdr:rowOff>114300</xdr:rowOff>
    </xdr:from>
    <xdr:to>
      <xdr:col>8</xdr:col>
      <xdr:colOff>0</xdr:colOff>
      <xdr:row>9</xdr:row>
      <xdr:rowOff>177800</xdr:rowOff>
    </xdr:to>
    <xdr:sp macro="" textlink="">
      <xdr:nvSpPr>
        <xdr:cNvPr id="2906313" name="Object 1225" hidden="1">
          <a:extLst>
            <a:ext uri="{63B3BB69-23CF-44E3-9099-C40C66FF867C}">
              <a14:compatExt xmlns:a14="http://schemas.microsoft.com/office/drawing/2010/main" spid="_x0000_s2906313"/>
            </a:ext>
            <a:ext uri="{FF2B5EF4-FFF2-40B4-BE49-F238E27FC236}">
              <a16:creationId xmlns:a16="http://schemas.microsoft.com/office/drawing/2014/main" id="{A3378F54-4D84-4305-BED9-59382579933C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12</xdr:col>
      <xdr:colOff>0</xdr:colOff>
      <xdr:row>5</xdr:row>
      <xdr:rowOff>0</xdr:rowOff>
    </xdr:from>
    <xdr:to>
      <xdr:col>13</xdr:col>
      <xdr:colOff>82550</xdr:colOff>
      <xdr:row>6</xdr:row>
      <xdr:rowOff>95250</xdr:rowOff>
    </xdr:to>
    <xdr:sp macro="" textlink="">
      <xdr:nvSpPr>
        <xdr:cNvPr id="2906314" name="Object 1226" hidden="1">
          <a:extLst>
            <a:ext uri="{63B3BB69-23CF-44E3-9099-C40C66FF867C}">
              <a14:compatExt xmlns:a14="http://schemas.microsoft.com/office/drawing/2010/main" spid="_x0000_s2906314"/>
            </a:ext>
            <a:ext uri="{FF2B5EF4-FFF2-40B4-BE49-F238E27FC236}">
              <a16:creationId xmlns:a16="http://schemas.microsoft.com/office/drawing/2014/main" id="{BDAA4DDE-13B5-4932-ACD6-ED2449FD8B3A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13</xdr:col>
      <xdr:colOff>381000</xdr:colOff>
      <xdr:row>5</xdr:row>
      <xdr:rowOff>0</xdr:rowOff>
    </xdr:from>
    <xdr:to>
      <xdr:col>14</xdr:col>
      <xdr:colOff>177800</xdr:colOff>
      <xdr:row>7</xdr:row>
      <xdr:rowOff>44450</xdr:rowOff>
    </xdr:to>
    <xdr:sp macro="" textlink="">
      <xdr:nvSpPr>
        <xdr:cNvPr id="2906315" name="Object 1227" hidden="1">
          <a:extLst>
            <a:ext uri="{63B3BB69-23CF-44E3-9099-C40C66FF867C}">
              <a14:compatExt xmlns:a14="http://schemas.microsoft.com/office/drawing/2010/main" spid="_x0000_s2906315"/>
            </a:ext>
            <a:ext uri="{FF2B5EF4-FFF2-40B4-BE49-F238E27FC236}">
              <a16:creationId xmlns:a16="http://schemas.microsoft.com/office/drawing/2014/main" id="{3D9992F6-5D53-447C-AEEA-C098AC2A0DC4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12</xdr:col>
      <xdr:colOff>19050</xdr:colOff>
      <xdr:row>6</xdr:row>
      <xdr:rowOff>139700</xdr:rowOff>
    </xdr:from>
    <xdr:to>
      <xdr:col>13</xdr:col>
      <xdr:colOff>298450</xdr:colOff>
      <xdr:row>8</xdr:row>
      <xdr:rowOff>133350</xdr:rowOff>
    </xdr:to>
    <xdr:sp macro="" textlink="">
      <xdr:nvSpPr>
        <xdr:cNvPr id="2906316" name="Object 1228" hidden="1">
          <a:extLst>
            <a:ext uri="{63B3BB69-23CF-44E3-9099-C40C66FF867C}">
              <a14:compatExt xmlns:a14="http://schemas.microsoft.com/office/drawing/2010/main" spid="_x0000_s2906316"/>
            </a:ext>
            <a:ext uri="{FF2B5EF4-FFF2-40B4-BE49-F238E27FC236}">
              <a16:creationId xmlns:a16="http://schemas.microsoft.com/office/drawing/2014/main" id="{5BABE3B6-F9A2-4807-A5C9-034CF5256333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14</xdr:col>
      <xdr:colOff>0</xdr:colOff>
      <xdr:row>12</xdr:row>
      <xdr:rowOff>0</xdr:rowOff>
    </xdr:to>
    <xdr:sp macro="" textlink="">
      <xdr:nvSpPr>
        <xdr:cNvPr id="2906317" name="Object 1229" hidden="1">
          <a:extLst>
            <a:ext uri="{63B3BB69-23CF-44E3-9099-C40C66FF867C}">
              <a14:compatExt xmlns:a14="http://schemas.microsoft.com/office/drawing/2010/main" spid="_x0000_s2906317"/>
            </a:ext>
            <a:ext uri="{FF2B5EF4-FFF2-40B4-BE49-F238E27FC236}">
              <a16:creationId xmlns:a16="http://schemas.microsoft.com/office/drawing/2014/main" id="{1ADF2A60-0135-4B38-BFB4-372BD6793D4A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13</xdr:col>
      <xdr:colOff>711200</xdr:colOff>
      <xdr:row>19</xdr:row>
      <xdr:rowOff>0</xdr:rowOff>
    </xdr:to>
    <xdr:sp macro="" textlink="">
      <xdr:nvSpPr>
        <xdr:cNvPr id="2906318" name="Object 1230" hidden="1">
          <a:extLst>
            <a:ext uri="{63B3BB69-23CF-44E3-9099-C40C66FF867C}">
              <a14:compatExt xmlns:a14="http://schemas.microsoft.com/office/drawing/2010/main" spid="_x0000_s2906318"/>
            </a:ext>
            <a:ext uri="{FF2B5EF4-FFF2-40B4-BE49-F238E27FC236}">
              <a16:creationId xmlns:a16="http://schemas.microsoft.com/office/drawing/2014/main" id="{7942A814-51B7-4BF9-B514-30D95E20AB9C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1162050</xdr:colOff>
      <xdr:row>125</xdr:row>
      <xdr:rowOff>139700</xdr:rowOff>
    </xdr:from>
    <xdr:to>
      <xdr:col>5</xdr:col>
      <xdr:colOff>355600</xdr:colOff>
      <xdr:row>125</xdr:row>
      <xdr:rowOff>139700</xdr:rowOff>
    </xdr:to>
    <xdr:sp macro="" textlink="">
      <xdr:nvSpPr>
        <xdr:cNvPr id="5858754" name="Line 1582">
          <a:extLst>
            <a:ext uri="{FF2B5EF4-FFF2-40B4-BE49-F238E27FC236}">
              <a16:creationId xmlns:a16="http://schemas.microsoft.com/office/drawing/2014/main" id="{C6CB23A9-DE88-4219-9ABB-D6B74FC7C387}"/>
            </a:ext>
          </a:extLst>
        </xdr:cNvPr>
        <xdr:cNvSpPr>
          <a:spLocks noChangeShapeType="1"/>
        </xdr:cNvSpPr>
      </xdr:nvSpPr>
      <xdr:spPr bwMode="auto">
        <a:xfrm>
          <a:off x="5727700" y="22301200"/>
          <a:ext cx="13144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1162050</xdr:colOff>
      <xdr:row>126</xdr:row>
      <xdr:rowOff>152400</xdr:rowOff>
    </xdr:from>
    <xdr:to>
      <xdr:col>5</xdr:col>
      <xdr:colOff>355600</xdr:colOff>
      <xdr:row>126</xdr:row>
      <xdr:rowOff>152400</xdr:rowOff>
    </xdr:to>
    <xdr:sp macro="" textlink="">
      <xdr:nvSpPr>
        <xdr:cNvPr id="5858755" name="Line 1583">
          <a:extLst>
            <a:ext uri="{FF2B5EF4-FFF2-40B4-BE49-F238E27FC236}">
              <a16:creationId xmlns:a16="http://schemas.microsoft.com/office/drawing/2014/main" id="{EB6434FF-81DB-44DC-BFA4-789339C8FD84}"/>
            </a:ext>
          </a:extLst>
        </xdr:cNvPr>
        <xdr:cNvSpPr>
          <a:spLocks noChangeShapeType="1"/>
        </xdr:cNvSpPr>
      </xdr:nvSpPr>
      <xdr:spPr bwMode="auto">
        <a:xfrm>
          <a:off x="5727700" y="22510750"/>
          <a:ext cx="13144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1162050</xdr:colOff>
      <xdr:row>127</xdr:row>
      <xdr:rowOff>152400</xdr:rowOff>
    </xdr:from>
    <xdr:to>
      <xdr:col>5</xdr:col>
      <xdr:colOff>355600</xdr:colOff>
      <xdr:row>127</xdr:row>
      <xdr:rowOff>152400</xdr:rowOff>
    </xdr:to>
    <xdr:sp macro="" textlink="">
      <xdr:nvSpPr>
        <xdr:cNvPr id="5858756" name="Line 1584">
          <a:extLst>
            <a:ext uri="{FF2B5EF4-FFF2-40B4-BE49-F238E27FC236}">
              <a16:creationId xmlns:a16="http://schemas.microsoft.com/office/drawing/2014/main" id="{FD42B135-276A-4CE3-AF74-FD08BB5BAE66}"/>
            </a:ext>
          </a:extLst>
        </xdr:cNvPr>
        <xdr:cNvSpPr>
          <a:spLocks noChangeShapeType="1"/>
        </xdr:cNvSpPr>
      </xdr:nvSpPr>
      <xdr:spPr bwMode="auto">
        <a:xfrm>
          <a:off x="5727700" y="22707600"/>
          <a:ext cx="13144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1162050</xdr:colOff>
      <xdr:row>128</xdr:row>
      <xdr:rowOff>152400</xdr:rowOff>
    </xdr:from>
    <xdr:to>
      <xdr:col>5</xdr:col>
      <xdr:colOff>355600</xdr:colOff>
      <xdr:row>128</xdr:row>
      <xdr:rowOff>152400</xdr:rowOff>
    </xdr:to>
    <xdr:sp macro="" textlink="">
      <xdr:nvSpPr>
        <xdr:cNvPr id="5858757" name="Line 1585">
          <a:extLst>
            <a:ext uri="{FF2B5EF4-FFF2-40B4-BE49-F238E27FC236}">
              <a16:creationId xmlns:a16="http://schemas.microsoft.com/office/drawing/2014/main" id="{FC5CF5F2-5010-409E-98A1-1CB543DEBEA7}"/>
            </a:ext>
          </a:extLst>
        </xdr:cNvPr>
        <xdr:cNvSpPr>
          <a:spLocks noChangeShapeType="1"/>
        </xdr:cNvSpPr>
      </xdr:nvSpPr>
      <xdr:spPr bwMode="auto">
        <a:xfrm>
          <a:off x="5727700" y="22904450"/>
          <a:ext cx="13144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1162050</xdr:colOff>
      <xdr:row>129</xdr:row>
      <xdr:rowOff>152400</xdr:rowOff>
    </xdr:from>
    <xdr:to>
      <xdr:col>5</xdr:col>
      <xdr:colOff>355600</xdr:colOff>
      <xdr:row>129</xdr:row>
      <xdr:rowOff>152400</xdr:rowOff>
    </xdr:to>
    <xdr:sp macro="" textlink="">
      <xdr:nvSpPr>
        <xdr:cNvPr id="5858758" name="Line 1586">
          <a:extLst>
            <a:ext uri="{FF2B5EF4-FFF2-40B4-BE49-F238E27FC236}">
              <a16:creationId xmlns:a16="http://schemas.microsoft.com/office/drawing/2014/main" id="{8FE11E46-21F2-412D-9198-798F7CCE3552}"/>
            </a:ext>
          </a:extLst>
        </xdr:cNvPr>
        <xdr:cNvSpPr>
          <a:spLocks noChangeShapeType="1"/>
        </xdr:cNvSpPr>
      </xdr:nvSpPr>
      <xdr:spPr bwMode="auto">
        <a:xfrm>
          <a:off x="5727700" y="23101300"/>
          <a:ext cx="13144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1162050</xdr:colOff>
      <xdr:row>131</xdr:row>
      <xdr:rowOff>254000</xdr:rowOff>
    </xdr:from>
    <xdr:to>
      <xdr:col>5</xdr:col>
      <xdr:colOff>355600</xdr:colOff>
      <xdr:row>131</xdr:row>
      <xdr:rowOff>254000</xdr:rowOff>
    </xdr:to>
    <xdr:sp macro="" textlink="">
      <xdr:nvSpPr>
        <xdr:cNvPr id="5858759" name="Line 1587">
          <a:extLst>
            <a:ext uri="{FF2B5EF4-FFF2-40B4-BE49-F238E27FC236}">
              <a16:creationId xmlns:a16="http://schemas.microsoft.com/office/drawing/2014/main" id="{A979DE73-AE23-4E74-95A2-12153EA05EE0}"/>
            </a:ext>
          </a:extLst>
        </xdr:cNvPr>
        <xdr:cNvSpPr>
          <a:spLocks noChangeShapeType="1"/>
        </xdr:cNvSpPr>
      </xdr:nvSpPr>
      <xdr:spPr bwMode="auto">
        <a:xfrm>
          <a:off x="5727700" y="23545800"/>
          <a:ext cx="13144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6</xdr:col>
      <xdr:colOff>120650</xdr:colOff>
      <xdr:row>21</xdr:row>
      <xdr:rowOff>0</xdr:rowOff>
    </xdr:from>
    <xdr:to>
      <xdr:col>7</xdr:col>
      <xdr:colOff>381000</xdr:colOff>
      <xdr:row>22</xdr:row>
      <xdr:rowOff>114300</xdr:rowOff>
    </xdr:to>
    <xdr:pic>
      <xdr:nvPicPr>
        <xdr:cNvPr id="2" name="Picture 1218">
          <a:extLst>
            <a:ext uri="{FF2B5EF4-FFF2-40B4-BE49-F238E27FC236}">
              <a16:creationId xmlns:a16="http://schemas.microsoft.com/office/drawing/2014/main" id="{B99255B5-6C64-481F-9FDC-871F4BB856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12100" y="3784600"/>
          <a:ext cx="1155700" cy="273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7</xdr:col>
      <xdr:colOff>647700</xdr:colOff>
      <xdr:row>20</xdr:row>
      <xdr:rowOff>279400</xdr:rowOff>
    </xdr:from>
    <xdr:to>
      <xdr:col>9</xdr:col>
      <xdr:colOff>527050</xdr:colOff>
      <xdr:row>24</xdr:row>
      <xdr:rowOff>0</xdr:rowOff>
    </xdr:to>
    <xdr:pic>
      <xdr:nvPicPr>
        <xdr:cNvPr id="3" name="Picture 1219">
          <a:extLst>
            <a:ext uri="{FF2B5EF4-FFF2-40B4-BE49-F238E27FC236}">
              <a16:creationId xmlns:a16="http://schemas.microsoft.com/office/drawing/2014/main" id="{2B21EBCA-98AD-49E3-8427-FCC882C017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0" y="3784600"/>
          <a:ext cx="1828800" cy="476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19050</xdr:colOff>
      <xdr:row>8</xdr:row>
      <xdr:rowOff>152400</xdr:rowOff>
    </xdr:from>
    <xdr:to>
      <xdr:col>9</xdr:col>
      <xdr:colOff>679450</xdr:colOff>
      <xdr:row>13</xdr:row>
      <xdr:rowOff>6350</xdr:rowOff>
    </xdr:to>
    <xdr:pic>
      <xdr:nvPicPr>
        <xdr:cNvPr id="4" name="Picture 1220">
          <a:extLst>
            <a:ext uri="{FF2B5EF4-FFF2-40B4-BE49-F238E27FC236}">
              <a16:creationId xmlns:a16="http://schemas.microsoft.com/office/drawing/2014/main" id="{7321A40C-8061-4629-9194-81262D73B7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55200" y="1581150"/>
          <a:ext cx="1460500" cy="800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19050</xdr:colOff>
      <xdr:row>6</xdr:row>
      <xdr:rowOff>234950</xdr:rowOff>
    </xdr:from>
    <xdr:to>
      <xdr:col>10</xdr:col>
      <xdr:colOff>0</xdr:colOff>
      <xdr:row>8</xdr:row>
      <xdr:rowOff>57150</xdr:rowOff>
    </xdr:to>
    <xdr:pic>
      <xdr:nvPicPr>
        <xdr:cNvPr id="5" name="Picture 1221">
          <a:extLst>
            <a:ext uri="{FF2B5EF4-FFF2-40B4-BE49-F238E27FC236}">
              <a16:creationId xmlns:a16="http://schemas.microsoft.com/office/drawing/2014/main" id="{D6BF18C6-52BA-4715-A56F-4B15ED6D76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55200" y="1231900"/>
          <a:ext cx="1581150" cy="254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4</xdr:col>
      <xdr:colOff>317500</xdr:colOff>
      <xdr:row>20</xdr:row>
      <xdr:rowOff>279400</xdr:rowOff>
    </xdr:from>
    <xdr:to>
      <xdr:col>6</xdr:col>
      <xdr:colOff>0</xdr:colOff>
      <xdr:row>24</xdr:row>
      <xdr:rowOff>0</xdr:rowOff>
    </xdr:to>
    <xdr:pic>
      <xdr:nvPicPr>
        <xdr:cNvPr id="6" name="Picture 1223">
          <a:extLst>
            <a:ext uri="{FF2B5EF4-FFF2-40B4-BE49-F238E27FC236}">
              <a16:creationId xmlns:a16="http://schemas.microsoft.com/office/drawing/2014/main" id="{CB4C78E9-CEAF-4B9F-836A-DEE8C6BB4A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45200" y="3784600"/>
          <a:ext cx="1746250" cy="476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3</xdr:col>
      <xdr:colOff>57150</xdr:colOff>
      <xdr:row>9</xdr:row>
      <xdr:rowOff>95250</xdr:rowOff>
    </xdr:from>
    <xdr:to>
      <xdr:col>4</xdr:col>
      <xdr:colOff>88900</xdr:colOff>
      <xdr:row>12</xdr:row>
      <xdr:rowOff>0</xdr:rowOff>
    </xdr:to>
    <xdr:pic>
      <xdr:nvPicPr>
        <xdr:cNvPr id="7" name="Picture 1224">
          <a:extLst>
            <a:ext uri="{FF2B5EF4-FFF2-40B4-BE49-F238E27FC236}">
              <a16:creationId xmlns:a16="http://schemas.microsoft.com/office/drawing/2014/main" id="{F2188CA1-2163-414A-8F9E-A50D542997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4250" y="1720850"/>
          <a:ext cx="1022350" cy="457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7</xdr:col>
      <xdr:colOff>82550</xdr:colOff>
      <xdr:row>7</xdr:row>
      <xdr:rowOff>114300</xdr:rowOff>
    </xdr:from>
    <xdr:to>
      <xdr:col>8</xdr:col>
      <xdr:colOff>0</xdr:colOff>
      <xdr:row>9</xdr:row>
      <xdr:rowOff>177800</xdr:rowOff>
    </xdr:to>
    <xdr:pic>
      <xdr:nvPicPr>
        <xdr:cNvPr id="8" name="Picture 1225">
          <a:extLst>
            <a:ext uri="{FF2B5EF4-FFF2-40B4-BE49-F238E27FC236}">
              <a16:creationId xmlns:a16="http://schemas.microsoft.com/office/drawing/2014/main" id="{992E6486-8823-4719-BADD-2A8CBAF261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69350" y="1346200"/>
          <a:ext cx="1066800" cy="457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12</xdr:col>
      <xdr:colOff>0</xdr:colOff>
      <xdr:row>5</xdr:row>
      <xdr:rowOff>0</xdr:rowOff>
    </xdr:from>
    <xdr:to>
      <xdr:col>13</xdr:col>
      <xdr:colOff>82550</xdr:colOff>
      <xdr:row>6</xdr:row>
      <xdr:rowOff>95250</xdr:rowOff>
    </xdr:to>
    <xdr:pic>
      <xdr:nvPicPr>
        <xdr:cNvPr id="9" name="Picture 1226">
          <a:extLst>
            <a:ext uri="{FF2B5EF4-FFF2-40B4-BE49-F238E27FC236}">
              <a16:creationId xmlns:a16="http://schemas.microsoft.com/office/drawing/2014/main" id="{5F9DB371-2F6D-48AB-B50C-8D12A1B23E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15950" y="869950"/>
          <a:ext cx="939800" cy="260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13</xdr:col>
      <xdr:colOff>381000</xdr:colOff>
      <xdr:row>5</xdr:row>
      <xdr:rowOff>0</xdr:rowOff>
    </xdr:from>
    <xdr:to>
      <xdr:col>14</xdr:col>
      <xdr:colOff>177800</xdr:colOff>
      <xdr:row>7</xdr:row>
      <xdr:rowOff>44450</xdr:rowOff>
    </xdr:to>
    <xdr:pic>
      <xdr:nvPicPr>
        <xdr:cNvPr id="10" name="Picture 1227">
          <a:extLst>
            <a:ext uri="{FF2B5EF4-FFF2-40B4-BE49-F238E27FC236}">
              <a16:creationId xmlns:a16="http://schemas.microsoft.com/office/drawing/2014/main" id="{A2E76F3F-1F2E-4D8E-A397-01B77C9F0F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554200" y="869950"/>
          <a:ext cx="596900" cy="40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12</xdr:col>
      <xdr:colOff>19050</xdr:colOff>
      <xdr:row>6</xdr:row>
      <xdr:rowOff>139700</xdr:rowOff>
    </xdr:from>
    <xdr:to>
      <xdr:col>13</xdr:col>
      <xdr:colOff>298450</xdr:colOff>
      <xdr:row>8</xdr:row>
      <xdr:rowOff>133350</xdr:rowOff>
    </xdr:to>
    <xdr:pic>
      <xdr:nvPicPr>
        <xdr:cNvPr id="11" name="Picture 1228">
          <a:extLst>
            <a:ext uri="{FF2B5EF4-FFF2-40B4-BE49-F238E27FC236}">
              <a16:creationId xmlns:a16="http://schemas.microsoft.com/office/drawing/2014/main" id="{75E4CA42-E593-4B82-8053-ED709C7E73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1174750"/>
          <a:ext cx="1136650" cy="387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12</xdr:col>
      <xdr:colOff>0</xdr:colOff>
      <xdr:row>9</xdr:row>
      <xdr:rowOff>0</xdr:rowOff>
    </xdr:from>
    <xdr:to>
      <xdr:col>14</xdr:col>
      <xdr:colOff>0</xdr:colOff>
      <xdr:row>12</xdr:row>
      <xdr:rowOff>0</xdr:rowOff>
    </xdr:to>
    <xdr:pic>
      <xdr:nvPicPr>
        <xdr:cNvPr id="12" name="Picture 1229">
          <a:extLst>
            <a:ext uri="{FF2B5EF4-FFF2-40B4-BE49-F238E27FC236}">
              <a16:creationId xmlns:a16="http://schemas.microsoft.com/office/drawing/2014/main" id="{4A36C596-0CFD-4662-81DB-63DDEB658C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15950" y="1625600"/>
          <a:ext cx="1657350" cy="552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12</xdr:col>
      <xdr:colOff>0</xdr:colOff>
      <xdr:row>15</xdr:row>
      <xdr:rowOff>0</xdr:rowOff>
    </xdr:from>
    <xdr:to>
      <xdr:col>13</xdr:col>
      <xdr:colOff>711200</xdr:colOff>
      <xdr:row>19</xdr:row>
      <xdr:rowOff>0</xdr:rowOff>
    </xdr:to>
    <xdr:pic>
      <xdr:nvPicPr>
        <xdr:cNvPr id="13" name="Picture 1230">
          <a:extLst>
            <a:ext uri="{FF2B5EF4-FFF2-40B4-BE49-F238E27FC236}">
              <a16:creationId xmlns:a16="http://schemas.microsoft.com/office/drawing/2014/main" id="{10A11113-4A1C-429C-A483-D8A25BC7CA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15950" y="2768600"/>
          <a:ext cx="1568450" cy="654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18411825" cy="1122045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50CE6A-0C2E-4E4F-8EED-3A45252A4B7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57150</xdr:rowOff>
    </xdr:from>
    <xdr:to>
      <xdr:col>5</xdr:col>
      <xdr:colOff>558800</xdr:colOff>
      <xdr:row>26</xdr:row>
      <xdr:rowOff>184150</xdr:rowOff>
    </xdr:to>
    <xdr:pic>
      <xdr:nvPicPr>
        <xdr:cNvPr id="2268879" name="Picture 89" descr="prop eff">
          <a:extLst>
            <a:ext uri="{FF2B5EF4-FFF2-40B4-BE49-F238E27FC236}">
              <a16:creationId xmlns:a16="http://schemas.microsoft.com/office/drawing/2014/main" id="{4C272C86-2E3A-4F9D-BE6A-1A8B8D820E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12750"/>
          <a:ext cx="4711700" cy="391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1206500</xdr:colOff>
      <xdr:row>24</xdr:row>
      <xdr:rowOff>222250</xdr:rowOff>
    </xdr:from>
    <xdr:to>
      <xdr:col>1</xdr:col>
      <xdr:colOff>266700</xdr:colOff>
      <xdr:row>27</xdr:row>
      <xdr:rowOff>165100</xdr:rowOff>
    </xdr:to>
    <xdr:sp macro="" textlink="">
      <xdr:nvSpPr>
        <xdr:cNvPr id="2268880" name="Line 12">
          <a:extLst>
            <a:ext uri="{FF2B5EF4-FFF2-40B4-BE49-F238E27FC236}">
              <a16:creationId xmlns:a16="http://schemas.microsoft.com/office/drawing/2014/main" id="{A2C228F8-ED8D-446F-9245-1436532E7743}"/>
            </a:ext>
          </a:extLst>
        </xdr:cNvPr>
        <xdr:cNvSpPr>
          <a:spLocks noChangeShapeType="1"/>
        </xdr:cNvSpPr>
      </xdr:nvSpPr>
      <xdr:spPr bwMode="auto">
        <a:xfrm flipV="1">
          <a:off x="1016000" y="4006850"/>
          <a:ext cx="266700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501650</xdr:colOff>
      <xdr:row>32</xdr:row>
      <xdr:rowOff>279400</xdr:rowOff>
    </xdr:from>
    <xdr:to>
      <xdr:col>6</xdr:col>
      <xdr:colOff>120650</xdr:colOff>
      <xdr:row>35</xdr:row>
      <xdr:rowOff>171450</xdr:rowOff>
    </xdr:to>
    <xdr:sp macro="" textlink="">
      <xdr:nvSpPr>
        <xdr:cNvPr id="2268881" name="Line 12">
          <a:extLst>
            <a:ext uri="{FF2B5EF4-FFF2-40B4-BE49-F238E27FC236}">
              <a16:creationId xmlns:a16="http://schemas.microsoft.com/office/drawing/2014/main" id="{B085BC5D-12EE-4A60-95A3-E3EA64502725}"/>
            </a:ext>
          </a:extLst>
        </xdr:cNvPr>
        <xdr:cNvSpPr>
          <a:spLocks noChangeShapeType="1"/>
        </xdr:cNvSpPr>
      </xdr:nvSpPr>
      <xdr:spPr bwMode="auto">
        <a:xfrm flipV="1">
          <a:off x="4654550" y="5314950"/>
          <a:ext cx="260350" cy="4889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1263650</xdr:colOff>
      <xdr:row>33</xdr:row>
      <xdr:rowOff>95250</xdr:rowOff>
    </xdr:to>
    <xdr:sp macro="" textlink="">
      <xdr:nvSpPr>
        <xdr:cNvPr id="2268251" name="Object 91" hidden="1">
          <a:extLst>
            <a:ext uri="{63B3BB69-23CF-44E3-9099-C40C66FF867C}">
              <a14:compatExt xmlns:a14="http://schemas.microsoft.com/office/drawing/2010/main" spid="_x0000_s2268251"/>
            </a:ext>
            <a:ext uri="{FF2B5EF4-FFF2-40B4-BE49-F238E27FC236}">
              <a16:creationId xmlns:a16="http://schemas.microsoft.com/office/drawing/2014/main" id="{4B9BAC24-0678-4BAE-A4CB-3C51396640CB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6</xdr:col>
      <xdr:colOff>31750</xdr:colOff>
      <xdr:row>2</xdr:row>
      <xdr:rowOff>184150</xdr:rowOff>
    </xdr:from>
    <xdr:to>
      <xdr:col>16</xdr:col>
      <xdr:colOff>603250</xdr:colOff>
      <xdr:row>32</xdr:row>
      <xdr:rowOff>171450</xdr:rowOff>
    </xdr:to>
    <xdr:sp macro="" textlink="">
      <xdr:nvSpPr>
        <xdr:cNvPr id="2268254" name="Object 94" hidden="1">
          <a:extLst>
            <a:ext uri="{63B3BB69-23CF-44E3-9099-C40C66FF867C}">
              <a14:compatExt xmlns:a14="http://schemas.microsoft.com/office/drawing/2010/main" spid="_x0000_s2268254"/>
            </a:ext>
            <a:ext uri="{FF2B5EF4-FFF2-40B4-BE49-F238E27FC236}">
              <a16:creationId xmlns:a16="http://schemas.microsoft.com/office/drawing/2014/main" id="{332CEF2D-1E36-407C-98EE-B81735AB29B6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1263650</xdr:colOff>
      <xdr:row>33</xdr:row>
      <xdr:rowOff>95250</xdr:rowOff>
    </xdr:to>
    <xdr:pic>
      <xdr:nvPicPr>
        <xdr:cNvPr id="2" name="Picture 91">
          <a:extLst>
            <a:ext uri="{FF2B5EF4-FFF2-40B4-BE49-F238E27FC236}">
              <a16:creationId xmlns:a16="http://schemas.microsoft.com/office/drawing/2014/main" id="{B955E980-6639-4AAE-B37E-8B83AC4CED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959350"/>
          <a:ext cx="1016000" cy="450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6</xdr:col>
      <xdr:colOff>31750</xdr:colOff>
      <xdr:row>2</xdr:row>
      <xdr:rowOff>184150</xdr:rowOff>
    </xdr:from>
    <xdr:to>
      <xdr:col>16</xdr:col>
      <xdr:colOff>603250</xdr:colOff>
      <xdr:row>32</xdr:row>
      <xdr:rowOff>171450</xdr:rowOff>
    </xdr:to>
    <xdr:pic>
      <xdr:nvPicPr>
        <xdr:cNvPr id="3" name="Picture 94">
          <a:extLst>
            <a:ext uri="{FF2B5EF4-FFF2-40B4-BE49-F238E27FC236}">
              <a16:creationId xmlns:a16="http://schemas.microsoft.com/office/drawing/2014/main" id="{8817C4D3-4FC3-449F-9B07-7D574FFFFB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6000" y="514350"/>
          <a:ext cx="6985000" cy="4775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22</xdr:row>
      <xdr:rowOff>82550</xdr:rowOff>
    </xdr:from>
    <xdr:to>
      <xdr:col>3</xdr:col>
      <xdr:colOff>330200</xdr:colOff>
      <xdr:row>39</xdr:row>
      <xdr:rowOff>184150</xdr:rowOff>
    </xdr:to>
    <xdr:graphicFrame macro="">
      <xdr:nvGraphicFramePr>
        <xdr:cNvPr id="5859566" name="Chart 1">
          <a:extLst>
            <a:ext uri="{FF2B5EF4-FFF2-40B4-BE49-F238E27FC236}">
              <a16:creationId xmlns:a16="http://schemas.microsoft.com/office/drawing/2014/main" id="{7DA0720F-6504-4D1D-9AF7-48087F6B2A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1816100</xdr:colOff>
      <xdr:row>29</xdr:row>
      <xdr:rowOff>95250</xdr:rowOff>
    </xdr:from>
    <xdr:to>
      <xdr:col>3</xdr:col>
      <xdr:colOff>2336800</xdr:colOff>
      <xdr:row>30</xdr:row>
      <xdr:rowOff>133350</xdr:rowOff>
    </xdr:to>
    <xdr:sp macro="" textlink="">
      <xdr:nvSpPr>
        <xdr:cNvPr id="5859567" name="Line 12">
          <a:extLst>
            <a:ext uri="{FF2B5EF4-FFF2-40B4-BE49-F238E27FC236}">
              <a16:creationId xmlns:a16="http://schemas.microsoft.com/office/drawing/2014/main" id="{DD70CB71-5DF2-4C34-9EAA-52C9F4D513D1}"/>
            </a:ext>
          </a:extLst>
        </xdr:cNvPr>
        <xdr:cNvSpPr>
          <a:spLocks noChangeShapeType="1"/>
        </xdr:cNvSpPr>
      </xdr:nvSpPr>
      <xdr:spPr bwMode="auto">
        <a:xfrm flipV="1">
          <a:off x="6623050" y="4889500"/>
          <a:ext cx="292100" cy="196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1676400</xdr:colOff>
      <xdr:row>41</xdr:row>
      <xdr:rowOff>177800</xdr:rowOff>
    </xdr:from>
    <xdr:to>
      <xdr:col>5</xdr:col>
      <xdr:colOff>1752600</xdr:colOff>
      <xdr:row>43</xdr:row>
      <xdr:rowOff>6350</xdr:rowOff>
    </xdr:to>
    <xdr:sp macro="" textlink="">
      <xdr:nvSpPr>
        <xdr:cNvPr id="5859568" name="Line 12">
          <a:extLst>
            <a:ext uri="{FF2B5EF4-FFF2-40B4-BE49-F238E27FC236}">
              <a16:creationId xmlns:a16="http://schemas.microsoft.com/office/drawing/2014/main" id="{0087C4D0-8401-41F4-A74B-2849579D1B09}"/>
            </a:ext>
          </a:extLst>
        </xdr:cNvPr>
        <xdr:cNvSpPr>
          <a:spLocks noChangeShapeType="1"/>
        </xdr:cNvSpPr>
      </xdr:nvSpPr>
      <xdr:spPr bwMode="auto">
        <a:xfrm>
          <a:off x="10363200" y="6877050"/>
          <a:ext cx="0" cy="190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77</xdr:row>
      <xdr:rowOff>139700</xdr:rowOff>
    </xdr:from>
    <xdr:to>
      <xdr:col>7</xdr:col>
      <xdr:colOff>1250950</xdr:colOff>
      <xdr:row>79</xdr:row>
      <xdr:rowOff>63500</xdr:rowOff>
    </xdr:to>
    <xdr:pic>
      <xdr:nvPicPr>
        <xdr:cNvPr id="5859569" name="Picture 247">
          <a:extLst>
            <a:ext uri="{FF2B5EF4-FFF2-40B4-BE49-F238E27FC236}">
              <a16:creationId xmlns:a16="http://schemas.microsoft.com/office/drawing/2014/main" id="{FDA2D51D-218D-421B-BFAB-62EA0F7A83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10950" y="12782550"/>
          <a:ext cx="850900" cy="25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0</xdr:colOff>
      <xdr:row>102</xdr:row>
      <xdr:rowOff>139700</xdr:rowOff>
    </xdr:from>
    <xdr:to>
      <xdr:col>7</xdr:col>
      <xdr:colOff>1250950</xdr:colOff>
      <xdr:row>104</xdr:row>
      <xdr:rowOff>63500</xdr:rowOff>
    </xdr:to>
    <xdr:pic>
      <xdr:nvPicPr>
        <xdr:cNvPr id="5859570" name="Picture 247">
          <a:extLst>
            <a:ext uri="{FF2B5EF4-FFF2-40B4-BE49-F238E27FC236}">
              <a16:creationId xmlns:a16="http://schemas.microsoft.com/office/drawing/2014/main" id="{248CF4F9-8107-4E3B-9346-8488B995F5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10950" y="16776700"/>
          <a:ext cx="850900" cy="25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0</xdr:colOff>
      <xdr:row>125</xdr:row>
      <xdr:rowOff>158750</xdr:rowOff>
    </xdr:from>
    <xdr:to>
      <xdr:col>10</xdr:col>
      <xdr:colOff>1231900</xdr:colOff>
      <xdr:row>127</xdr:row>
      <xdr:rowOff>0</xdr:rowOff>
    </xdr:to>
    <xdr:pic>
      <xdr:nvPicPr>
        <xdr:cNvPr id="5859571" name="Picture 247">
          <a:extLst>
            <a:ext uri="{FF2B5EF4-FFF2-40B4-BE49-F238E27FC236}">
              <a16:creationId xmlns:a16="http://schemas.microsoft.com/office/drawing/2014/main" id="{4D6A48A2-D4E8-4BB5-BEA2-8D956A279C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98600" y="20472400"/>
          <a:ext cx="8953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0</xdr:colOff>
      <xdr:row>58</xdr:row>
      <xdr:rowOff>139700</xdr:rowOff>
    </xdr:from>
    <xdr:to>
      <xdr:col>4</xdr:col>
      <xdr:colOff>1244600</xdr:colOff>
      <xdr:row>60</xdr:row>
      <xdr:rowOff>63500</xdr:rowOff>
    </xdr:to>
    <xdr:pic>
      <xdr:nvPicPr>
        <xdr:cNvPr id="5859572" name="Picture 224">
          <a:extLst>
            <a:ext uri="{FF2B5EF4-FFF2-40B4-BE49-F238E27FC236}">
              <a16:creationId xmlns:a16="http://schemas.microsoft.com/office/drawing/2014/main" id="{7A52C3D9-721A-4AE5-B95E-A685F4FAA9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15150" y="9740900"/>
          <a:ext cx="1244600" cy="25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241300</xdr:colOff>
      <xdr:row>10</xdr:row>
      <xdr:rowOff>184150</xdr:rowOff>
    </xdr:from>
    <xdr:to>
      <xdr:col>1</xdr:col>
      <xdr:colOff>1549400</xdr:colOff>
      <xdr:row>13</xdr:row>
      <xdr:rowOff>107950</xdr:rowOff>
    </xdr:to>
    <xdr:sp macro="" textlink="">
      <xdr:nvSpPr>
        <xdr:cNvPr id="4229161" name="Object 41" hidden="1">
          <a:extLst>
            <a:ext uri="{63B3BB69-23CF-44E3-9099-C40C66FF867C}">
              <a14:compatExt xmlns:a14="http://schemas.microsoft.com/office/drawing/2010/main" spid="_x0000_s4229161"/>
            </a:ext>
            <a:ext uri="{FF2B5EF4-FFF2-40B4-BE49-F238E27FC236}">
              <a16:creationId xmlns:a16="http://schemas.microsoft.com/office/drawing/2014/main" id="{BD17E327-C66A-4B29-B64D-6B403CD05045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0</xdr:colOff>
      <xdr:row>5</xdr:row>
      <xdr:rowOff>0</xdr:rowOff>
    </xdr:from>
    <xdr:to>
      <xdr:col>3</xdr:col>
      <xdr:colOff>1619250</xdr:colOff>
      <xdr:row>6</xdr:row>
      <xdr:rowOff>139700</xdr:rowOff>
    </xdr:to>
    <xdr:sp macro="" textlink="">
      <xdr:nvSpPr>
        <xdr:cNvPr id="4229188" name="Object 68" hidden="1">
          <a:extLst>
            <a:ext uri="{63B3BB69-23CF-44E3-9099-C40C66FF867C}">
              <a14:compatExt xmlns:a14="http://schemas.microsoft.com/office/drawing/2010/main" spid="_x0000_s4229188"/>
            </a:ext>
            <a:ext uri="{FF2B5EF4-FFF2-40B4-BE49-F238E27FC236}">
              <a16:creationId xmlns:a16="http://schemas.microsoft.com/office/drawing/2014/main" id="{748DADA5-774B-4C30-970C-F01795A9BDFB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7</xdr:row>
      <xdr:rowOff>0</xdr:rowOff>
    </xdr:from>
    <xdr:to>
      <xdr:col>3</xdr:col>
      <xdr:colOff>1860550</xdr:colOff>
      <xdr:row>10</xdr:row>
      <xdr:rowOff>25400</xdr:rowOff>
    </xdr:to>
    <xdr:sp macro="" textlink="">
      <xdr:nvSpPr>
        <xdr:cNvPr id="4229189" name="Object 69" hidden="1">
          <a:extLst>
            <a:ext uri="{63B3BB69-23CF-44E3-9099-C40C66FF867C}">
              <a14:compatExt xmlns:a14="http://schemas.microsoft.com/office/drawing/2010/main" spid="_x0000_s4229189"/>
            </a:ext>
            <a:ext uri="{FF2B5EF4-FFF2-40B4-BE49-F238E27FC236}">
              <a16:creationId xmlns:a16="http://schemas.microsoft.com/office/drawing/2014/main" id="{737DE1EC-C844-4F99-A32A-FCC5A58426C3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1797050</xdr:colOff>
      <xdr:row>13</xdr:row>
      <xdr:rowOff>25400</xdr:rowOff>
    </xdr:to>
    <xdr:sp macro="" textlink="">
      <xdr:nvSpPr>
        <xdr:cNvPr id="4229190" name="Object 70" hidden="1">
          <a:extLst>
            <a:ext uri="{63B3BB69-23CF-44E3-9099-C40C66FF867C}">
              <a14:compatExt xmlns:a14="http://schemas.microsoft.com/office/drawing/2010/main" spid="_x0000_s4229190"/>
            </a:ext>
            <a:ext uri="{FF2B5EF4-FFF2-40B4-BE49-F238E27FC236}">
              <a16:creationId xmlns:a16="http://schemas.microsoft.com/office/drawing/2014/main" id="{0AD9E77C-C3C3-4437-B6D1-14ECF181DD6A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1250950</xdr:colOff>
      <xdr:row>15</xdr:row>
      <xdr:rowOff>114300</xdr:rowOff>
    </xdr:to>
    <xdr:sp macro="" textlink="">
      <xdr:nvSpPr>
        <xdr:cNvPr id="4229191" name="Object 71" hidden="1">
          <a:extLst>
            <a:ext uri="{63B3BB69-23CF-44E3-9099-C40C66FF867C}">
              <a14:compatExt xmlns:a14="http://schemas.microsoft.com/office/drawing/2010/main" spid="_x0000_s4229191"/>
            </a:ext>
            <a:ext uri="{FF2B5EF4-FFF2-40B4-BE49-F238E27FC236}">
              <a16:creationId xmlns:a16="http://schemas.microsoft.com/office/drawing/2014/main" id="{8E6ECAEC-C790-4095-8D05-179CBB09AF81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0</xdr:rowOff>
    </xdr:from>
    <xdr:to>
      <xdr:col>3</xdr:col>
      <xdr:colOff>2749550</xdr:colOff>
      <xdr:row>17</xdr:row>
      <xdr:rowOff>139700</xdr:rowOff>
    </xdr:to>
    <xdr:sp macro="" textlink="">
      <xdr:nvSpPr>
        <xdr:cNvPr id="4229192" name="Object 72" hidden="1">
          <a:extLst>
            <a:ext uri="{63B3BB69-23CF-44E3-9099-C40C66FF867C}">
              <a14:compatExt xmlns:a14="http://schemas.microsoft.com/office/drawing/2010/main" spid="_x0000_s4229192"/>
            </a:ext>
            <a:ext uri="{FF2B5EF4-FFF2-40B4-BE49-F238E27FC236}">
              <a16:creationId xmlns:a16="http://schemas.microsoft.com/office/drawing/2014/main" id="{98095575-ACDA-4736-8BAA-E93669FAAAD4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18</xdr:row>
      <xdr:rowOff>0</xdr:rowOff>
    </xdr:from>
    <xdr:to>
      <xdr:col>3</xdr:col>
      <xdr:colOff>1606550</xdr:colOff>
      <xdr:row>19</xdr:row>
      <xdr:rowOff>107950</xdr:rowOff>
    </xdr:to>
    <xdr:sp macro="" textlink="">
      <xdr:nvSpPr>
        <xdr:cNvPr id="4229193" name="Object 73" hidden="1">
          <a:extLst>
            <a:ext uri="{63B3BB69-23CF-44E3-9099-C40C66FF867C}">
              <a14:compatExt xmlns:a14="http://schemas.microsoft.com/office/drawing/2010/main" spid="_x0000_s4229193"/>
            </a:ext>
            <a:ext uri="{FF2B5EF4-FFF2-40B4-BE49-F238E27FC236}">
              <a16:creationId xmlns:a16="http://schemas.microsoft.com/office/drawing/2014/main" id="{1B68CEA5-21B7-4F62-AFBD-41434E577967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41</xdr:row>
      <xdr:rowOff>0</xdr:rowOff>
    </xdr:from>
    <xdr:to>
      <xdr:col>5</xdr:col>
      <xdr:colOff>1606550</xdr:colOff>
      <xdr:row>42</xdr:row>
      <xdr:rowOff>57150</xdr:rowOff>
    </xdr:to>
    <xdr:sp macro="" textlink="">
      <xdr:nvSpPr>
        <xdr:cNvPr id="4229273" name="Object 153" hidden="1">
          <a:extLst>
            <a:ext uri="{63B3BB69-23CF-44E3-9099-C40C66FF867C}">
              <a14:compatExt xmlns:a14="http://schemas.microsoft.com/office/drawing/2010/main" spid="_x0000_s4229273"/>
            </a:ext>
            <a:ext uri="{FF2B5EF4-FFF2-40B4-BE49-F238E27FC236}">
              <a16:creationId xmlns:a16="http://schemas.microsoft.com/office/drawing/2014/main" id="{DE9C039C-6A95-42C2-9222-86B4A56E011A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58</xdr:row>
      <xdr:rowOff>184150</xdr:rowOff>
    </xdr:from>
    <xdr:to>
      <xdr:col>7</xdr:col>
      <xdr:colOff>31750</xdr:colOff>
      <xdr:row>60</xdr:row>
      <xdr:rowOff>57150</xdr:rowOff>
    </xdr:to>
    <xdr:sp macro="" textlink="">
      <xdr:nvSpPr>
        <xdr:cNvPr id="4229358" name="Object 238" hidden="1">
          <a:extLst>
            <a:ext uri="{63B3BB69-23CF-44E3-9099-C40C66FF867C}">
              <a14:compatExt xmlns:a14="http://schemas.microsoft.com/office/drawing/2010/main" spid="_x0000_s4229358"/>
            </a:ext>
            <a:ext uri="{FF2B5EF4-FFF2-40B4-BE49-F238E27FC236}">
              <a16:creationId xmlns:a16="http://schemas.microsoft.com/office/drawing/2014/main" id="{E1F33CB9-4D54-45F6-A3AD-FE088B242175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77</xdr:row>
      <xdr:rowOff>184150</xdr:rowOff>
    </xdr:from>
    <xdr:to>
      <xdr:col>10</xdr:col>
      <xdr:colOff>31750</xdr:colOff>
      <xdr:row>79</xdr:row>
      <xdr:rowOff>57150</xdr:rowOff>
    </xdr:to>
    <xdr:sp macro="" textlink="">
      <xdr:nvSpPr>
        <xdr:cNvPr id="4229368" name="Object 248" hidden="1">
          <a:extLst>
            <a:ext uri="{63B3BB69-23CF-44E3-9099-C40C66FF867C}">
              <a14:compatExt xmlns:a14="http://schemas.microsoft.com/office/drawing/2010/main" spid="_x0000_s4229368"/>
            </a:ext>
            <a:ext uri="{FF2B5EF4-FFF2-40B4-BE49-F238E27FC236}">
              <a16:creationId xmlns:a16="http://schemas.microsoft.com/office/drawing/2014/main" id="{93A9E071-511F-43BB-8B99-CD9AA580B79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102</xdr:row>
      <xdr:rowOff>184150</xdr:rowOff>
    </xdr:from>
    <xdr:to>
      <xdr:col>10</xdr:col>
      <xdr:colOff>31750</xdr:colOff>
      <xdr:row>104</xdr:row>
      <xdr:rowOff>57150</xdr:rowOff>
    </xdr:to>
    <xdr:sp macro="" textlink="">
      <xdr:nvSpPr>
        <xdr:cNvPr id="4229394" name="Object 274" hidden="1">
          <a:extLst>
            <a:ext uri="{63B3BB69-23CF-44E3-9099-C40C66FF867C}">
              <a14:compatExt xmlns:a14="http://schemas.microsoft.com/office/drawing/2010/main" spid="_x0000_s4229394"/>
            </a:ext>
            <a:ext uri="{FF2B5EF4-FFF2-40B4-BE49-F238E27FC236}">
              <a16:creationId xmlns:a16="http://schemas.microsoft.com/office/drawing/2014/main" id="{8F2DED74-A94E-4A22-9236-1A0F70C965AF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12</xdr:col>
      <xdr:colOff>0</xdr:colOff>
      <xdr:row>125</xdr:row>
      <xdr:rowOff>184150</xdr:rowOff>
    </xdr:from>
    <xdr:to>
      <xdr:col>13</xdr:col>
      <xdr:colOff>31750</xdr:colOff>
      <xdr:row>127</xdr:row>
      <xdr:rowOff>0</xdr:rowOff>
    </xdr:to>
    <xdr:sp macro="" textlink="">
      <xdr:nvSpPr>
        <xdr:cNvPr id="4229410" name="Object 290" hidden="1">
          <a:extLst>
            <a:ext uri="{63B3BB69-23CF-44E3-9099-C40C66FF867C}">
              <a14:compatExt xmlns:a14="http://schemas.microsoft.com/office/drawing/2010/main" spid="_x0000_s4229410"/>
            </a:ext>
            <a:ext uri="{FF2B5EF4-FFF2-40B4-BE49-F238E27FC236}">
              <a16:creationId xmlns:a16="http://schemas.microsoft.com/office/drawing/2014/main" id="{0E96DE64-895F-4D50-A078-B14A6D0C834D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1282700</xdr:colOff>
      <xdr:row>159</xdr:row>
      <xdr:rowOff>184150</xdr:rowOff>
    </xdr:from>
    <xdr:to>
      <xdr:col>12</xdr:col>
      <xdr:colOff>228600</xdr:colOff>
      <xdr:row>161</xdr:row>
      <xdr:rowOff>57150</xdr:rowOff>
    </xdr:to>
    <xdr:sp macro="" textlink="">
      <xdr:nvSpPr>
        <xdr:cNvPr id="4229430" name="Object 310" hidden="1">
          <a:extLst>
            <a:ext uri="{63B3BB69-23CF-44E3-9099-C40C66FF867C}">
              <a14:compatExt xmlns:a14="http://schemas.microsoft.com/office/drawing/2010/main" spid="_x0000_s4229430"/>
            </a:ext>
            <a:ext uri="{FF2B5EF4-FFF2-40B4-BE49-F238E27FC236}">
              <a16:creationId xmlns:a16="http://schemas.microsoft.com/office/drawing/2014/main" id="{131734AA-B5EB-455E-9FCE-CE8B39BD4408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241300</xdr:colOff>
      <xdr:row>10</xdr:row>
      <xdr:rowOff>184150</xdr:rowOff>
    </xdr:from>
    <xdr:to>
      <xdr:col>1</xdr:col>
      <xdr:colOff>1549400</xdr:colOff>
      <xdr:row>13</xdr:row>
      <xdr:rowOff>107950</xdr:rowOff>
    </xdr:to>
    <xdr:pic>
      <xdr:nvPicPr>
        <xdr:cNvPr id="2" name="Picture 41">
          <a:extLst>
            <a:ext uri="{FF2B5EF4-FFF2-40B4-BE49-F238E27FC236}">
              <a16:creationId xmlns:a16="http://schemas.microsoft.com/office/drawing/2014/main" id="{97A436EB-BFFF-42D9-BBEB-BEF882E819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0" y="1879600"/>
          <a:ext cx="1028700" cy="425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5</xdr:row>
      <xdr:rowOff>0</xdr:rowOff>
    </xdr:from>
    <xdr:to>
      <xdr:col>3</xdr:col>
      <xdr:colOff>1619250</xdr:colOff>
      <xdr:row>6</xdr:row>
      <xdr:rowOff>139700</xdr:rowOff>
    </xdr:to>
    <xdr:pic>
      <xdr:nvPicPr>
        <xdr:cNvPr id="3" name="Picture 68">
          <a:extLst>
            <a:ext uri="{FF2B5EF4-FFF2-40B4-BE49-F238E27FC236}">
              <a16:creationId xmlns:a16="http://schemas.microsoft.com/office/drawing/2014/main" id="{6E00B8EE-6892-472C-8955-F55A6D6F89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6950" y="927100"/>
          <a:ext cx="1619250" cy="298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7</xdr:row>
      <xdr:rowOff>0</xdr:rowOff>
    </xdr:from>
    <xdr:to>
      <xdr:col>3</xdr:col>
      <xdr:colOff>1860550</xdr:colOff>
      <xdr:row>10</xdr:row>
      <xdr:rowOff>25400</xdr:rowOff>
    </xdr:to>
    <xdr:pic>
      <xdr:nvPicPr>
        <xdr:cNvPr id="4" name="Picture 69">
          <a:extLst>
            <a:ext uri="{FF2B5EF4-FFF2-40B4-BE49-F238E27FC236}">
              <a16:creationId xmlns:a16="http://schemas.microsoft.com/office/drawing/2014/main" id="{DAA4E502-7C5C-4A9F-9A99-425B61FD07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6950" y="1244600"/>
          <a:ext cx="1860550" cy="501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10</xdr:row>
      <xdr:rowOff>0</xdr:rowOff>
    </xdr:from>
    <xdr:to>
      <xdr:col>3</xdr:col>
      <xdr:colOff>1797050</xdr:colOff>
      <xdr:row>13</xdr:row>
      <xdr:rowOff>25400</xdr:rowOff>
    </xdr:to>
    <xdr:pic>
      <xdr:nvPicPr>
        <xdr:cNvPr id="5" name="Picture 70">
          <a:extLst>
            <a:ext uri="{FF2B5EF4-FFF2-40B4-BE49-F238E27FC236}">
              <a16:creationId xmlns:a16="http://schemas.microsoft.com/office/drawing/2014/main" id="{ED53D790-F457-45E4-AE18-A820DE1627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6950" y="1720850"/>
          <a:ext cx="1797050" cy="501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14</xdr:row>
      <xdr:rowOff>0</xdr:rowOff>
    </xdr:from>
    <xdr:to>
      <xdr:col>3</xdr:col>
      <xdr:colOff>1250950</xdr:colOff>
      <xdr:row>15</xdr:row>
      <xdr:rowOff>114300</xdr:rowOff>
    </xdr:to>
    <xdr:pic>
      <xdr:nvPicPr>
        <xdr:cNvPr id="6" name="Picture 71">
          <a:extLst>
            <a:ext uri="{FF2B5EF4-FFF2-40B4-BE49-F238E27FC236}">
              <a16:creationId xmlns:a16="http://schemas.microsoft.com/office/drawing/2014/main" id="{0F111C78-C849-42C9-B3A6-4402713B3B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6950" y="2362200"/>
          <a:ext cx="1250950" cy="273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16</xdr:row>
      <xdr:rowOff>0</xdr:rowOff>
    </xdr:from>
    <xdr:to>
      <xdr:col>3</xdr:col>
      <xdr:colOff>2749550</xdr:colOff>
      <xdr:row>17</xdr:row>
      <xdr:rowOff>139700</xdr:rowOff>
    </xdr:to>
    <xdr:pic>
      <xdr:nvPicPr>
        <xdr:cNvPr id="7" name="Picture 72">
          <a:extLst>
            <a:ext uri="{FF2B5EF4-FFF2-40B4-BE49-F238E27FC236}">
              <a16:creationId xmlns:a16="http://schemas.microsoft.com/office/drawing/2014/main" id="{FAF3D5FA-2444-436D-84D3-0C5C175E90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6950" y="2679700"/>
          <a:ext cx="2108200" cy="298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18</xdr:row>
      <xdr:rowOff>0</xdr:rowOff>
    </xdr:from>
    <xdr:to>
      <xdr:col>3</xdr:col>
      <xdr:colOff>1606550</xdr:colOff>
      <xdr:row>19</xdr:row>
      <xdr:rowOff>107950</xdr:rowOff>
    </xdr:to>
    <xdr:pic>
      <xdr:nvPicPr>
        <xdr:cNvPr id="8" name="Picture 73">
          <a:extLst>
            <a:ext uri="{FF2B5EF4-FFF2-40B4-BE49-F238E27FC236}">
              <a16:creationId xmlns:a16="http://schemas.microsoft.com/office/drawing/2014/main" id="{94542D2D-8A04-4E7A-AAFB-DF4904FB0B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6950" y="3003550"/>
          <a:ext cx="1606550" cy="26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41</xdr:row>
      <xdr:rowOff>0</xdr:rowOff>
    </xdr:from>
    <xdr:to>
      <xdr:col>5</xdr:col>
      <xdr:colOff>1606550</xdr:colOff>
      <xdr:row>42</xdr:row>
      <xdr:rowOff>57150</xdr:rowOff>
    </xdr:to>
    <xdr:pic>
      <xdr:nvPicPr>
        <xdr:cNvPr id="9" name="Picture 153">
          <a:extLst>
            <a:ext uri="{FF2B5EF4-FFF2-40B4-BE49-F238E27FC236}">
              <a16:creationId xmlns:a16="http://schemas.microsoft.com/office/drawing/2014/main" id="{2CFEC129-2490-4F89-8765-5995B4226D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0" y="6699250"/>
          <a:ext cx="1504950" cy="254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0</xdr:colOff>
      <xdr:row>58</xdr:row>
      <xdr:rowOff>184150</xdr:rowOff>
    </xdr:from>
    <xdr:to>
      <xdr:col>7</xdr:col>
      <xdr:colOff>31750</xdr:colOff>
      <xdr:row>60</xdr:row>
      <xdr:rowOff>57150</xdr:rowOff>
    </xdr:to>
    <xdr:pic>
      <xdr:nvPicPr>
        <xdr:cNvPr id="10" name="Picture 238">
          <a:extLst>
            <a:ext uri="{FF2B5EF4-FFF2-40B4-BE49-F238E27FC236}">
              <a16:creationId xmlns:a16="http://schemas.microsoft.com/office/drawing/2014/main" id="{B504C1A1-610F-459E-A847-EC10BB2060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63200" y="9759950"/>
          <a:ext cx="10795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0</xdr:colOff>
      <xdr:row>77</xdr:row>
      <xdr:rowOff>184150</xdr:rowOff>
    </xdr:from>
    <xdr:to>
      <xdr:col>10</xdr:col>
      <xdr:colOff>31750</xdr:colOff>
      <xdr:row>79</xdr:row>
      <xdr:rowOff>57150</xdr:rowOff>
    </xdr:to>
    <xdr:pic>
      <xdr:nvPicPr>
        <xdr:cNvPr id="11" name="Picture 248">
          <a:extLst>
            <a:ext uri="{FF2B5EF4-FFF2-40B4-BE49-F238E27FC236}">
              <a16:creationId xmlns:a16="http://schemas.microsoft.com/office/drawing/2014/main" id="{7B1E03C6-C36F-42B5-9249-2F69A4F72A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88950" y="12801600"/>
          <a:ext cx="10414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0</xdr:colOff>
      <xdr:row>102</xdr:row>
      <xdr:rowOff>184150</xdr:rowOff>
    </xdr:from>
    <xdr:to>
      <xdr:col>10</xdr:col>
      <xdr:colOff>31750</xdr:colOff>
      <xdr:row>104</xdr:row>
      <xdr:rowOff>57150</xdr:rowOff>
    </xdr:to>
    <xdr:pic>
      <xdr:nvPicPr>
        <xdr:cNvPr id="12" name="Picture 274">
          <a:extLst>
            <a:ext uri="{FF2B5EF4-FFF2-40B4-BE49-F238E27FC236}">
              <a16:creationId xmlns:a16="http://schemas.microsoft.com/office/drawing/2014/main" id="{E4901616-4FD5-424A-A4BA-7DCBC3D0A5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88950" y="16795750"/>
          <a:ext cx="10414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0</xdr:colOff>
      <xdr:row>125</xdr:row>
      <xdr:rowOff>184150</xdr:rowOff>
    </xdr:from>
    <xdr:to>
      <xdr:col>13</xdr:col>
      <xdr:colOff>31750</xdr:colOff>
      <xdr:row>127</xdr:row>
      <xdr:rowOff>0</xdr:rowOff>
    </xdr:to>
    <xdr:pic>
      <xdr:nvPicPr>
        <xdr:cNvPr id="13" name="Picture 290">
          <a:extLst>
            <a:ext uri="{FF2B5EF4-FFF2-40B4-BE49-F238E27FC236}">
              <a16:creationId xmlns:a16="http://schemas.microsoft.com/office/drawing/2014/main" id="{368D3ABC-3B69-4C4E-BC7C-6CF4DFB9A8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63900" y="20472400"/>
          <a:ext cx="869950" cy="171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1282700</xdr:colOff>
      <xdr:row>159</xdr:row>
      <xdr:rowOff>184150</xdr:rowOff>
    </xdr:from>
    <xdr:to>
      <xdr:col>12</xdr:col>
      <xdr:colOff>228600</xdr:colOff>
      <xdr:row>161</xdr:row>
      <xdr:rowOff>57150</xdr:rowOff>
    </xdr:to>
    <xdr:pic>
      <xdr:nvPicPr>
        <xdr:cNvPr id="14" name="Picture 310">
          <a:extLst>
            <a:ext uri="{FF2B5EF4-FFF2-40B4-BE49-F238E27FC236}">
              <a16:creationId xmlns:a16="http://schemas.microsoft.com/office/drawing/2014/main" id="{5C770B5E-2ED1-4AF5-BE5B-46BA5D01EE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93950" y="25895300"/>
          <a:ext cx="109855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2</xdr:row>
      <xdr:rowOff>180975</xdr:rowOff>
    </xdr:from>
    <xdr:to>
      <xdr:col>3</xdr:col>
      <xdr:colOff>57150</xdr:colOff>
      <xdr:row>7</xdr:row>
      <xdr:rowOff>38100</xdr:rowOff>
    </xdr:to>
    <xdr:pic>
      <xdr:nvPicPr>
        <xdr:cNvPr id="2" name="Picture 5" descr="gplv3-127x51.png">
          <a:extLst>
            <a:ext uri="{FF2B5EF4-FFF2-40B4-BE49-F238E27FC236}">
              <a16:creationId xmlns:a16="http://schemas.microsoft.com/office/drawing/2014/main" id="{3841347C-F15C-4A4D-8749-066648CF96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49275"/>
          <a:ext cx="2266950" cy="777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br_tb/Downloads/Wing-MDO-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SR_Turbofa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hawhamburgde-my.sharepoint.com/Eigene%20Dateien/HAW/Arbeiten/Nita/Lover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ymbol"/>
      <sheetName val="Calculations"/>
      <sheetName val="Iteration of the wing mass"/>
      <sheetName val="Results Graphs"/>
      <sheetName val="Drag Optimization"/>
      <sheetName val="(c)"/>
    </sheetNames>
    <sheetDataSet>
      <sheetData sheetId="0" refreshError="1"/>
      <sheetData sheetId="1">
        <row r="6">
          <cell r="C6">
            <v>288.14999999999998</v>
          </cell>
        </row>
        <row r="7">
          <cell r="C7">
            <v>1.2250000000000001</v>
          </cell>
        </row>
        <row r="8">
          <cell r="C8">
            <v>9.81</v>
          </cell>
        </row>
        <row r="12">
          <cell r="C12" t="str">
            <v>Torenbeek method</v>
          </cell>
        </row>
        <row r="13">
          <cell r="C13" t="str">
            <v>Given: b, calculated: A</v>
          </cell>
        </row>
        <row r="14">
          <cell r="C14">
            <v>34.1</v>
          </cell>
        </row>
        <row r="15">
          <cell r="C15">
            <v>9.5</v>
          </cell>
        </row>
        <row r="16">
          <cell r="C16">
            <v>0.12</v>
          </cell>
        </row>
        <row r="17">
          <cell r="C17">
            <v>0.45</v>
          </cell>
        </row>
        <row r="18">
          <cell r="C18">
            <v>1.3</v>
          </cell>
        </row>
        <row r="19">
          <cell r="C19">
            <v>0.21299999999999999</v>
          </cell>
        </row>
        <row r="20">
          <cell r="C20">
            <v>25</v>
          </cell>
        </row>
        <row r="21">
          <cell r="C21">
            <v>4.04</v>
          </cell>
        </row>
        <row r="22">
          <cell r="C22">
            <v>73500</v>
          </cell>
        </row>
        <row r="23">
          <cell r="C23">
            <v>41244</v>
          </cell>
        </row>
        <row r="24">
          <cell r="C24">
            <v>60500</v>
          </cell>
        </row>
        <row r="25">
          <cell r="C25">
            <v>600.49019607843138</v>
          </cell>
        </row>
        <row r="26">
          <cell r="C26">
            <v>5902</v>
          </cell>
        </row>
        <row r="27">
          <cell r="C27">
            <v>0.6</v>
          </cell>
        </row>
        <row r="28">
          <cell r="C28">
            <v>8.8500000000000004E-4</v>
          </cell>
        </row>
        <row r="29">
          <cell r="C29">
            <v>3.734</v>
          </cell>
        </row>
        <row r="30">
          <cell r="C30">
            <v>0.76</v>
          </cell>
        </row>
        <row r="32">
          <cell r="C32">
            <v>11887.2</v>
          </cell>
        </row>
        <row r="33">
          <cell r="C33">
            <v>0.2</v>
          </cell>
        </row>
        <row r="34">
          <cell r="C34">
            <v>1</v>
          </cell>
        </row>
        <row r="58">
          <cell r="C58">
            <v>216.65</v>
          </cell>
        </row>
        <row r="59">
          <cell r="C59">
            <v>1.4216130796413355E-5</v>
          </cell>
        </row>
        <row r="60">
          <cell r="C60">
            <v>0.31639084830178477</v>
          </cell>
        </row>
        <row r="61">
          <cell r="C61">
            <v>4.4932180790683005E-5</v>
          </cell>
        </row>
        <row r="62">
          <cell r="C62">
            <v>295.06955674128091</v>
          </cell>
        </row>
        <row r="64">
          <cell r="C64">
            <v>9.5000816993464081</v>
          </cell>
        </row>
        <row r="65">
          <cell r="C65">
            <v>34.099853372118773</v>
          </cell>
        </row>
        <row r="66">
          <cell r="C66">
            <v>0.11162790697674418</v>
          </cell>
        </row>
        <row r="67">
          <cell r="C67">
            <v>0.14511627906976746</v>
          </cell>
        </row>
        <row r="71">
          <cell r="C71">
            <v>122.39999999999999</v>
          </cell>
        </row>
        <row r="72">
          <cell r="C72">
            <v>9.5000816993464081</v>
          </cell>
        </row>
        <row r="73">
          <cell r="C73">
            <v>34.1</v>
          </cell>
        </row>
        <row r="74">
          <cell r="C74">
            <v>21.70319969388536</v>
          </cell>
        </row>
        <row r="75">
          <cell r="C75">
            <v>5.9182898849946683</v>
          </cell>
        </row>
        <row r="78">
          <cell r="C78">
            <v>36.701713981588306</v>
          </cell>
        </row>
        <row r="79">
          <cell r="C79">
            <v>0.85884020656666826</v>
          </cell>
        </row>
        <row r="80">
          <cell r="C80">
            <v>42.734042608820623</v>
          </cell>
        </row>
        <row r="82">
          <cell r="C82">
            <v>19256</v>
          </cell>
        </row>
        <row r="83">
          <cell r="C83">
            <v>2.5</v>
          </cell>
        </row>
        <row r="87">
          <cell r="C87">
            <v>1.905</v>
          </cell>
        </row>
        <row r="95">
          <cell r="C95">
            <v>0.13674418604651165</v>
          </cell>
        </row>
        <row r="97">
          <cell r="C97">
            <v>77007.687111948995</v>
          </cell>
        </row>
        <row r="98">
          <cell r="C98">
            <v>128.24137282316403</v>
          </cell>
        </row>
        <row r="99">
          <cell r="C99">
            <v>34.1</v>
          </cell>
        </row>
        <row r="100">
          <cell r="C100">
            <v>9.0673545861321578</v>
          </cell>
        </row>
        <row r="102">
          <cell r="C102">
            <v>6.2007321864147213</v>
          </cell>
        </row>
        <row r="105">
          <cell r="C105">
            <v>6817.8183244296333</v>
          </cell>
        </row>
        <row r="107">
          <cell r="C107">
            <v>1.4650122260112981</v>
          </cell>
        </row>
        <row r="108">
          <cell r="C108">
            <v>113.04796677607951</v>
          </cell>
        </row>
        <row r="109">
          <cell r="C109">
            <v>0.76923076923076916</v>
          </cell>
        </row>
        <row r="110">
          <cell r="C110">
            <v>233.9660954984636</v>
          </cell>
        </row>
        <row r="111">
          <cell r="C111">
            <v>128.24137282316403</v>
          </cell>
        </row>
        <row r="112">
          <cell r="C112">
            <v>224.25286312337349</v>
          </cell>
        </row>
        <row r="113">
          <cell r="C113">
            <v>4.2884359223338864</v>
          </cell>
        </row>
        <row r="114">
          <cell r="C114">
            <v>21403235.208737358</v>
          </cell>
        </row>
        <row r="115">
          <cell r="C115">
            <v>2.8705053653505999E-4</v>
          </cell>
        </row>
        <row r="116">
          <cell r="C116">
            <v>2.5317213670648544E-3</v>
          </cell>
        </row>
        <row r="117">
          <cell r="C117">
            <v>2.0827872009588958E-3</v>
          </cell>
        </row>
        <row r="118">
          <cell r="C118">
            <v>5.5668679316327879E-3</v>
          </cell>
        </row>
        <row r="120">
          <cell r="C120">
            <v>0.76</v>
          </cell>
        </row>
        <row r="121">
          <cell r="C121" t="str">
            <v/>
          </cell>
        </row>
        <row r="122">
          <cell r="C122">
            <v>0.6</v>
          </cell>
        </row>
        <row r="123">
          <cell r="C123">
            <v>1.0164943439628076E-3</v>
          </cell>
        </row>
        <row r="125">
          <cell r="C125">
            <v>10.82</v>
          </cell>
        </row>
        <row r="126">
          <cell r="C126">
            <v>1</v>
          </cell>
        </row>
        <row r="127">
          <cell r="C127">
            <v>0.3</v>
          </cell>
        </row>
        <row r="128">
          <cell r="C128">
            <v>0.84</v>
          </cell>
        </row>
        <row r="129">
          <cell r="C129">
            <v>-1.5200000000000001E-3</v>
          </cell>
        </row>
        <row r="130">
          <cell r="C130">
            <v>0.84496442987242815</v>
          </cell>
        </row>
        <row r="131">
          <cell r="C131">
            <v>0.97192731400658749</v>
          </cell>
        </row>
        <row r="132">
          <cell r="C132">
            <v>-0.18077746799544042</v>
          </cell>
        </row>
        <row r="133">
          <cell r="C133">
            <v>1.9248649171825644E-3</v>
          </cell>
        </row>
        <row r="134">
          <cell r="C134">
            <v>0.98284596407759672</v>
          </cell>
        </row>
        <row r="135">
          <cell r="C135">
            <v>1.0468410734751756</v>
          </cell>
        </row>
        <row r="136">
          <cell r="C136">
            <v>2.1154098140204595E-3</v>
          </cell>
        </row>
        <row r="137">
          <cell r="C137">
            <v>0.76322287871741323</v>
          </cell>
        </row>
        <row r="138">
          <cell r="C138">
            <v>0.74046582351538914</v>
          </cell>
        </row>
        <row r="139">
          <cell r="C139">
            <v>2.5219018712052604E-2</v>
          </cell>
        </row>
        <row r="141">
          <cell r="C141">
            <v>3.1802380987648197E-2</v>
          </cell>
        </row>
        <row r="143">
          <cell r="C143">
            <v>32445.741584940992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) Dimensionierung"/>
      <sheetName val="2.) max. Gleitzahl im Reiseflug"/>
      <sheetName val="3.) Dimensionierung"/>
      <sheetName val="3.1.) Systemmassen"/>
      <sheetName val="Entwurfsdiagramm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  <sheetName val="Tabelle1"/>
      <sheetName val="(c)"/>
    </sheetNames>
    <sheetDataSet>
      <sheetData sheetId="0"/>
      <sheetData sheetId="1"/>
      <sheetData sheetId="2">
        <row r="6">
          <cell r="C6">
            <v>5.7</v>
          </cell>
        </row>
        <row r="7">
          <cell r="C7">
            <v>18</v>
          </cell>
        </row>
        <row r="8">
          <cell r="G8">
            <v>0.6828927473837163</v>
          </cell>
        </row>
        <row r="9">
          <cell r="G9">
            <v>17.992022799061807</v>
          </cell>
        </row>
        <row r="15">
          <cell r="C15">
            <v>1.4</v>
          </cell>
        </row>
        <row r="17">
          <cell r="C17">
            <v>101325</v>
          </cell>
        </row>
        <row r="51">
          <cell r="C51">
            <v>295.11665765422322</v>
          </cell>
        </row>
        <row r="52">
          <cell r="C52">
            <v>230.1909929702941</v>
          </cell>
        </row>
      </sheetData>
      <sheetData sheetId="3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elle1"/>
      <sheetName val="Tabelle2"/>
      <sheetName val="Tabelle3"/>
    </sheetNames>
    <sheetDataSet>
      <sheetData sheetId="0">
        <row r="17">
          <cell r="B17">
            <v>35245</v>
          </cell>
        </row>
        <row r="18">
          <cell r="B18">
            <v>21781</v>
          </cell>
        </row>
        <row r="19">
          <cell r="B19">
            <v>3380</v>
          </cell>
        </row>
        <row r="23">
          <cell r="B23">
            <v>1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paper.profscholz.de/" TargetMode="External"/><Relationship Id="rId2" Type="http://schemas.openxmlformats.org/officeDocument/2006/relationships/hyperlink" Target="http://aero.profscholz.de/" TargetMode="External"/><Relationship Id="rId1" Type="http://schemas.openxmlformats.org/officeDocument/2006/relationships/hyperlink" Target="http://www.profscholz.de/" TargetMode="External"/><Relationship Id="rId4" Type="http://schemas.openxmlformats.org/officeDocument/2006/relationships/hyperlink" Target="http://bibliothek.profscholz.de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://bibliothek.profscholz.de/" TargetMode="Externa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hyperlink" Target="https://doi.org/10.7910/DVN/9OVFDO" TargetMode="External"/><Relationship Id="rId1" Type="http://schemas.openxmlformats.org/officeDocument/2006/relationships/hyperlink" Target="https://www.gnu.org/licenses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4"/>
  <sheetViews>
    <sheetView tabSelected="1" workbookViewId="0">
      <selection activeCell="A2" sqref="A2"/>
    </sheetView>
  </sheetViews>
  <sheetFormatPr baseColWidth="10" defaultColWidth="9.19921875" defaultRowHeight="12.75" x14ac:dyDescent="0.35"/>
  <cols>
    <col min="1" max="2" width="9.19921875" customWidth="1"/>
    <col min="3" max="3" width="15.796875" customWidth="1"/>
  </cols>
  <sheetData>
    <row r="1" spans="1:7" ht="17.649999999999999" x14ac:dyDescent="0.5">
      <c r="A1" s="288" t="s">
        <v>643</v>
      </c>
    </row>
    <row r="3" spans="1:7" ht="13.15" thickBot="1" x14ac:dyDescent="0.4"/>
    <row r="4" spans="1:7" x14ac:dyDescent="0.35">
      <c r="A4" s="58" t="s">
        <v>541</v>
      </c>
      <c r="B4" s="67"/>
      <c r="C4" s="60"/>
      <c r="E4" s="237" t="s">
        <v>541</v>
      </c>
      <c r="F4" s="67"/>
      <c r="G4" s="60"/>
    </row>
    <row r="5" spans="1:7" ht="13.15" x14ac:dyDescent="0.4">
      <c r="A5" s="68" t="s">
        <v>548</v>
      </c>
      <c r="C5" s="62"/>
      <c r="E5" s="68" t="s">
        <v>543</v>
      </c>
      <c r="G5" s="62"/>
    </row>
    <row r="6" spans="1:7" ht="13.15" x14ac:dyDescent="0.4">
      <c r="A6" s="68" t="s">
        <v>542</v>
      </c>
      <c r="C6" s="62"/>
      <c r="E6" s="68" t="s">
        <v>542</v>
      </c>
      <c r="G6" s="62"/>
    </row>
    <row r="7" spans="1:7" ht="13.15" thickBot="1" x14ac:dyDescent="0.4">
      <c r="A7" s="287" t="s">
        <v>646</v>
      </c>
      <c r="B7" s="64"/>
      <c r="C7" s="65"/>
      <c r="E7" s="287" t="s">
        <v>547</v>
      </c>
      <c r="F7" s="64"/>
      <c r="G7" s="65"/>
    </row>
    <row r="10" spans="1:7" ht="15" x14ac:dyDescent="0.4">
      <c r="A10" s="122" t="s">
        <v>642</v>
      </c>
    </row>
    <row r="11" spans="1:7" ht="15" x14ac:dyDescent="0.4">
      <c r="A11" s="122" t="s">
        <v>647</v>
      </c>
    </row>
    <row r="12" spans="1:7" ht="15" x14ac:dyDescent="0.4">
      <c r="A12" s="122"/>
    </row>
    <row r="13" spans="1:7" ht="15" x14ac:dyDescent="0.4">
      <c r="A13" s="390" t="s">
        <v>644</v>
      </c>
    </row>
    <row r="14" spans="1:7" ht="15" x14ac:dyDescent="0.4">
      <c r="A14" s="122"/>
    </row>
    <row r="15" spans="1:7" ht="15" x14ac:dyDescent="0.4">
      <c r="A15" s="122" t="s">
        <v>641</v>
      </c>
    </row>
    <row r="16" spans="1:7" ht="15" x14ac:dyDescent="0.4">
      <c r="A16" s="122" t="s">
        <v>645</v>
      </c>
    </row>
    <row r="17" spans="1:4" ht="15" x14ac:dyDescent="0.4">
      <c r="A17" s="122"/>
    </row>
    <row r="18" spans="1:4" ht="15" x14ac:dyDescent="0.4">
      <c r="A18" s="122" t="s">
        <v>640</v>
      </c>
    </row>
    <row r="19" spans="1:4" ht="15" x14ac:dyDescent="0.4">
      <c r="A19" s="122"/>
    </row>
    <row r="20" spans="1:4" ht="15" x14ac:dyDescent="0.4">
      <c r="A20" s="122" t="s">
        <v>544</v>
      </c>
    </row>
    <row r="22" spans="1:4" ht="13.15" x14ac:dyDescent="0.4">
      <c r="A22" s="289" t="s">
        <v>573</v>
      </c>
      <c r="D22" s="12" t="s">
        <v>545</v>
      </c>
    </row>
    <row r="24" spans="1:4" ht="13.15" x14ac:dyDescent="0.4">
      <c r="A24" s="301" t="s">
        <v>574</v>
      </c>
      <c r="D24" s="12" t="s">
        <v>546</v>
      </c>
    </row>
  </sheetData>
  <phoneticPr fontId="0" type="noConversion"/>
  <hyperlinks>
    <hyperlink ref="A7" r:id="rId1" xr:uid="{00000000-0004-0000-0000-000000000000}"/>
    <hyperlink ref="E7" r:id="rId2" display="http://aero.profscholz.de/" xr:uid="{00000000-0004-0000-0000-000001000000}"/>
    <hyperlink ref="A22" r:id="rId3" xr:uid="{00000000-0004-0000-0000-000002000000}"/>
    <hyperlink ref="A24" r:id="rId4" xr:uid="{00000000-0004-0000-0000-000003000000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>
      <selection activeCell="C4" sqref="C4"/>
    </sheetView>
  </sheetViews>
  <sheetFormatPr baseColWidth="10" defaultColWidth="11.46484375" defaultRowHeight="12.75" x14ac:dyDescent="0.3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baseColWidth="10" defaultColWidth="11.46484375" defaultRowHeight="12.75" x14ac:dyDescent="0.3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/>
  </sheetViews>
  <sheetFormatPr baseColWidth="10" defaultColWidth="11.46484375" defaultRowHeight="12.75" x14ac:dyDescent="0.3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baseColWidth="10" defaultColWidth="11.46484375" defaultRowHeight="12.75" x14ac:dyDescent="0.3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"/>
  <sheetViews>
    <sheetView workbookViewId="0"/>
  </sheetViews>
  <sheetFormatPr baseColWidth="10" defaultColWidth="11.46484375" defaultRowHeight="12.75" x14ac:dyDescent="0.3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baseColWidth="10" defaultColWidth="11.46484375" defaultRowHeight="12.75" x14ac:dyDescent="0.3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"/>
  <sheetViews>
    <sheetView workbookViewId="0"/>
  </sheetViews>
  <sheetFormatPr baseColWidth="10" defaultColWidth="11.46484375" defaultRowHeight="12.75" x14ac:dyDescent="0.3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workbookViewId="0"/>
  </sheetViews>
  <sheetFormatPr baseColWidth="10" defaultColWidth="11.46484375" defaultRowHeight="12.75" x14ac:dyDescent="0.3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"/>
  <sheetViews>
    <sheetView workbookViewId="0"/>
  </sheetViews>
  <sheetFormatPr baseColWidth="10" defaultColWidth="11.46484375" defaultRowHeight="12.75" x14ac:dyDescent="0.3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"/>
  <sheetViews>
    <sheetView workbookViewId="0"/>
  </sheetViews>
  <sheetFormatPr baseColWidth="10" defaultColWidth="11.46484375" defaultRowHeight="12.75" x14ac:dyDescent="0.3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7"/>
  <sheetViews>
    <sheetView workbookViewId="0">
      <selection activeCell="A2" sqref="A2"/>
    </sheetView>
  </sheetViews>
  <sheetFormatPr baseColWidth="10" defaultColWidth="9.19921875" defaultRowHeight="12.75" x14ac:dyDescent="0.35"/>
  <cols>
    <col min="1" max="16384" width="9.19921875" style="12"/>
  </cols>
  <sheetData>
    <row r="1" spans="1:4" ht="18" x14ac:dyDescent="0.6">
      <c r="A1" s="122" t="s">
        <v>570</v>
      </c>
      <c r="B1" s="122"/>
      <c r="C1" s="122"/>
      <c r="D1" s="122"/>
    </row>
    <row r="7" spans="1:4" ht="15" x14ac:dyDescent="0.5">
      <c r="A7" s="12" t="s">
        <v>569</v>
      </c>
    </row>
    <row r="11" spans="1:4" ht="15" x14ac:dyDescent="0.5">
      <c r="A11" s="12" t="s">
        <v>361</v>
      </c>
    </row>
    <row r="15" spans="1:4" ht="15.4" x14ac:dyDescent="0.5">
      <c r="A15" s="112" t="s">
        <v>362</v>
      </c>
      <c r="B15" s="81">
        <v>1.2250000000000001</v>
      </c>
      <c r="C15" s="12" t="s">
        <v>363</v>
      </c>
    </row>
    <row r="16" spans="1:4" ht="14.25" x14ac:dyDescent="0.35">
      <c r="A16" s="12" t="s">
        <v>11</v>
      </c>
      <c r="B16" s="95">
        <v>9.81</v>
      </c>
      <c r="C16" s="12" t="s">
        <v>364</v>
      </c>
    </row>
    <row r="17" spans="1:2" x14ac:dyDescent="0.35">
      <c r="A17" s="12" t="s">
        <v>572</v>
      </c>
      <c r="B17" s="12">
        <f>ρ0*(1/2/1.3^2/g)</f>
        <v>3.6944550000301585E-2</v>
      </c>
    </row>
    <row r="19" spans="1:2" ht="15" x14ac:dyDescent="0.5">
      <c r="A19" s="12" t="s">
        <v>365</v>
      </c>
    </row>
    <row r="24" spans="1:2" x14ac:dyDescent="0.35">
      <c r="A24" s="12" t="s">
        <v>549</v>
      </c>
    </row>
    <row r="29" spans="1:2" x14ac:dyDescent="0.35">
      <c r="A29" s="12" t="s">
        <v>571</v>
      </c>
    </row>
    <row r="33" spans="1:3" ht="15" x14ac:dyDescent="0.5">
      <c r="A33" s="12" t="s">
        <v>418</v>
      </c>
    </row>
    <row r="38" spans="1:3" x14ac:dyDescent="0.35">
      <c r="A38" s="109"/>
      <c r="B38" s="95"/>
    </row>
    <row r="39" spans="1:3" x14ac:dyDescent="0.35">
      <c r="B39" s="95"/>
    </row>
    <row r="40" spans="1:3" x14ac:dyDescent="0.35">
      <c r="B40" s="95"/>
    </row>
    <row r="41" spans="1:3" x14ac:dyDescent="0.35">
      <c r="B41" s="95"/>
    </row>
    <row r="42" spans="1:3" x14ac:dyDescent="0.35">
      <c r="B42" s="110"/>
      <c r="C42" s="111"/>
    </row>
    <row r="43" spans="1:3" x14ac:dyDescent="0.35">
      <c r="B43" s="110"/>
    </row>
    <row r="44" spans="1:3" x14ac:dyDescent="0.35">
      <c r="B44" s="110"/>
    </row>
    <row r="45" spans="1:3" x14ac:dyDescent="0.35">
      <c r="B45" s="110"/>
    </row>
    <row r="46" spans="1:3" x14ac:dyDescent="0.35">
      <c r="B46" s="110"/>
    </row>
    <row r="47" spans="1:3" x14ac:dyDescent="0.35">
      <c r="B47" s="110"/>
    </row>
  </sheetData>
  <phoneticPr fontId="0" type="noConversion"/>
  <pageMargins left="0.7" right="0.7" top="0.75" bottom="0.75" header="0.3" footer="0.3"/>
  <pageSetup paperSize="9" orientation="portrait" verticalDpi="30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O39"/>
  <sheetViews>
    <sheetView zoomScaleNormal="100" workbookViewId="0">
      <selection activeCell="A2" sqref="A2"/>
    </sheetView>
  </sheetViews>
  <sheetFormatPr baseColWidth="10" defaultColWidth="9.19921875" defaultRowHeight="12.75" x14ac:dyDescent="0.35"/>
  <cols>
    <col min="1" max="1" width="14.53125" customWidth="1"/>
    <col min="2" max="2" width="15.53125" customWidth="1"/>
    <col min="3" max="3" width="10.46484375" customWidth="1"/>
    <col min="4" max="4" width="9.73046875" customWidth="1"/>
  </cols>
  <sheetData>
    <row r="1" spans="1:15" ht="15" x14ac:dyDescent="0.4">
      <c r="A1" s="122" t="s">
        <v>540</v>
      </c>
    </row>
    <row r="3" spans="1:15" x14ac:dyDescent="0.35">
      <c r="C3" s="18"/>
      <c r="D3" s="18"/>
      <c r="E3" s="12"/>
    </row>
    <row r="4" spans="1:15" x14ac:dyDescent="0.35">
      <c r="F4" s="12"/>
    </row>
    <row r="11" spans="1:15" x14ac:dyDescent="0.35">
      <c r="L11" s="82"/>
      <c r="M11" s="82"/>
      <c r="N11" s="82"/>
      <c r="O11" s="82"/>
    </row>
    <row r="12" spans="1:15" x14ac:dyDescent="0.35">
      <c r="L12" s="82"/>
      <c r="M12" s="82"/>
      <c r="N12" s="82"/>
      <c r="O12" s="82"/>
    </row>
    <row r="13" spans="1:15" x14ac:dyDescent="0.35">
      <c r="L13" s="82"/>
      <c r="M13" s="82"/>
      <c r="N13" s="82"/>
      <c r="O13" s="82"/>
    </row>
    <row r="14" spans="1:15" x14ac:dyDescent="0.35">
      <c r="L14" s="82"/>
      <c r="M14" s="82"/>
      <c r="N14" s="82"/>
      <c r="O14" s="82"/>
    </row>
    <row r="29" spans="1:3" x14ac:dyDescent="0.35">
      <c r="A29" s="12" t="s">
        <v>432</v>
      </c>
      <c r="B29" s="12"/>
      <c r="C29" s="12"/>
    </row>
    <row r="30" spans="1:3" x14ac:dyDescent="0.35">
      <c r="A30" s="12" t="s">
        <v>433</v>
      </c>
      <c r="C30" s="12"/>
    </row>
    <row r="31" spans="1:3" x14ac:dyDescent="0.35">
      <c r="A31" s="12"/>
    </row>
    <row r="32" spans="1:3" x14ac:dyDescent="0.35">
      <c r="C32" s="12" t="s">
        <v>430</v>
      </c>
    </row>
    <row r="33" spans="1:10" ht="15" x14ac:dyDescent="0.5">
      <c r="A33" s="12"/>
      <c r="C33" s="12" t="s">
        <v>431</v>
      </c>
    </row>
    <row r="34" spans="1:10" x14ac:dyDescent="0.35">
      <c r="A34" s="12"/>
    </row>
    <row r="35" spans="1:10" x14ac:dyDescent="0.35">
      <c r="A35" s="12"/>
    </row>
    <row r="36" spans="1:10" ht="15" x14ac:dyDescent="0.5">
      <c r="A36" s="82" t="s">
        <v>435</v>
      </c>
      <c r="B36" s="82"/>
      <c r="C36" s="82"/>
      <c r="D36" s="82"/>
      <c r="E36" s="82"/>
      <c r="F36" s="82"/>
      <c r="G36" s="82"/>
      <c r="H36" s="82"/>
      <c r="I36" s="82"/>
      <c r="J36" s="82"/>
    </row>
    <row r="37" spans="1:10" ht="15" x14ac:dyDescent="0.5">
      <c r="A37" s="82" t="s">
        <v>436</v>
      </c>
      <c r="B37" s="82"/>
      <c r="C37" s="82"/>
      <c r="D37" s="82"/>
      <c r="E37" s="82"/>
      <c r="F37" s="82"/>
      <c r="G37" s="82"/>
      <c r="H37" s="82"/>
      <c r="I37" s="82"/>
      <c r="J37" s="82"/>
    </row>
    <row r="38" spans="1:10" x14ac:dyDescent="0.35">
      <c r="A38" s="82"/>
      <c r="B38" s="82" t="s">
        <v>434</v>
      </c>
      <c r="C38" s="82"/>
      <c r="D38" s="82"/>
      <c r="E38" s="82"/>
      <c r="F38" s="82"/>
      <c r="G38" s="82"/>
      <c r="H38" s="82"/>
      <c r="I38" s="82"/>
      <c r="J38" s="82"/>
    </row>
    <row r="39" spans="1:10" x14ac:dyDescent="0.35">
      <c r="A39" s="82" t="s">
        <v>568</v>
      </c>
      <c r="B39" s="82"/>
      <c r="C39" s="82"/>
      <c r="D39" s="82"/>
      <c r="E39" s="82"/>
      <c r="F39" s="82"/>
      <c r="G39" s="82"/>
      <c r="H39" s="82"/>
      <c r="I39" s="82"/>
      <c r="J39" s="82"/>
    </row>
  </sheetData>
  <phoneticPr fontId="0" type="noConversion"/>
  <pageMargins left="0.7" right="0.7" top="0.75" bottom="0.75" header="0.3" footer="0.3"/>
  <pageSetup paperSize="9" orientation="portrait" verticalDpi="30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AG279"/>
  <sheetViews>
    <sheetView zoomScaleNormal="100" workbookViewId="0">
      <selection activeCell="A2" sqref="A2"/>
    </sheetView>
  </sheetViews>
  <sheetFormatPr baseColWidth="10" defaultColWidth="9.19921875" defaultRowHeight="12.75" x14ac:dyDescent="0.35"/>
  <cols>
    <col min="1" max="1" width="43.46484375" customWidth="1"/>
    <col min="2" max="2" width="18.19921875" customWidth="1"/>
    <col min="3" max="3" width="7.19921875" customWidth="1"/>
    <col min="4" max="4" width="30.19921875" customWidth="1"/>
    <col min="5" max="5" width="27.796875" customWidth="1"/>
    <col min="6" max="6" width="21.53125" customWidth="1"/>
    <col min="7" max="7" width="15" customWidth="1"/>
    <col min="8" max="8" width="12.19921875" customWidth="1"/>
    <col min="9" max="9" width="13.265625" customWidth="1"/>
    <col min="10" max="10" width="14.46484375" customWidth="1"/>
    <col min="11" max="11" width="12.796875" customWidth="1"/>
    <col min="12" max="12" width="12.46484375" customWidth="1"/>
    <col min="13" max="13" width="12" customWidth="1"/>
    <col min="14" max="14" width="11.53125" customWidth="1"/>
    <col min="15" max="17" width="12.73046875" customWidth="1"/>
    <col min="18" max="19" width="9.19921875" customWidth="1"/>
    <col min="20" max="20" width="12.19921875" customWidth="1"/>
    <col min="21" max="25" width="9.19921875" customWidth="1"/>
    <col min="26" max="26" width="9.73046875" customWidth="1"/>
    <col min="27" max="27" width="11.796875" customWidth="1"/>
    <col min="28" max="28" width="11.53125" customWidth="1"/>
    <col min="29" max="29" width="13.73046875" customWidth="1"/>
  </cols>
  <sheetData>
    <row r="1" spans="1:7" ht="15" x14ac:dyDescent="0.4">
      <c r="A1" s="122" t="s">
        <v>439</v>
      </c>
      <c r="B1" s="122"/>
      <c r="C1" s="122"/>
    </row>
    <row r="2" spans="1:7" ht="15" x14ac:dyDescent="0.4">
      <c r="A2" s="122"/>
      <c r="B2" s="122"/>
      <c r="C2" s="122"/>
    </row>
    <row r="3" spans="1:7" ht="15" x14ac:dyDescent="0.4">
      <c r="A3" s="122" t="s">
        <v>462</v>
      </c>
      <c r="B3" s="122"/>
      <c r="C3" s="122"/>
    </row>
    <row r="4" spans="1:7" ht="13.15" thickBot="1" x14ac:dyDescent="0.4"/>
    <row r="5" spans="1:7" ht="13.5" thickBot="1" x14ac:dyDescent="0.45">
      <c r="A5" s="180" t="s">
        <v>440</v>
      </c>
      <c r="B5" s="181" t="s">
        <v>450</v>
      </c>
      <c r="C5" s="181" t="s">
        <v>451</v>
      </c>
      <c r="D5" s="181" t="s">
        <v>437</v>
      </c>
      <c r="E5" s="181" t="s">
        <v>459</v>
      </c>
      <c r="F5" s="182" t="s">
        <v>438</v>
      </c>
      <c r="G5" s="12"/>
    </row>
    <row r="6" spans="1:7" x14ac:dyDescent="0.35">
      <c r="A6" s="179" t="s">
        <v>441</v>
      </c>
      <c r="B6" s="86"/>
      <c r="C6" s="86" t="s">
        <v>452</v>
      </c>
      <c r="E6" s="172" t="s">
        <v>458</v>
      </c>
      <c r="F6" s="177" t="s">
        <v>460</v>
      </c>
    </row>
    <row r="7" spans="1:7" x14ac:dyDescent="0.35">
      <c r="A7" s="123" t="s">
        <v>442</v>
      </c>
      <c r="B7" s="86"/>
      <c r="C7" s="87"/>
      <c r="D7" s="69"/>
      <c r="E7" s="87" t="s">
        <v>470</v>
      </c>
      <c r="F7" s="175"/>
    </row>
    <row r="8" spans="1:7" x14ac:dyDescent="0.35">
      <c r="A8" s="123" t="s">
        <v>443</v>
      </c>
      <c r="B8" s="86"/>
      <c r="C8" s="86"/>
      <c r="E8" s="23"/>
      <c r="F8" s="176"/>
    </row>
    <row r="9" spans="1:7" x14ac:dyDescent="0.35">
      <c r="A9" s="123" t="s">
        <v>444</v>
      </c>
      <c r="B9" s="86"/>
      <c r="C9" s="86" t="s">
        <v>453</v>
      </c>
      <c r="E9" s="172" t="s">
        <v>501</v>
      </c>
      <c r="F9" s="177" t="s">
        <v>295</v>
      </c>
    </row>
    <row r="10" spans="1:7" x14ac:dyDescent="0.35">
      <c r="A10" s="123" t="s">
        <v>445</v>
      </c>
      <c r="B10" s="86"/>
      <c r="C10" s="87"/>
      <c r="D10" s="69"/>
      <c r="E10" s="24"/>
      <c r="F10" s="175"/>
    </row>
    <row r="11" spans="1:7" x14ac:dyDescent="0.35">
      <c r="A11" s="123" t="s">
        <v>446</v>
      </c>
      <c r="B11" s="86"/>
      <c r="C11" s="86"/>
      <c r="E11" s="23"/>
      <c r="F11" s="176"/>
    </row>
    <row r="12" spans="1:7" x14ac:dyDescent="0.35">
      <c r="A12" s="123" t="s">
        <v>447</v>
      </c>
      <c r="B12" s="86"/>
      <c r="C12" s="86" t="s">
        <v>454</v>
      </c>
      <c r="E12" s="172" t="s">
        <v>469</v>
      </c>
      <c r="F12" s="177" t="s">
        <v>295</v>
      </c>
    </row>
    <row r="13" spans="1:7" x14ac:dyDescent="0.35">
      <c r="A13" s="123" t="s">
        <v>448</v>
      </c>
      <c r="B13" s="86"/>
      <c r="C13" s="86"/>
      <c r="E13" s="23"/>
      <c r="F13" s="178"/>
    </row>
    <row r="14" spans="1:7" ht="13.15" thickBot="1" x14ac:dyDescent="0.4">
      <c r="A14" s="183" t="s">
        <v>449</v>
      </c>
      <c r="B14" s="86"/>
      <c r="C14" s="87"/>
      <c r="D14" s="69"/>
      <c r="E14" s="24"/>
      <c r="F14" s="175"/>
    </row>
    <row r="15" spans="1:7" x14ac:dyDescent="0.35">
      <c r="B15" s="23"/>
      <c r="C15" s="85" t="s">
        <v>455</v>
      </c>
      <c r="E15" s="172" t="s">
        <v>504</v>
      </c>
      <c r="F15" s="174" t="s">
        <v>460</v>
      </c>
    </row>
    <row r="16" spans="1:7" x14ac:dyDescent="0.35">
      <c r="B16" s="23"/>
      <c r="C16" s="24"/>
      <c r="D16" s="69"/>
      <c r="E16" s="24"/>
      <c r="F16" s="175"/>
    </row>
    <row r="17" spans="1:27" x14ac:dyDescent="0.35">
      <c r="B17" s="23"/>
      <c r="C17" s="85" t="s">
        <v>456</v>
      </c>
      <c r="E17" s="172" t="s">
        <v>498</v>
      </c>
      <c r="F17" s="176"/>
    </row>
    <row r="18" spans="1:27" ht="13.15" thickBot="1" x14ac:dyDescent="0.4">
      <c r="B18" s="23"/>
      <c r="C18" s="23"/>
      <c r="D18" s="26"/>
      <c r="E18" s="23"/>
      <c r="F18" s="178"/>
    </row>
    <row r="19" spans="1:27" x14ac:dyDescent="0.35">
      <c r="B19" s="26"/>
      <c r="C19" s="185" t="s">
        <v>457</v>
      </c>
      <c r="D19" s="186"/>
      <c r="E19" s="187" t="s">
        <v>500</v>
      </c>
      <c r="F19" s="188" t="s">
        <v>461</v>
      </c>
    </row>
    <row r="20" spans="1:27" ht="13.15" thickBot="1" x14ac:dyDescent="0.4">
      <c r="B20" s="184"/>
      <c r="C20" s="189"/>
      <c r="D20" s="190"/>
      <c r="E20" s="191"/>
      <c r="F20" s="192"/>
    </row>
    <row r="22" spans="1:27" ht="15" x14ac:dyDescent="0.4">
      <c r="A22" s="122" t="s">
        <v>463</v>
      </c>
    </row>
    <row r="23" spans="1:27" x14ac:dyDescent="0.35">
      <c r="D23" s="109" t="s">
        <v>464</v>
      </c>
      <c r="E23" s="109" t="s">
        <v>465</v>
      </c>
      <c r="F23" s="109" t="s">
        <v>467</v>
      </c>
      <c r="G23" s="109" t="s">
        <v>466</v>
      </c>
    </row>
    <row r="24" spans="1:27" x14ac:dyDescent="0.35">
      <c r="D24" s="5">
        <v>872.22</v>
      </c>
      <c r="E24" s="80">
        <f t="shared" ref="E24:E29" si="0">D24/2051.15</f>
        <v>0.42523462447895083</v>
      </c>
      <c r="F24">
        <v>30000</v>
      </c>
      <c r="G24">
        <f t="shared" ref="G24:G29" si="1">F24*0.3048</f>
        <v>9144</v>
      </c>
    </row>
    <row r="25" spans="1:27" x14ac:dyDescent="0.35">
      <c r="D25" s="5">
        <v>1016.66</v>
      </c>
      <c r="E25" s="80">
        <f t="shared" si="0"/>
        <v>0.49565365770421466</v>
      </c>
      <c r="F25">
        <v>25000</v>
      </c>
      <c r="G25">
        <f t="shared" si="1"/>
        <v>7620</v>
      </c>
    </row>
    <row r="26" spans="1:27" x14ac:dyDescent="0.35">
      <c r="D26" s="5">
        <v>1200</v>
      </c>
      <c r="E26" s="80">
        <f t="shared" si="0"/>
        <v>0.58503766179947836</v>
      </c>
      <c r="F26">
        <v>20000</v>
      </c>
      <c r="G26">
        <f t="shared" si="1"/>
        <v>6096</v>
      </c>
    </row>
    <row r="27" spans="1:27" x14ac:dyDescent="0.35">
      <c r="D27" s="5">
        <v>1350</v>
      </c>
      <c r="E27" s="80">
        <f t="shared" si="0"/>
        <v>0.65816736952441313</v>
      </c>
      <c r="F27">
        <v>15000</v>
      </c>
      <c r="G27">
        <f t="shared" si="1"/>
        <v>4572</v>
      </c>
    </row>
    <row r="28" spans="1:27" x14ac:dyDescent="0.35">
      <c r="D28" s="5">
        <v>1519.44</v>
      </c>
      <c r="E28" s="80">
        <f t="shared" si="0"/>
        <v>0.74077468737049945</v>
      </c>
      <c r="F28">
        <v>10000</v>
      </c>
      <c r="G28">
        <f t="shared" si="1"/>
        <v>3048</v>
      </c>
    </row>
    <row r="29" spans="1:27" x14ac:dyDescent="0.35">
      <c r="D29" s="5">
        <v>1616.66</v>
      </c>
      <c r="E29" s="80">
        <f t="shared" si="0"/>
        <v>0.78817248860395384</v>
      </c>
      <c r="F29">
        <v>5000</v>
      </c>
      <c r="G29">
        <f t="shared" si="1"/>
        <v>1524</v>
      </c>
    </row>
    <row r="30" spans="1:27" x14ac:dyDescent="0.35">
      <c r="T30" s="18"/>
    </row>
    <row r="31" spans="1:27" x14ac:dyDescent="0.35">
      <c r="V31" s="18"/>
      <c r="W31" s="66"/>
      <c r="X31" s="18"/>
      <c r="Y31" s="18"/>
      <c r="Z31" s="18"/>
      <c r="AA31" s="18"/>
    </row>
    <row r="32" spans="1:27" x14ac:dyDescent="0.35">
      <c r="D32" s="12" t="s">
        <v>505</v>
      </c>
      <c r="T32" s="18"/>
      <c r="W32" s="9"/>
    </row>
    <row r="33" spans="1:23" x14ac:dyDescent="0.35">
      <c r="T33" s="18"/>
      <c r="W33" s="9"/>
    </row>
    <row r="34" spans="1:23" x14ac:dyDescent="0.35">
      <c r="T34" s="18"/>
      <c r="W34" s="9"/>
    </row>
    <row r="35" spans="1:23" x14ac:dyDescent="0.35">
      <c r="T35" s="18"/>
      <c r="W35" s="9"/>
    </row>
    <row r="36" spans="1:23" x14ac:dyDescent="0.35">
      <c r="W36" s="9"/>
    </row>
    <row r="37" spans="1:23" x14ac:dyDescent="0.35">
      <c r="W37" s="9"/>
    </row>
    <row r="38" spans="1:23" x14ac:dyDescent="0.35">
      <c r="W38" s="9"/>
    </row>
    <row r="39" spans="1:23" x14ac:dyDescent="0.35">
      <c r="W39" s="9"/>
    </row>
    <row r="40" spans="1:23" x14ac:dyDescent="0.35">
      <c r="W40" s="9"/>
    </row>
    <row r="41" spans="1:23" x14ac:dyDescent="0.35">
      <c r="W41" s="9"/>
    </row>
    <row r="42" spans="1:23" ht="15" x14ac:dyDescent="0.4">
      <c r="A42" s="122" t="s">
        <v>509</v>
      </c>
      <c r="W42" s="9"/>
    </row>
    <row r="43" spans="1:23" ht="13.15" thickBot="1" x14ac:dyDescent="0.4">
      <c r="W43" s="9"/>
    </row>
    <row r="44" spans="1:23" ht="13.5" thickTop="1" thickBot="1" x14ac:dyDescent="0.4">
      <c r="A44" s="199" t="s">
        <v>471</v>
      </c>
      <c r="B44" s="202" t="s">
        <v>472</v>
      </c>
      <c r="C44" s="208" t="s">
        <v>473</v>
      </c>
      <c r="D44" s="209" t="s">
        <v>406</v>
      </c>
      <c r="E44" s="210" t="s">
        <v>8</v>
      </c>
      <c r="F44" s="210" t="s">
        <v>1</v>
      </c>
      <c r="G44" s="193" t="s">
        <v>295</v>
      </c>
      <c r="W44" s="9"/>
    </row>
    <row r="45" spans="1:23" ht="13.15" thickTop="1" x14ac:dyDescent="0.35">
      <c r="A45" s="198" t="s">
        <v>474</v>
      </c>
      <c r="B45" s="201" t="s">
        <v>503</v>
      </c>
      <c r="C45" s="207">
        <v>187</v>
      </c>
      <c r="D45" s="201" t="s">
        <v>475</v>
      </c>
      <c r="E45" s="211">
        <v>1036</v>
      </c>
      <c r="F45" s="207" t="s">
        <v>476</v>
      </c>
      <c r="G45" s="276" t="s">
        <v>477</v>
      </c>
      <c r="W45" s="9"/>
    </row>
    <row r="46" spans="1:23" x14ac:dyDescent="0.35">
      <c r="A46" s="195" t="s">
        <v>494</v>
      </c>
      <c r="B46" s="195" t="s">
        <v>497</v>
      </c>
      <c r="C46" s="196">
        <v>58</v>
      </c>
      <c r="D46" s="195" t="s">
        <v>478</v>
      </c>
      <c r="E46" s="197">
        <v>1121</v>
      </c>
      <c r="F46" s="196" t="s">
        <v>479</v>
      </c>
      <c r="G46" s="277" t="s">
        <v>480</v>
      </c>
      <c r="W46" s="9"/>
    </row>
    <row r="47" spans="1:23" x14ac:dyDescent="0.35">
      <c r="A47" s="195" t="s">
        <v>324</v>
      </c>
      <c r="B47" s="195" t="s">
        <v>502</v>
      </c>
      <c r="C47" s="196">
        <v>16</v>
      </c>
      <c r="D47" s="195" t="s">
        <v>481</v>
      </c>
      <c r="E47" s="197">
        <v>1725</v>
      </c>
      <c r="F47" s="196" t="s">
        <v>482</v>
      </c>
      <c r="G47" s="277" t="s">
        <v>483</v>
      </c>
      <c r="W47" s="9"/>
    </row>
    <row r="48" spans="1:23" x14ac:dyDescent="0.35">
      <c r="A48" s="195" t="s">
        <v>299</v>
      </c>
      <c r="B48" s="195" t="s">
        <v>496</v>
      </c>
      <c r="C48" s="196">
        <v>375</v>
      </c>
      <c r="D48" s="195" t="s">
        <v>475</v>
      </c>
      <c r="E48" s="197">
        <v>1089</v>
      </c>
      <c r="F48" s="196" t="s">
        <v>485</v>
      </c>
      <c r="G48" s="277" t="s">
        <v>486</v>
      </c>
      <c r="W48" s="9"/>
    </row>
    <row r="49" spans="1:23" ht="13.15" thickBot="1" x14ac:dyDescent="0.4">
      <c r="A49" s="200" t="s">
        <v>487</v>
      </c>
      <c r="B49" s="204" t="s">
        <v>499</v>
      </c>
      <c r="C49" s="206">
        <v>351</v>
      </c>
      <c r="D49" s="204" t="s">
        <v>488</v>
      </c>
      <c r="E49" s="212">
        <v>1883</v>
      </c>
      <c r="F49" s="206" t="s">
        <v>489</v>
      </c>
      <c r="G49" s="194" t="s">
        <v>490</v>
      </c>
      <c r="W49" s="9"/>
    </row>
    <row r="50" spans="1:23" ht="13.15" thickBot="1" x14ac:dyDescent="0.4">
      <c r="A50" s="214" t="s">
        <v>491</v>
      </c>
      <c r="B50" s="203"/>
      <c r="C50" s="205"/>
      <c r="D50" s="203"/>
      <c r="E50" s="215">
        <v>1371</v>
      </c>
      <c r="F50" s="216" t="s">
        <v>492</v>
      </c>
      <c r="G50" s="217" t="s">
        <v>493</v>
      </c>
      <c r="W50" s="9"/>
    </row>
    <row r="51" spans="1:23" ht="13.15" thickTop="1" x14ac:dyDescent="0.35">
      <c r="W51" s="9"/>
    </row>
    <row r="52" spans="1:23" x14ac:dyDescent="0.35">
      <c r="A52" s="213" t="s">
        <v>506</v>
      </c>
      <c r="W52" s="9"/>
    </row>
    <row r="53" spans="1:23" x14ac:dyDescent="0.35">
      <c r="A53" s="213" t="s">
        <v>507</v>
      </c>
      <c r="W53" s="9"/>
    </row>
    <row r="54" spans="1:23" x14ac:dyDescent="0.35">
      <c r="A54" s="213" t="s">
        <v>508</v>
      </c>
      <c r="W54" s="9"/>
    </row>
    <row r="55" spans="1:23" x14ac:dyDescent="0.35">
      <c r="W55" s="9"/>
    </row>
    <row r="56" spans="1:23" ht="15" x14ac:dyDescent="0.4">
      <c r="A56" s="122" t="s">
        <v>510</v>
      </c>
      <c r="D56" s="218"/>
      <c r="W56" s="9"/>
    </row>
    <row r="57" spans="1:23" ht="15" x14ac:dyDescent="0.4">
      <c r="A57" s="122"/>
      <c r="B57" s="11"/>
      <c r="D57" s="218"/>
      <c r="W57" s="9"/>
    </row>
    <row r="58" spans="1:23" ht="15" x14ac:dyDescent="0.4">
      <c r="A58" s="122"/>
      <c r="B58" s="11"/>
      <c r="D58" s="218"/>
      <c r="W58" s="9"/>
    </row>
    <row r="59" spans="1:23" x14ac:dyDescent="0.35">
      <c r="W59" s="9"/>
    </row>
    <row r="60" spans="1:23" ht="13.5" thickBot="1" x14ac:dyDescent="0.45">
      <c r="A60" s="8" t="s">
        <v>474</v>
      </c>
      <c r="B60" s="235" t="s">
        <v>513</v>
      </c>
      <c r="C60" s="228"/>
      <c r="D60" s="242" t="s">
        <v>512</v>
      </c>
      <c r="E60" s="230"/>
      <c r="F60" s="242" t="s">
        <v>514</v>
      </c>
      <c r="W60" s="9"/>
    </row>
    <row r="61" spans="1:23" x14ac:dyDescent="0.35">
      <c r="B61" s="12"/>
      <c r="D61" s="255" t="s">
        <v>295</v>
      </c>
      <c r="E61" s="219">
        <v>0.77566374596319343</v>
      </c>
      <c r="F61" s="255" t="s">
        <v>295</v>
      </c>
      <c r="G61" s="256">
        <v>0.85112203143581489</v>
      </c>
    </row>
    <row r="62" spans="1:23" ht="13.15" thickBot="1" x14ac:dyDescent="0.4">
      <c r="B62" s="12"/>
      <c r="D62" s="257" t="s">
        <v>8</v>
      </c>
      <c r="E62" s="259">
        <v>0.9269933209143858</v>
      </c>
      <c r="F62" s="260" t="s">
        <v>8</v>
      </c>
      <c r="G62" s="261">
        <v>1.0359223194846781</v>
      </c>
    </row>
    <row r="63" spans="1:23" ht="13.15" thickBot="1" x14ac:dyDescent="0.4">
      <c r="C63" s="232"/>
      <c r="F63" s="257" t="s">
        <v>1</v>
      </c>
      <c r="G63" s="258">
        <v>0.10060702058366573</v>
      </c>
    </row>
    <row r="64" spans="1:23" x14ac:dyDescent="0.35">
      <c r="A64" s="225" t="s">
        <v>298</v>
      </c>
      <c r="B64" s="226" t="s">
        <v>293</v>
      </c>
      <c r="C64" s="233" t="s">
        <v>294</v>
      </c>
      <c r="D64" s="227" t="s">
        <v>300</v>
      </c>
      <c r="E64" s="229" t="s">
        <v>301</v>
      </c>
      <c r="F64" s="247" t="s">
        <v>293</v>
      </c>
      <c r="G64" s="248" t="s">
        <v>294</v>
      </c>
      <c r="H64" s="222" t="s">
        <v>302</v>
      </c>
      <c r="I64" s="222" t="s">
        <v>303</v>
      </c>
      <c r="J64" s="222" t="s">
        <v>304</v>
      </c>
      <c r="K64" s="222" t="s">
        <v>296</v>
      </c>
      <c r="L64" s="222" t="s">
        <v>307</v>
      </c>
      <c r="M64" s="222" t="s">
        <v>305</v>
      </c>
      <c r="N64" s="222" t="s">
        <v>306</v>
      </c>
      <c r="O64" s="223" t="s">
        <v>301</v>
      </c>
      <c r="Q64" s="17"/>
    </row>
    <row r="65" spans="1:16" x14ac:dyDescent="0.35">
      <c r="A65" s="173">
        <v>0.91900000000000004</v>
      </c>
      <c r="B65" s="75">
        <v>0</v>
      </c>
      <c r="C65" s="234">
        <f>B65*0.3048</f>
        <v>0</v>
      </c>
      <c r="D65">
        <f>E62*((1-0.000022557*C65)^4.25587)^E61</f>
        <v>0.9269933209143858</v>
      </c>
      <c r="E65" s="230">
        <f>(D65-A65)^2</f>
        <v>6.3893179240356803E-5</v>
      </c>
      <c r="F65" s="224">
        <v>0</v>
      </c>
      <c r="G65">
        <f t="shared" ref="G65:G76" si="2">F65*0.3048</f>
        <v>0</v>
      </c>
      <c r="H65">
        <f t="shared" ref="H65:H76" si="3">G65*10^-3</f>
        <v>0</v>
      </c>
      <c r="I65">
        <v>100</v>
      </c>
      <c r="J65">
        <f>I65*1.852</f>
        <v>185.20000000000002</v>
      </c>
      <c r="K65">
        <f>L65/340.294</f>
        <v>0.15117646636274648</v>
      </c>
      <c r="L65">
        <f>J65/3.6</f>
        <v>51.44444444444445</v>
      </c>
      <c r="M65">
        <v>0.88</v>
      </c>
      <c r="N65">
        <f>G62*(((1-0.000022557*G65)^4.25587)^G61)*K65^G63</f>
        <v>0.85659895306369804</v>
      </c>
      <c r="O65">
        <f>(M65-N65)^2</f>
        <v>5.4760899771500739E-4</v>
      </c>
      <c r="P65" s="26"/>
    </row>
    <row r="66" spans="1:16" x14ac:dyDescent="0.35">
      <c r="A66" s="26">
        <v>0.746</v>
      </c>
      <c r="B66">
        <v>10000</v>
      </c>
      <c r="C66" s="230">
        <f>B66*0.3048</f>
        <v>3048</v>
      </c>
      <c r="D66">
        <f>E62*((1-0.000022557*C66)^4.25587)^E61</f>
        <v>0.73274830901083932</v>
      </c>
      <c r="E66" s="230">
        <f>(D66-A66)^2</f>
        <v>1.7560731407220237E-4</v>
      </c>
      <c r="F66" s="83">
        <v>0</v>
      </c>
      <c r="G66">
        <f t="shared" si="2"/>
        <v>0</v>
      </c>
      <c r="H66">
        <f t="shared" si="3"/>
        <v>0</v>
      </c>
      <c r="I66">
        <v>200</v>
      </c>
      <c r="J66">
        <f t="shared" ref="J66:J76" si="4">I66*1.852</f>
        <v>370.40000000000003</v>
      </c>
      <c r="K66">
        <f>L66/340.294</f>
        <v>0.30235293272549296</v>
      </c>
      <c r="L66">
        <f t="shared" ref="L66:L76" si="5">J66/3.6</f>
        <v>102.8888888888889</v>
      </c>
      <c r="M66">
        <v>0.91300000000000003</v>
      </c>
      <c r="N66">
        <f>G62*(((1-0.000022557*G66)^4.25587)^G61)*K66^G63</f>
        <v>0.91846639360702054</v>
      </c>
      <c r="O66">
        <f t="shared" ref="O66:O76" si="6">(M66-N66)^2</f>
        <v>2.988145906687463E-5</v>
      </c>
      <c r="P66" s="26"/>
    </row>
    <row r="67" spans="1:16" x14ac:dyDescent="0.35">
      <c r="A67" s="26">
        <v>0.57999999999999996</v>
      </c>
      <c r="B67">
        <v>20000</v>
      </c>
      <c r="C67" s="230">
        <f>B67*0.3048</f>
        <v>6096</v>
      </c>
      <c r="D67">
        <f>E62*((1-0.000022557*C67)^4.25587)^E61</f>
        <v>0.56884902260016412</v>
      </c>
      <c r="E67" s="230">
        <f>(D67-A67)^2</f>
        <v>1.2434429697164961E-4</v>
      </c>
      <c r="F67" s="83">
        <v>0</v>
      </c>
      <c r="G67">
        <f t="shared" si="2"/>
        <v>0</v>
      </c>
      <c r="H67">
        <f t="shared" si="3"/>
        <v>0</v>
      </c>
      <c r="I67">
        <v>300</v>
      </c>
      <c r="J67">
        <f t="shared" si="4"/>
        <v>555.6</v>
      </c>
      <c r="K67">
        <f>L67/340.294</f>
        <v>0.45352939908823942</v>
      </c>
      <c r="L67">
        <f t="shared" si="5"/>
        <v>154.33333333333334</v>
      </c>
      <c r="M67">
        <v>0.91900000000000004</v>
      </c>
      <c r="N67">
        <f>G62*(((1-0.000022557*G67)^4.25587)^G61)*K67^G63</f>
        <v>0.95670773919487451</v>
      </c>
      <c r="O67">
        <f t="shared" si="6"/>
        <v>1.4218735951886721E-3</v>
      </c>
      <c r="P67" s="26"/>
    </row>
    <row r="68" spans="1:16" x14ac:dyDescent="0.35">
      <c r="A68" s="69">
        <v>0.48</v>
      </c>
      <c r="B68" s="1">
        <v>25000</v>
      </c>
      <c r="C68" s="232">
        <f>B68*0.3048</f>
        <v>7620</v>
      </c>
      <c r="D68">
        <f>E62*((1-0.000022557*C68)^4.25587)^E61</f>
        <v>0.49737599994579201</v>
      </c>
      <c r="E68" s="232">
        <f>(D68-A68)^2</f>
        <v>3.0192537411616468E-4</v>
      </c>
      <c r="F68" s="83">
        <v>10000</v>
      </c>
      <c r="G68">
        <f t="shared" si="2"/>
        <v>3048</v>
      </c>
      <c r="H68">
        <f t="shared" si="3"/>
        <v>3.048</v>
      </c>
      <c r="I68">
        <v>100</v>
      </c>
      <c r="J68">
        <f t="shared" si="4"/>
        <v>185.20000000000002</v>
      </c>
      <c r="K68">
        <f>L68/328.387</f>
        <v>0.15665798111510032</v>
      </c>
      <c r="L68">
        <f t="shared" si="5"/>
        <v>51.44444444444445</v>
      </c>
      <c r="M68">
        <v>0.68</v>
      </c>
      <c r="N68">
        <f>G62*(((1-0.000022557*G68)^4.25587)^G61)*K68^G63</f>
        <v>0.66416708600017516</v>
      </c>
      <c r="O68">
        <f t="shared" si="6"/>
        <v>2.5068116572585111E-4</v>
      </c>
      <c r="P68" s="26"/>
    </row>
    <row r="69" spans="1:16" x14ac:dyDescent="0.35">
      <c r="C69" s="234"/>
      <c r="D69" s="76"/>
      <c r="E69" s="231">
        <f>SUM(E65:E68)</f>
        <v>6.6577016440037351E-4</v>
      </c>
      <c r="F69" s="83">
        <v>10000</v>
      </c>
      <c r="G69">
        <f t="shared" si="2"/>
        <v>3048</v>
      </c>
      <c r="H69">
        <f t="shared" si="3"/>
        <v>3.048</v>
      </c>
      <c r="I69">
        <v>200</v>
      </c>
      <c r="J69">
        <f t="shared" si="4"/>
        <v>370.40000000000003</v>
      </c>
      <c r="K69">
        <f>L69/328.387</f>
        <v>0.31331596223020064</v>
      </c>
      <c r="L69">
        <f t="shared" si="5"/>
        <v>102.8888888888889</v>
      </c>
      <c r="M69">
        <v>0.72599999999999998</v>
      </c>
      <c r="N69">
        <f>G62*(((1-0.000022557*G69)^4.25587)^G61)*K69^G63</f>
        <v>0.71213622903611362</v>
      </c>
      <c r="O69">
        <f t="shared" si="6"/>
        <v>1.9220414533909844E-4</v>
      </c>
      <c r="P69" s="26"/>
    </row>
    <row r="70" spans="1:16" x14ac:dyDescent="0.35">
      <c r="E70" s="234"/>
      <c r="F70" s="12">
        <v>10000</v>
      </c>
      <c r="G70">
        <f t="shared" si="2"/>
        <v>3048</v>
      </c>
      <c r="H70">
        <f t="shared" si="3"/>
        <v>3.048</v>
      </c>
      <c r="I70">
        <v>300</v>
      </c>
      <c r="J70">
        <f t="shared" si="4"/>
        <v>555.6</v>
      </c>
      <c r="K70">
        <f>L70/328.387</f>
        <v>0.46997394334530096</v>
      </c>
      <c r="L70">
        <f t="shared" si="5"/>
        <v>154.33333333333334</v>
      </c>
      <c r="M70">
        <v>0.755</v>
      </c>
      <c r="N70">
        <f>G62*(((1-0.000022557*G70)^4.25587)^G61)*K70^G63</f>
        <v>0.74178679418444837</v>
      </c>
      <c r="O70">
        <f t="shared" si="6"/>
        <v>1.7458880792412746E-4</v>
      </c>
      <c r="P70" s="26"/>
    </row>
    <row r="71" spans="1:16" x14ac:dyDescent="0.35">
      <c r="E71" s="230"/>
      <c r="F71">
        <v>20000</v>
      </c>
      <c r="G71">
        <f t="shared" si="2"/>
        <v>6096</v>
      </c>
      <c r="H71">
        <f t="shared" si="3"/>
        <v>6.0960000000000001</v>
      </c>
      <c r="I71">
        <v>100</v>
      </c>
      <c r="J71">
        <f t="shared" si="4"/>
        <v>185.20000000000002</v>
      </c>
      <c r="K71">
        <f>L71/316.144</f>
        <v>0.1627247217864152</v>
      </c>
      <c r="L71">
        <f t="shared" si="5"/>
        <v>51.44444444444445</v>
      </c>
      <c r="M71">
        <v>0.49299999999999999</v>
      </c>
      <c r="N71">
        <f>G62*(((1-0.000022557*G71)^4.25587)^G61)*K71^G63</f>
        <v>0.50498993198434938</v>
      </c>
      <c r="O71">
        <f t="shared" si="6"/>
        <v>1.4375846898932447E-4</v>
      </c>
      <c r="P71" s="26"/>
    </row>
    <row r="72" spans="1:16" x14ac:dyDescent="0.35">
      <c r="E72" s="230"/>
      <c r="F72">
        <v>20000</v>
      </c>
      <c r="G72">
        <f t="shared" si="2"/>
        <v>6096</v>
      </c>
      <c r="H72">
        <f t="shared" si="3"/>
        <v>6.0960000000000001</v>
      </c>
      <c r="I72">
        <v>200</v>
      </c>
      <c r="J72">
        <f t="shared" si="4"/>
        <v>370.40000000000003</v>
      </c>
      <c r="K72">
        <f>L72/316.144</f>
        <v>0.3254494435728304</v>
      </c>
      <c r="L72">
        <f t="shared" si="5"/>
        <v>102.8888888888889</v>
      </c>
      <c r="M72">
        <v>0.54600000000000004</v>
      </c>
      <c r="N72">
        <f>G62*(((1-0.000022557*G72)^4.25587)^G61)*K72^G63</f>
        <v>0.54146258290258487</v>
      </c>
      <c r="O72">
        <f t="shared" si="6"/>
        <v>2.0588153915915552E-5</v>
      </c>
      <c r="P72" s="26"/>
    </row>
    <row r="73" spans="1:16" x14ac:dyDescent="0.35">
      <c r="E73" s="230"/>
      <c r="F73">
        <v>20000</v>
      </c>
      <c r="G73">
        <f t="shared" si="2"/>
        <v>6096</v>
      </c>
      <c r="H73">
        <f t="shared" si="3"/>
        <v>6.0960000000000001</v>
      </c>
      <c r="I73">
        <v>300</v>
      </c>
      <c r="J73">
        <f t="shared" si="4"/>
        <v>555.6</v>
      </c>
      <c r="K73">
        <f>L73/316.144</f>
        <v>0.48817416535924557</v>
      </c>
      <c r="L73">
        <f t="shared" si="5"/>
        <v>154.33333333333334</v>
      </c>
      <c r="M73">
        <v>0.58899999999999997</v>
      </c>
      <c r="N73">
        <f>G62*(((1-0.000022557*G73)^4.25587)^G61)*K73^G63</f>
        <v>0.56400696547313456</v>
      </c>
      <c r="O73">
        <f t="shared" si="6"/>
        <v>6.2465177486108647E-4</v>
      </c>
      <c r="P73" s="26"/>
    </row>
    <row r="74" spans="1:16" x14ac:dyDescent="0.35">
      <c r="E74" s="230"/>
      <c r="F74">
        <v>25000</v>
      </c>
      <c r="G74">
        <f t="shared" si="2"/>
        <v>7620</v>
      </c>
      <c r="H74">
        <f t="shared" si="3"/>
        <v>7.62</v>
      </c>
      <c r="I74">
        <v>100</v>
      </c>
      <c r="J74">
        <f t="shared" si="4"/>
        <v>185.20000000000002</v>
      </c>
      <c r="K74">
        <f>L74/309.67</f>
        <v>0.16612666530320808</v>
      </c>
      <c r="L74">
        <f t="shared" si="5"/>
        <v>51.44444444444445</v>
      </c>
      <c r="M74">
        <v>0.38600000000000001</v>
      </c>
      <c r="N74">
        <f>G62*(((1-0.000022557*G74)^4.25587)^G61)*K74^G63</f>
        <v>0.43671873699286801</v>
      </c>
      <c r="O74">
        <f t="shared" si="6"/>
        <v>2.5723902821517164E-3</v>
      </c>
      <c r="P74" s="26"/>
    </row>
    <row r="75" spans="1:16" x14ac:dyDescent="0.35">
      <c r="E75" s="230"/>
      <c r="F75">
        <v>25000</v>
      </c>
      <c r="G75">
        <f t="shared" si="2"/>
        <v>7620</v>
      </c>
      <c r="H75">
        <f t="shared" si="3"/>
        <v>7.62</v>
      </c>
      <c r="I75">
        <v>200</v>
      </c>
      <c r="J75">
        <f t="shared" si="4"/>
        <v>370.40000000000003</v>
      </c>
      <c r="K75">
        <f>L75/309.67</f>
        <v>0.33225333060641615</v>
      </c>
      <c r="L75">
        <f t="shared" si="5"/>
        <v>102.8888888888889</v>
      </c>
      <c r="M75">
        <v>0.439</v>
      </c>
      <c r="N75">
        <f>G62*(((1-0.000022557*G75)^4.25587)^G61)*K75^G63</f>
        <v>0.4682605342346538</v>
      </c>
      <c r="O75">
        <f t="shared" si="6"/>
        <v>8.5617886369734712E-4</v>
      </c>
      <c r="P75" s="26"/>
    </row>
    <row r="76" spans="1:16" x14ac:dyDescent="0.35">
      <c r="E76" s="230"/>
      <c r="F76" s="1">
        <v>25000</v>
      </c>
      <c r="G76" s="1">
        <f t="shared" si="2"/>
        <v>7620</v>
      </c>
      <c r="H76" s="1">
        <f t="shared" si="3"/>
        <v>7.62</v>
      </c>
      <c r="I76" s="1">
        <v>300</v>
      </c>
      <c r="J76" s="1">
        <f t="shared" si="4"/>
        <v>555.6</v>
      </c>
      <c r="K76" s="1">
        <f>L76/309.67</f>
        <v>0.49837999590962423</v>
      </c>
      <c r="L76" s="1">
        <f t="shared" si="5"/>
        <v>154.33333333333334</v>
      </c>
      <c r="M76" s="1">
        <v>0.52100000000000002</v>
      </c>
      <c r="N76" s="1">
        <f>G62*(((1-0.000022557*G76)^4.25587)^G61)*K76^G63</f>
        <v>0.48775707002459828</v>
      </c>
      <c r="O76" s="1">
        <f t="shared" si="6"/>
        <v>1.1050923933494633E-3</v>
      </c>
      <c r="P76" s="26"/>
    </row>
    <row r="77" spans="1:16" x14ac:dyDescent="0.35">
      <c r="E77" s="230"/>
      <c r="G77" s="75"/>
      <c r="N77" s="12" t="s">
        <v>328</v>
      </c>
      <c r="O77" s="24">
        <f>SUM(O65:O76)</f>
        <v>7.9394981079244833E-3</v>
      </c>
    </row>
    <row r="78" spans="1:16" x14ac:dyDescent="0.35">
      <c r="F78" s="230"/>
      <c r="H78" s="230"/>
    </row>
    <row r="79" spans="1:16" ht="13.5" thickBot="1" x14ac:dyDescent="0.45">
      <c r="A79" s="236" t="s">
        <v>494</v>
      </c>
      <c r="B79" s="235" t="s">
        <v>513</v>
      </c>
      <c r="C79" s="64"/>
      <c r="D79" s="64"/>
      <c r="E79" s="64"/>
      <c r="F79" s="228"/>
      <c r="G79" s="262" t="s">
        <v>512</v>
      </c>
      <c r="H79" s="230"/>
      <c r="I79" s="262" t="s">
        <v>514</v>
      </c>
    </row>
    <row r="80" spans="1:16" x14ac:dyDescent="0.35">
      <c r="F80" s="67"/>
      <c r="G80" s="263" t="s">
        <v>295</v>
      </c>
      <c r="H80" s="186">
        <v>0.73966703008335266</v>
      </c>
      <c r="I80" s="263" t="s">
        <v>8</v>
      </c>
      <c r="J80" s="264">
        <v>1.1206835541659186</v>
      </c>
    </row>
    <row r="81" spans="1:20" ht="13.15" thickBot="1" x14ac:dyDescent="0.4">
      <c r="G81" s="265" t="s">
        <v>8</v>
      </c>
      <c r="H81" s="220">
        <v>0.93282526025333923</v>
      </c>
      <c r="I81" s="267" t="s">
        <v>295</v>
      </c>
      <c r="J81" s="268">
        <v>0.75483235393639114</v>
      </c>
    </row>
    <row r="82" spans="1:20" ht="13.15" thickBot="1" x14ac:dyDescent="0.4">
      <c r="F82" s="230"/>
      <c r="H82" s="1"/>
      <c r="I82" s="265" t="s">
        <v>1</v>
      </c>
      <c r="J82" s="266">
        <v>0.16792670351578079</v>
      </c>
      <c r="L82" s="1"/>
    </row>
    <row r="83" spans="1:20" x14ac:dyDescent="0.35">
      <c r="A83" s="225" t="s">
        <v>309</v>
      </c>
      <c r="B83" s="226" t="s">
        <v>298</v>
      </c>
      <c r="C83" s="226" t="s">
        <v>294</v>
      </c>
      <c r="D83" s="225" t="s">
        <v>294</v>
      </c>
      <c r="E83" s="222" t="s">
        <v>309</v>
      </c>
      <c r="F83" s="238" t="s">
        <v>305</v>
      </c>
      <c r="G83" s="222" t="s">
        <v>306</v>
      </c>
      <c r="H83" s="238" t="s">
        <v>301</v>
      </c>
      <c r="I83" s="227" t="s">
        <v>308</v>
      </c>
      <c r="J83" s="227" t="s">
        <v>296</v>
      </c>
      <c r="K83" s="222" t="s">
        <v>515</v>
      </c>
      <c r="L83" s="223" t="s">
        <v>301</v>
      </c>
    </row>
    <row r="84" spans="1:20" x14ac:dyDescent="0.35">
      <c r="A84" s="173">
        <v>2860</v>
      </c>
      <c r="B84" s="75">
        <f t="shared" ref="B84:B89" si="7">A84/2930</f>
        <v>0.97610921501706482</v>
      </c>
      <c r="C84" s="75">
        <v>0</v>
      </c>
      <c r="D84" s="173">
        <v>0</v>
      </c>
      <c r="E84" s="75">
        <v>2460</v>
      </c>
      <c r="F84" s="234">
        <f>E84/2930</f>
        <v>0.83959044368600677</v>
      </c>
      <c r="G84">
        <f>H81*((1-0.000022557*D84)^4.25587)^H80</f>
        <v>0.93282526025333923</v>
      </c>
      <c r="H84" s="234">
        <f>(G84-F84)^2</f>
        <v>8.6927310203441313E-3</v>
      </c>
      <c r="I84" s="75">
        <v>50</v>
      </c>
      <c r="J84" s="75">
        <f>I84/340.294</f>
        <v>0.14693177076292854</v>
      </c>
      <c r="K84" s="75">
        <f>(J80*((1-0.000022557*D84)^4.25587)^J81*J84^J82)</f>
        <v>0.81211865368899494</v>
      </c>
      <c r="L84" s="239">
        <f>(F84-K84)^2</f>
        <v>7.5469924563991927E-4</v>
      </c>
    </row>
    <row r="85" spans="1:20" x14ac:dyDescent="0.35">
      <c r="A85" s="26">
        <v>2260</v>
      </c>
      <c r="B85">
        <f t="shared" si="7"/>
        <v>0.77133105802047786</v>
      </c>
      <c r="C85">
        <v>3000</v>
      </c>
      <c r="D85" s="26">
        <v>0</v>
      </c>
      <c r="E85">
        <v>2560</v>
      </c>
      <c r="F85" s="230">
        <f>E85/2930</f>
        <v>0.87372013651877134</v>
      </c>
      <c r="G85">
        <f>H81*((1-0.000022557*D85)^4.25587)^H80</f>
        <v>0.93282526025333923</v>
      </c>
      <c r="H85" s="230">
        <f t="shared" ref="H85:H99" si="8">(G85-F85)^2</f>
        <v>3.4934156516785802E-3</v>
      </c>
      <c r="I85">
        <v>100</v>
      </c>
      <c r="J85">
        <f t="shared" ref="J85:J99" si="9">I85/340.294</f>
        <v>0.29386354152585709</v>
      </c>
      <c r="K85">
        <f>(J80*((1-0.000022557*D85)^4.25587)^J81*J85^J82)</f>
        <v>0.91236887436225</v>
      </c>
      <c r="L85" s="239">
        <f t="shared" ref="L85:L99" si="10">(F85-K85)^2</f>
        <v>1.4937249368939399E-3</v>
      </c>
    </row>
    <row r="86" spans="1:20" x14ac:dyDescent="0.35">
      <c r="A86" s="26">
        <v>1790</v>
      </c>
      <c r="B86">
        <f t="shared" si="7"/>
        <v>0.61092150170648463</v>
      </c>
      <c r="C86">
        <v>6000</v>
      </c>
      <c r="D86" s="26">
        <v>0</v>
      </c>
      <c r="E86">
        <v>2860</v>
      </c>
      <c r="F86" s="230">
        <f t="shared" ref="F86:F99" si="11">E86/2930</f>
        <v>0.97610921501706482</v>
      </c>
      <c r="G86">
        <f>H81*((1-0.000022557*D86)^4.25587)^H80</f>
        <v>0.93282526025333923</v>
      </c>
      <c r="H86" s="230">
        <f t="shared" si="8"/>
        <v>1.8735007399882438E-3</v>
      </c>
      <c r="I86">
        <v>150</v>
      </c>
      <c r="J86">
        <f t="shared" si="9"/>
        <v>0.4407953122887856</v>
      </c>
      <c r="K86">
        <f>(J80*((1-0.000022557*D86)^4.25587)^J81*J86^J82)</f>
        <v>0.97665434263129736</v>
      </c>
      <c r="L86" s="239">
        <f t="shared" si="10"/>
        <v>2.9716411579885254E-7</v>
      </c>
    </row>
    <row r="87" spans="1:20" x14ac:dyDescent="0.35">
      <c r="A87" s="26">
        <v>1360</v>
      </c>
      <c r="B87">
        <f t="shared" si="7"/>
        <v>0.46416382252559729</v>
      </c>
      <c r="C87">
        <v>8500</v>
      </c>
      <c r="D87" s="26">
        <v>0</v>
      </c>
      <c r="E87">
        <v>2940</v>
      </c>
      <c r="F87" s="230">
        <f t="shared" si="11"/>
        <v>1.0034129692832765</v>
      </c>
      <c r="G87">
        <f>H81*((1-0.000022557*D87)^4.25587)^H80</f>
        <v>0.93282526025333923</v>
      </c>
      <c r="H87" s="230">
        <f t="shared" si="8"/>
        <v>4.9826246660950877E-3</v>
      </c>
      <c r="I87">
        <v>200</v>
      </c>
      <c r="J87">
        <f t="shared" si="9"/>
        <v>0.58772708305171417</v>
      </c>
      <c r="K87">
        <f>(J80*((1-0.000022557*D87)^4.25587)^J81*J87^J82)</f>
        <v>1.0249942654608912</v>
      </c>
      <c r="L87" s="239">
        <f t="shared" si="10"/>
        <v>4.6575234470592808E-4</v>
      </c>
    </row>
    <row r="88" spans="1:20" x14ac:dyDescent="0.35">
      <c r="A88" s="26">
        <v>950</v>
      </c>
      <c r="B88">
        <f t="shared" si="7"/>
        <v>0.32423208191126279</v>
      </c>
      <c r="C88">
        <v>11000</v>
      </c>
      <c r="D88" s="26">
        <v>3000</v>
      </c>
      <c r="E88">
        <v>2000</v>
      </c>
      <c r="F88" s="230">
        <f t="shared" si="11"/>
        <v>0.68259385665529015</v>
      </c>
      <c r="G88">
        <f>H81*((1-0.000022557*D88)^4.25587)^H80</f>
        <v>0.74818043603853857</v>
      </c>
      <c r="H88" s="230">
        <f t="shared" si="8"/>
        <v>4.3015993951951454E-3</v>
      </c>
      <c r="I88">
        <v>50</v>
      </c>
      <c r="J88">
        <f t="shared" si="9"/>
        <v>0.14693177076292854</v>
      </c>
      <c r="K88">
        <f>(J80*((1-0.000022557*D88)^4.25587)^J81*J88^J82)</f>
        <v>0.64842758402214695</v>
      </c>
      <c r="L88" s="239">
        <f t="shared" si="10"/>
        <v>1.1673341856422701E-3</v>
      </c>
    </row>
    <row r="89" spans="1:20" x14ac:dyDescent="0.35">
      <c r="A89" s="69">
        <v>630</v>
      </c>
      <c r="B89" s="1">
        <f t="shared" si="7"/>
        <v>0.21501706484641639</v>
      </c>
      <c r="C89" s="1">
        <v>13700</v>
      </c>
      <c r="D89" s="26">
        <v>3000</v>
      </c>
      <c r="E89">
        <v>2100</v>
      </c>
      <c r="F89" s="230">
        <f t="shared" si="11"/>
        <v>0.71672354948805461</v>
      </c>
      <c r="G89">
        <f>H81*((1-0.000022557*D89)^4.25587)^H80</f>
        <v>0.74818043603853857</v>
      </c>
      <c r="H89" s="230">
        <f t="shared" si="8"/>
        <v>9.8953571145001819E-4</v>
      </c>
      <c r="I89">
        <v>100</v>
      </c>
      <c r="J89">
        <f t="shared" si="9"/>
        <v>0.29386354152585709</v>
      </c>
      <c r="K89">
        <f>(J80*((1-0.000022557*D89)^4.25587)^J81*J89^J82)</f>
        <v>0.72847131666338716</v>
      </c>
      <c r="L89" s="239">
        <f t="shared" si="10"/>
        <v>1.3801003360582083E-4</v>
      </c>
      <c r="M89" s="26"/>
    </row>
    <row r="90" spans="1:20" x14ac:dyDescent="0.35">
      <c r="C90" s="75"/>
      <c r="D90" s="26">
        <v>3000</v>
      </c>
      <c r="E90">
        <v>2260</v>
      </c>
      <c r="F90" s="230">
        <f t="shared" si="11"/>
        <v>0.77133105802047786</v>
      </c>
      <c r="G90">
        <f>H81*((1-0.000022557*D90)^4.25587)^H80</f>
        <v>0.74818043603853857</v>
      </c>
      <c r="H90" s="230">
        <f t="shared" si="8"/>
        <v>5.3595129815065066E-4</v>
      </c>
      <c r="I90">
        <v>150</v>
      </c>
      <c r="J90">
        <f t="shared" si="9"/>
        <v>0.4407953122887856</v>
      </c>
      <c r="K90">
        <f>J80*((1-0.000022557*D90)^4.25587)^J81*J90^J82</f>
        <v>0.7797993716071836</v>
      </c>
      <c r="L90" s="239">
        <f t="shared" si="10"/>
        <v>7.1712335002785109E-5</v>
      </c>
      <c r="M90" s="26"/>
    </row>
    <row r="91" spans="1:20" x14ac:dyDescent="0.35">
      <c r="D91" s="26">
        <v>3000</v>
      </c>
      <c r="E91">
        <v>2455</v>
      </c>
      <c r="F91" s="230">
        <f t="shared" si="11"/>
        <v>0.83788395904436863</v>
      </c>
      <c r="G91">
        <f>H81*((1-0.000022557*D91)^4.25587)^H80</f>
        <v>0.74818043603853857</v>
      </c>
      <c r="H91" s="230">
        <f t="shared" si="8"/>
        <v>8.0467220396574831E-3</v>
      </c>
      <c r="I91">
        <v>200</v>
      </c>
      <c r="J91">
        <f t="shared" si="9"/>
        <v>0.58772708305171417</v>
      </c>
      <c r="K91">
        <f>(J80*((1-0.000022557*D91)^4.25587)^J81*J91^J82)</f>
        <v>0.81839587376832512</v>
      </c>
      <c r="L91" s="239">
        <f t="shared" si="10"/>
        <v>3.7978546772634382E-4</v>
      </c>
    </row>
    <row r="92" spans="1:20" x14ac:dyDescent="0.35">
      <c r="D92" s="26">
        <v>6000</v>
      </c>
      <c r="E92">
        <v>1535</v>
      </c>
      <c r="F92" s="230">
        <f t="shared" si="11"/>
        <v>0.52389078498293518</v>
      </c>
      <c r="G92">
        <f>H81*((1-0.000022557*D92)^4.25587)^H80</f>
        <v>0.5901888272846858</v>
      </c>
      <c r="H92" s="230">
        <f t="shared" si="8"/>
        <v>4.3954304130447153E-3</v>
      </c>
      <c r="I92">
        <v>50</v>
      </c>
      <c r="J92">
        <f t="shared" si="9"/>
        <v>0.14693177076292854</v>
      </c>
      <c r="K92">
        <f>(J80*((1-0.000022557*D92)^4.25587)^J81*J92^J82)</f>
        <v>0.50901901122107529</v>
      </c>
      <c r="L92" s="239">
        <f t="shared" si="10"/>
        <v>2.2116965482394413E-4</v>
      </c>
    </row>
    <row r="93" spans="1:20" x14ac:dyDescent="0.35">
      <c r="D93" s="26">
        <v>6000</v>
      </c>
      <c r="E93">
        <v>1600</v>
      </c>
      <c r="F93" s="230">
        <f t="shared" si="11"/>
        <v>0.5460750853242321</v>
      </c>
      <c r="G93">
        <f>H81*((1-0.000022557*D93)^4.25587)^H80</f>
        <v>0.5901888272846858</v>
      </c>
      <c r="H93" s="230">
        <f t="shared" si="8"/>
        <v>1.9460222297534935E-3</v>
      </c>
      <c r="I93">
        <v>100</v>
      </c>
      <c r="J93">
        <f t="shared" si="9"/>
        <v>0.29386354152585709</v>
      </c>
      <c r="K93">
        <f>(J80*((1-0.000022557*D93)^4.25587)^J81*J93^J82)</f>
        <v>0.57185375583628373</v>
      </c>
      <c r="L93" s="239">
        <f t="shared" si="10"/>
        <v>6.6453985336892003E-4</v>
      </c>
    </row>
    <row r="94" spans="1:20" x14ac:dyDescent="0.35">
      <c r="D94" s="26">
        <v>6000</v>
      </c>
      <c r="E94">
        <v>2260</v>
      </c>
      <c r="F94" s="230">
        <f t="shared" si="11"/>
        <v>0.77133105802047786</v>
      </c>
      <c r="G94">
        <f>H81*((1-0.000022557*D94)^4.25587)^H80</f>
        <v>0.5901888272846858</v>
      </c>
      <c r="H94" s="230">
        <f t="shared" si="8"/>
        <v>3.2812507755938927E-2</v>
      </c>
      <c r="I94">
        <v>150</v>
      </c>
      <c r="J94">
        <f t="shared" si="9"/>
        <v>0.4407953122887856</v>
      </c>
      <c r="K94">
        <f>(J80*((1-0.000022557*D94)^4.25587)^J81*J94^J82)</f>
        <v>0.61214654476011199</v>
      </c>
      <c r="L94" s="239">
        <f t="shared" si="10"/>
        <v>2.5339709261939597E-2</v>
      </c>
    </row>
    <row r="95" spans="1:20" x14ac:dyDescent="0.35">
      <c r="D95" s="26">
        <v>6000</v>
      </c>
      <c r="E95">
        <v>1960</v>
      </c>
      <c r="F95" s="230">
        <f t="shared" si="11"/>
        <v>0.66894197952218426</v>
      </c>
      <c r="G95">
        <f>H81*((1-0.000022557*D95)^4.25587)^H80</f>
        <v>0.5901888272846858</v>
      </c>
      <c r="H95" s="230">
        <f t="shared" si="8"/>
        <v>6.2020589873426086E-3</v>
      </c>
      <c r="I95">
        <v>200</v>
      </c>
      <c r="J95">
        <f t="shared" si="9"/>
        <v>0.58772708305171417</v>
      </c>
      <c r="K95">
        <f>(J80*((1-0.000022557*D95)^4.25587)^J81*J95^J82)</f>
        <v>0.64244499882153772</v>
      </c>
      <c r="L95" s="239">
        <f t="shared" si="10"/>
        <v>7.0208998625043541E-4</v>
      </c>
    </row>
    <row r="96" spans="1:20" x14ac:dyDescent="0.35">
      <c r="D96" s="26">
        <v>8500</v>
      </c>
      <c r="E96">
        <v>1120</v>
      </c>
      <c r="F96" s="230">
        <f t="shared" si="11"/>
        <v>0.38225255972696248</v>
      </c>
      <c r="G96">
        <f>H81*((1-0.000022557*D96)^4.25587)^H80</f>
        <v>0.47729534150843306</v>
      </c>
      <c r="H96" s="230">
        <f t="shared" si="8"/>
        <v>9.0331303687602345E-3</v>
      </c>
      <c r="I96">
        <v>50</v>
      </c>
      <c r="J96">
        <f t="shared" si="9"/>
        <v>0.14693177076292854</v>
      </c>
      <c r="K96">
        <f>(J80*((1-0.000022557*D96)^4.25587)^J81*J96^J82)</f>
        <v>0.40986399534179224</v>
      </c>
      <c r="L96" s="239">
        <f t="shared" si="10"/>
        <v>7.6239137671188929E-4</v>
      </c>
      <c r="M96" s="12"/>
      <c r="N96" s="12"/>
      <c r="O96" s="12"/>
      <c r="P96" s="12"/>
      <c r="Q96" s="12"/>
      <c r="R96" s="12"/>
      <c r="S96" s="12"/>
      <c r="T96" s="12"/>
    </row>
    <row r="97" spans="1:30" x14ac:dyDescent="0.35">
      <c r="D97" s="26">
        <v>8500</v>
      </c>
      <c r="E97">
        <v>1220</v>
      </c>
      <c r="F97" s="230">
        <f t="shared" si="11"/>
        <v>0.41638225255972694</v>
      </c>
      <c r="G97">
        <f>H81*((1-0.000022557*D97)^4.25587)^H80</f>
        <v>0.47729534150843306</v>
      </c>
      <c r="H97" s="230">
        <f t="shared" si="8"/>
        <v>3.7104044052729832E-3</v>
      </c>
      <c r="I97">
        <v>100</v>
      </c>
      <c r="J97">
        <f t="shared" si="9"/>
        <v>0.29386354152585709</v>
      </c>
      <c r="K97">
        <f>(J80*((1-0.000022557*D97)^4.25587)^J81*J97^J82)</f>
        <v>0.46045876470510239</v>
      </c>
      <c r="L97" s="239">
        <f t="shared" si="10"/>
        <v>1.9427389229014292E-3</v>
      </c>
    </row>
    <row r="98" spans="1:30" x14ac:dyDescent="0.35">
      <c r="D98" s="26">
        <v>8500</v>
      </c>
      <c r="E98">
        <v>1360</v>
      </c>
      <c r="F98" s="230">
        <f t="shared" si="11"/>
        <v>0.46416382252559729</v>
      </c>
      <c r="G98">
        <f>H81*((1-0.000022557*D98)^4.25587)^H80</f>
        <v>0.47729534150843306</v>
      </c>
      <c r="H98" s="230">
        <f t="shared" si="8"/>
        <v>1.7243679079657608E-4</v>
      </c>
      <c r="I98">
        <v>150</v>
      </c>
      <c r="J98">
        <f t="shared" si="9"/>
        <v>0.4407953122887856</v>
      </c>
      <c r="K98">
        <f>(J80*((1-0.000022557*D98)^4.25587)^J81*J98^J82)</f>
        <v>0.4929026677573034</v>
      </c>
      <c r="L98" s="239">
        <f t="shared" si="10"/>
        <v>8.2592122525195714E-4</v>
      </c>
    </row>
    <row r="99" spans="1:30" x14ac:dyDescent="0.35">
      <c r="D99" s="69">
        <v>8500</v>
      </c>
      <c r="E99" s="1">
        <v>1500</v>
      </c>
      <c r="F99" s="232">
        <f t="shared" si="11"/>
        <v>0.51194539249146753</v>
      </c>
      <c r="G99" s="1">
        <f>H81*((1-0.000022557*D99)^4.25587)^H80</f>
        <v>0.47729534150843306</v>
      </c>
      <c r="H99" s="232">
        <f t="shared" si="8"/>
        <v>1.2006260331268884E-3</v>
      </c>
      <c r="I99" s="1">
        <v>200</v>
      </c>
      <c r="J99" s="1">
        <f t="shared" si="9"/>
        <v>0.58772708305171417</v>
      </c>
      <c r="K99" s="1">
        <f>(J80*((1-0.000022557*D99)^4.25587)^J81*J99^J82)</f>
        <v>0.51729909531804585</v>
      </c>
      <c r="L99" s="240">
        <f t="shared" si="10"/>
        <v>2.8662133955312711E-5</v>
      </c>
    </row>
    <row r="100" spans="1:30" x14ac:dyDescent="0.35">
      <c r="F100" s="230"/>
      <c r="H100" s="241">
        <f>SUM(H84:H99)</f>
        <v>9.2388697506595771E-2</v>
      </c>
      <c r="K100" s="12" t="s">
        <v>328</v>
      </c>
      <c r="L100" s="31">
        <f>SUM(L84:L99)</f>
        <v>3.495853812853629E-2</v>
      </c>
    </row>
    <row r="101" spans="1:30" x14ac:dyDescent="0.35">
      <c r="H101" s="230"/>
      <c r="I101" s="12"/>
      <c r="K101" s="18"/>
    </row>
    <row r="102" spans="1:30" x14ac:dyDescent="0.35">
      <c r="K102" s="18"/>
    </row>
    <row r="103" spans="1:30" x14ac:dyDescent="0.35">
      <c r="F103" s="230"/>
      <c r="H103" s="230"/>
    </row>
    <row r="104" spans="1:30" ht="13.5" thickBot="1" x14ac:dyDescent="0.45">
      <c r="A104" s="8" t="s">
        <v>324</v>
      </c>
      <c r="B104" s="221" t="s">
        <v>513</v>
      </c>
      <c r="C104" s="64"/>
      <c r="D104" s="64"/>
      <c r="E104" s="64"/>
      <c r="F104" s="228"/>
      <c r="G104" s="242" t="s">
        <v>512</v>
      </c>
      <c r="H104" s="230"/>
      <c r="I104" s="242" t="s">
        <v>514</v>
      </c>
    </row>
    <row r="105" spans="1:30" x14ac:dyDescent="0.35">
      <c r="F105" s="67"/>
      <c r="G105" s="263" t="s">
        <v>8</v>
      </c>
      <c r="H105" s="186">
        <v>1.3903232218670405</v>
      </c>
      <c r="I105" s="263" t="s">
        <v>8</v>
      </c>
      <c r="J105" s="264">
        <v>1.7251157386657505</v>
      </c>
    </row>
    <row r="106" spans="1:30" ht="13.15" thickBot="1" x14ac:dyDescent="0.4">
      <c r="G106" s="265" t="s">
        <v>295</v>
      </c>
      <c r="H106" s="220">
        <v>0.96605943811106076</v>
      </c>
      <c r="I106" s="267" t="s">
        <v>1</v>
      </c>
      <c r="J106" s="268">
        <v>0.26739557037296752</v>
      </c>
    </row>
    <row r="107" spans="1:30" ht="13.15" thickBot="1" x14ac:dyDescent="0.4">
      <c r="A107" s="1"/>
      <c r="B107" s="1"/>
      <c r="C107" s="1"/>
      <c r="D107" s="1"/>
      <c r="E107" s="1"/>
      <c r="F107" s="232"/>
      <c r="G107" s="1"/>
      <c r="H107" s="1"/>
      <c r="I107" s="265" t="s">
        <v>295</v>
      </c>
      <c r="J107" s="266">
        <v>0.96569267979668527</v>
      </c>
    </row>
    <row r="108" spans="1:30" x14ac:dyDescent="0.35">
      <c r="A108" s="269" t="s">
        <v>293</v>
      </c>
      <c r="B108" s="222" t="s">
        <v>294</v>
      </c>
      <c r="C108" s="222" t="s">
        <v>297</v>
      </c>
      <c r="D108" s="222" t="s">
        <v>311</v>
      </c>
      <c r="E108" s="222" t="s">
        <v>309</v>
      </c>
      <c r="F108" s="238" t="s">
        <v>516</v>
      </c>
      <c r="G108" s="269" t="s">
        <v>306</v>
      </c>
      <c r="H108" s="238" t="s">
        <v>301</v>
      </c>
      <c r="I108" s="270" t="s">
        <v>306</v>
      </c>
      <c r="J108" s="271" t="s">
        <v>301</v>
      </c>
    </row>
    <row r="109" spans="1:30" x14ac:dyDescent="0.35">
      <c r="A109">
        <v>15000</v>
      </c>
      <c r="B109">
        <f t="shared" ref="B109:B123" si="12">A109*0.3048</f>
        <v>4572</v>
      </c>
      <c r="C109">
        <f>(1-0.000022557*B109)^4.25587</f>
        <v>0.62924770568426325</v>
      </c>
      <c r="D109">
        <v>0.35</v>
      </c>
      <c r="E109">
        <v>1255</v>
      </c>
      <c r="F109" s="230">
        <f>E109/1500</f>
        <v>0.83666666666666667</v>
      </c>
      <c r="G109">
        <f>H105*C109^H106</f>
        <v>0.88872116672590273</v>
      </c>
      <c r="H109" s="230">
        <f t="shared" ref="H109:H123" si="13">(F109-G109)^2</f>
        <v>2.7096709764170075E-3</v>
      </c>
      <c r="I109">
        <f>J105*D109^J106*C109^J107</f>
        <v>0.83296659153497654</v>
      </c>
      <c r="J109" s="243">
        <f t="shared" ref="J109:J123" si="14">(F109-I109)^2</f>
        <v>1.369055598015172E-5</v>
      </c>
    </row>
    <row r="110" spans="1:30" x14ac:dyDescent="0.35">
      <c r="A110">
        <v>15000</v>
      </c>
      <c r="B110">
        <f t="shared" si="12"/>
        <v>4572</v>
      </c>
      <c r="C110">
        <f t="shared" ref="C110:C123" si="15">(1-0.000022557*B110)^4.25587</f>
        <v>0.62924770568426325</v>
      </c>
      <c r="D110">
        <v>0.4</v>
      </c>
      <c r="E110">
        <v>1290</v>
      </c>
      <c r="F110" s="230">
        <f t="shared" ref="F110:F123" si="16">E110/1500</f>
        <v>0.86</v>
      </c>
      <c r="G110">
        <f>H105*C110^H106</f>
        <v>0.88872116672590273</v>
      </c>
      <c r="H110" s="230">
        <f t="shared" si="13"/>
        <v>8.2490541809710307E-4</v>
      </c>
      <c r="I110">
        <f>J105*D110^J106*C110^J107</f>
        <v>0.86324559897754161</v>
      </c>
      <c r="J110" s="243">
        <f t="shared" si="14"/>
        <v>1.0533912723019205E-5</v>
      </c>
    </row>
    <row r="111" spans="1:30" x14ac:dyDescent="0.35">
      <c r="A111">
        <v>15000</v>
      </c>
      <c r="B111">
        <f t="shared" si="12"/>
        <v>4572</v>
      </c>
      <c r="C111">
        <f t="shared" si="15"/>
        <v>0.62924770568426325</v>
      </c>
      <c r="D111">
        <v>0.45</v>
      </c>
      <c r="E111">
        <v>1325</v>
      </c>
      <c r="F111" s="230">
        <f t="shared" si="16"/>
        <v>0.8833333333333333</v>
      </c>
      <c r="G111">
        <f>H105*C111^H106</f>
        <v>0.88872116672590273</v>
      </c>
      <c r="H111" s="230">
        <f t="shared" si="13"/>
        <v>2.9028748666086212E-5</v>
      </c>
      <c r="I111">
        <f>J105*D111^J106*C111^J107</f>
        <v>0.89086589016653839</v>
      </c>
      <c r="J111" s="243">
        <f t="shared" si="14"/>
        <v>5.6739412445464602E-5</v>
      </c>
    </row>
    <row r="112" spans="1:30" x14ac:dyDescent="0.35">
      <c r="A112">
        <v>15000</v>
      </c>
      <c r="B112">
        <f t="shared" si="12"/>
        <v>4572</v>
      </c>
      <c r="C112">
        <f t="shared" si="15"/>
        <v>0.62924770568426325</v>
      </c>
      <c r="D112">
        <v>0.5</v>
      </c>
      <c r="E112">
        <v>1375</v>
      </c>
      <c r="F112" s="230">
        <f t="shared" si="16"/>
        <v>0.91666666666666663</v>
      </c>
      <c r="G112">
        <f>H105*C112^H106</f>
        <v>0.88872116672590273</v>
      </c>
      <c r="H112" s="230">
        <f t="shared" si="13"/>
        <v>7.8095096693923493E-4</v>
      </c>
      <c r="I112">
        <f>J105*D112^J106*C112^J107</f>
        <v>0.91632108729565376</v>
      </c>
      <c r="J112" s="243">
        <f t="shared" si="14"/>
        <v>1.1942510166965212E-7</v>
      </c>
      <c r="U112" s="12"/>
      <c r="AD112" s="12"/>
    </row>
    <row r="113" spans="1:33" x14ac:dyDescent="0.35">
      <c r="A113">
        <v>15000</v>
      </c>
      <c r="B113">
        <f t="shared" si="12"/>
        <v>4572</v>
      </c>
      <c r="C113">
        <f t="shared" si="15"/>
        <v>0.62924770568426325</v>
      </c>
      <c r="D113">
        <v>0.55000000000000004</v>
      </c>
      <c r="E113">
        <v>1410</v>
      </c>
      <c r="F113" s="230">
        <f t="shared" si="16"/>
        <v>0.94</v>
      </c>
      <c r="G113">
        <f>H105*C113^H106</f>
        <v>0.88872116672590273</v>
      </c>
      <c r="H113" s="230">
        <f t="shared" si="13"/>
        <v>2.6295187419526594E-3</v>
      </c>
      <c r="I113">
        <f>J105*D113^J106*C113^J107</f>
        <v>0.93997413142565311</v>
      </c>
      <c r="J113" s="243">
        <f t="shared" si="14"/>
        <v>6.6918313873759106E-10</v>
      </c>
      <c r="W113" s="12"/>
      <c r="X113" s="12"/>
      <c r="Y113" s="12"/>
      <c r="Z113" s="12"/>
      <c r="AA113" s="12"/>
      <c r="AB113" s="12"/>
      <c r="AC113" s="12"/>
      <c r="AD113" s="12"/>
      <c r="AF113" s="12"/>
      <c r="AG113" s="12"/>
    </row>
    <row r="114" spans="1:33" x14ac:dyDescent="0.35">
      <c r="A114">
        <v>20000</v>
      </c>
      <c r="B114">
        <f t="shared" si="12"/>
        <v>6096</v>
      </c>
      <c r="C114">
        <f t="shared" si="15"/>
        <v>0.53282314864003799</v>
      </c>
      <c r="D114">
        <v>0.35</v>
      </c>
      <c r="E114">
        <v>1080</v>
      </c>
      <c r="F114" s="230">
        <f t="shared" si="16"/>
        <v>0.72</v>
      </c>
      <c r="G114">
        <f>H105*C114^H106</f>
        <v>0.75679592508496796</v>
      </c>
      <c r="H114" s="230">
        <f t="shared" si="13"/>
        <v>1.3539401028585761E-3</v>
      </c>
      <c r="I114">
        <f>J105*D114^J106*C114^J107</f>
        <v>0.70936105001140637</v>
      </c>
      <c r="J114" s="243">
        <f t="shared" si="14"/>
        <v>1.1318725685979586E-4</v>
      </c>
      <c r="U114" s="12"/>
      <c r="AD114" s="12"/>
    </row>
    <row r="115" spans="1:33" x14ac:dyDescent="0.35">
      <c r="A115">
        <v>20000</v>
      </c>
      <c r="B115">
        <f t="shared" si="12"/>
        <v>6096</v>
      </c>
      <c r="C115">
        <f t="shared" si="15"/>
        <v>0.53282314864003799</v>
      </c>
      <c r="D115">
        <v>0.4</v>
      </c>
      <c r="E115">
        <v>1100</v>
      </c>
      <c r="F115" s="230">
        <f t="shared" si="16"/>
        <v>0.73333333333333328</v>
      </c>
      <c r="G115">
        <f>H105*C115^H106</f>
        <v>0.75679592508496796</v>
      </c>
      <c r="H115" s="230">
        <f t="shared" si="13"/>
        <v>5.5049321170387556E-4</v>
      </c>
      <c r="I115">
        <f>J105*D115^J106*C115^J107</f>
        <v>0.73514689632389829</v>
      </c>
      <c r="J115" s="243">
        <f t="shared" si="14"/>
        <v>3.2890107207471014E-6</v>
      </c>
      <c r="U115" s="12"/>
    </row>
    <row r="116" spans="1:33" x14ac:dyDescent="0.35">
      <c r="A116">
        <v>20000</v>
      </c>
      <c r="B116">
        <f t="shared" si="12"/>
        <v>6096</v>
      </c>
      <c r="C116">
        <f t="shared" si="15"/>
        <v>0.53282314864003799</v>
      </c>
      <c r="D116">
        <v>0.45</v>
      </c>
      <c r="E116">
        <v>1135</v>
      </c>
      <c r="F116" s="230">
        <f t="shared" si="16"/>
        <v>0.75666666666666671</v>
      </c>
      <c r="G116">
        <f>H105*C116^H106</f>
        <v>0.75679592508496796</v>
      </c>
      <c r="H116" s="230">
        <f t="shared" si="13"/>
        <v>1.6707738701740392E-8</v>
      </c>
      <c r="I116">
        <f>J105*D116^J106*C116^J107</f>
        <v>0.75866855848725379</v>
      </c>
      <c r="J116" s="243">
        <f t="shared" si="14"/>
        <v>4.0075708613334384E-6</v>
      </c>
      <c r="U116" s="12"/>
    </row>
    <row r="117" spans="1:33" x14ac:dyDescent="0.35">
      <c r="A117">
        <v>20000</v>
      </c>
      <c r="B117">
        <f t="shared" si="12"/>
        <v>6096</v>
      </c>
      <c r="C117">
        <f t="shared" si="15"/>
        <v>0.53282314864003799</v>
      </c>
      <c r="D117">
        <v>0.5</v>
      </c>
      <c r="E117">
        <v>1175</v>
      </c>
      <c r="F117" s="230">
        <f t="shared" si="16"/>
        <v>0.78333333333333333</v>
      </c>
      <c r="G117">
        <f>H105*C117^H106</f>
        <v>0.75679592508496796</v>
      </c>
      <c r="H117" s="230">
        <f t="shared" si="13"/>
        <v>7.0423403654041033E-4</v>
      </c>
      <c r="I117">
        <f>J105*D117^J106*C117^J107</f>
        <v>0.78034640913247799</v>
      </c>
      <c r="J117" s="243">
        <f t="shared" si="14"/>
        <v>8.9217161816552772E-6</v>
      </c>
    </row>
    <row r="118" spans="1:33" x14ac:dyDescent="0.35">
      <c r="A118">
        <v>20000</v>
      </c>
      <c r="B118">
        <f t="shared" si="12"/>
        <v>6096</v>
      </c>
      <c r="C118">
        <f t="shared" si="15"/>
        <v>0.53282314864003799</v>
      </c>
      <c r="D118">
        <v>0.55000000000000004</v>
      </c>
      <c r="E118">
        <v>1210</v>
      </c>
      <c r="F118" s="230">
        <f t="shared" si="16"/>
        <v>0.80666666666666664</v>
      </c>
      <c r="G118">
        <f>H105*C118^H106</f>
        <v>0.75679592508496796</v>
      </c>
      <c r="H118" s="230">
        <f t="shared" si="13"/>
        <v>2.4870908659085705E-3</v>
      </c>
      <c r="I118">
        <f>J105*D118^J106*C118^J107</f>
        <v>0.80048953178653692</v>
      </c>
      <c r="J118" s="243">
        <f t="shared" si="14"/>
        <v>3.8156995327315208E-5</v>
      </c>
    </row>
    <row r="119" spans="1:33" x14ac:dyDescent="0.35">
      <c r="A119">
        <v>25000</v>
      </c>
      <c r="B119">
        <f t="shared" si="12"/>
        <v>7620</v>
      </c>
      <c r="C119">
        <f t="shared" si="15"/>
        <v>0.44813197544214456</v>
      </c>
      <c r="D119">
        <v>0.35</v>
      </c>
      <c r="E119">
        <v>900</v>
      </c>
      <c r="F119" s="230">
        <f t="shared" si="16"/>
        <v>0.6</v>
      </c>
      <c r="G119">
        <f>H105*C119^H106</f>
        <v>0.6402553088765558</v>
      </c>
      <c r="H119" s="230">
        <f t="shared" si="13"/>
        <v>1.6204898927469136E-3</v>
      </c>
      <c r="I119">
        <f>J105*D119^J106*C119^J107</f>
        <v>0.60016313229419094</v>
      </c>
      <c r="J119" s="243">
        <f t="shared" si="14"/>
        <v>2.6612145408005808E-8</v>
      </c>
    </row>
    <row r="120" spans="1:33" x14ac:dyDescent="0.35">
      <c r="A120">
        <v>25000</v>
      </c>
      <c r="B120">
        <f t="shared" si="12"/>
        <v>7620</v>
      </c>
      <c r="C120">
        <f t="shared" si="15"/>
        <v>0.44813197544214456</v>
      </c>
      <c r="D120">
        <v>0.4</v>
      </c>
      <c r="E120">
        <v>925</v>
      </c>
      <c r="F120" s="230">
        <f t="shared" si="16"/>
        <v>0.6166666666666667</v>
      </c>
      <c r="G120">
        <f>H105*C120^H106</f>
        <v>0.6402553088765558</v>
      </c>
      <c r="H120" s="230">
        <f t="shared" si="13"/>
        <v>5.5642404130616164E-4</v>
      </c>
      <c r="I120">
        <f>J105*D120^J106*C120^J107</f>
        <v>0.62197954622263107</v>
      </c>
      <c r="J120" s="243">
        <f t="shared" si="14"/>
        <v>2.8226689176184247E-5</v>
      </c>
    </row>
    <row r="121" spans="1:33" x14ac:dyDescent="0.35">
      <c r="A121">
        <v>25000</v>
      </c>
      <c r="B121">
        <f t="shared" si="12"/>
        <v>7620</v>
      </c>
      <c r="C121">
        <f t="shared" si="15"/>
        <v>0.44813197544214456</v>
      </c>
      <c r="D121">
        <v>0.45</v>
      </c>
      <c r="E121">
        <v>950</v>
      </c>
      <c r="F121" s="230">
        <f t="shared" si="16"/>
        <v>0.6333333333333333</v>
      </c>
      <c r="G121">
        <f>H105*C121^H106</f>
        <v>0.6402553088765558</v>
      </c>
      <c r="H121" s="230">
        <f t="shared" si="13"/>
        <v>4.7913745420970311E-5</v>
      </c>
      <c r="I121">
        <f>J105*D121^J106*C121^J107</f>
        <v>0.64188032092755487</v>
      </c>
      <c r="J121" s="243">
        <f t="shared" si="14"/>
        <v>7.3050996935777366E-5</v>
      </c>
    </row>
    <row r="122" spans="1:33" x14ac:dyDescent="0.35">
      <c r="A122">
        <v>25000</v>
      </c>
      <c r="B122">
        <f t="shared" si="12"/>
        <v>7620</v>
      </c>
      <c r="C122">
        <f t="shared" si="15"/>
        <v>0.44813197544214456</v>
      </c>
      <c r="D122">
        <v>0.5</v>
      </c>
      <c r="E122">
        <v>993</v>
      </c>
      <c r="F122" s="230">
        <f t="shared" si="16"/>
        <v>0.66200000000000003</v>
      </c>
      <c r="G122">
        <f>H105*C122^H106</f>
        <v>0.6402553088765558</v>
      </c>
      <c r="H122" s="230">
        <f t="shared" si="13"/>
        <v>4.7283159205399459E-4</v>
      </c>
      <c r="I122">
        <f>J105*D122^J106*C122^J107</f>
        <v>0.66022111754224666</v>
      </c>
      <c r="J122" s="243">
        <f t="shared" si="14"/>
        <v>3.1644227985026785E-6</v>
      </c>
    </row>
    <row r="123" spans="1:33" x14ac:dyDescent="0.35">
      <c r="A123" s="1">
        <v>25000</v>
      </c>
      <c r="B123" s="1">
        <f t="shared" si="12"/>
        <v>7620</v>
      </c>
      <c r="C123" s="1">
        <f t="shared" si="15"/>
        <v>0.44813197544214456</v>
      </c>
      <c r="D123" s="1">
        <v>0.55000000000000004</v>
      </c>
      <c r="E123" s="1">
        <v>1020</v>
      </c>
      <c r="F123" s="232">
        <f t="shared" si="16"/>
        <v>0.68</v>
      </c>
      <c r="G123" s="244">
        <f>H105*C123^H106</f>
        <v>0.6402553088765558</v>
      </c>
      <c r="H123" s="230">
        <f t="shared" si="13"/>
        <v>1.5796404724979884E-3</v>
      </c>
      <c r="I123" s="244">
        <f>J105*D123^J106*C123^J107</f>
        <v>0.67726343976455039</v>
      </c>
      <c r="J123" s="243">
        <f t="shared" si="14"/>
        <v>7.4887619222442918E-6</v>
      </c>
    </row>
    <row r="124" spans="1:33" x14ac:dyDescent="0.35">
      <c r="F124" s="234"/>
      <c r="H124" s="245">
        <f>SUM(H109:H123)</f>
        <v>1.6347149520848252E-2</v>
      </c>
      <c r="I124" s="12" t="s">
        <v>328</v>
      </c>
      <c r="J124" s="31">
        <f>SUM(J109:J123)</f>
        <v>3.6060400836240744E-4</v>
      </c>
    </row>
    <row r="125" spans="1:33" x14ac:dyDescent="0.35">
      <c r="H125" s="234"/>
    </row>
    <row r="126" spans="1:33" x14ac:dyDescent="0.35">
      <c r="I126" s="230"/>
      <c r="K126" s="230"/>
    </row>
    <row r="127" spans="1:33" ht="13.5" thickBot="1" x14ac:dyDescent="0.45">
      <c r="A127" s="8" t="s">
        <v>299</v>
      </c>
      <c r="B127" s="221" t="s">
        <v>513</v>
      </c>
      <c r="C127" s="64"/>
      <c r="D127" s="64"/>
      <c r="E127" s="64"/>
      <c r="F127" s="64"/>
      <c r="G127" s="64"/>
      <c r="H127" s="64"/>
      <c r="I127" s="228"/>
      <c r="J127" s="242" t="s">
        <v>512</v>
      </c>
      <c r="K127" s="230"/>
      <c r="L127" s="242" t="s">
        <v>514</v>
      </c>
    </row>
    <row r="128" spans="1:33" x14ac:dyDescent="0.35">
      <c r="J128" s="263" t="s">
        <v>8</v>
      </c>
      <c r="K128" s="186">
        <v>0.97360321473113665</v>
      </c>
      <c r="L128" s="263" t="s">
        <v>8</v>
      </c>
      <c r="M128" s="264">
        <v>1.0888301709791401</v>
      </c>
    </row>
    <row r="129" spans="1:14" ht="13.15" thickBot="1" x14ac:dyDescent="0.4">
      <c r="J129" s="265" t="s">
        <v>295</v>
      </c>
      <c r="K129" s="220">
        <v>0.91214976451550878</v>
      </c>
      <c r="L129" s="267" t="s">
        <v>295</v>
      </c>
      <c r="M129" s="268">
        <v>0.92410635883347492</v>
      </c>
    </row>
    <row r="130" spans="1:14" ht="13.15" thickBot="1" x14ac:dyDescent="0.4">
      <c r="I130" s="230"/>
      <c r="J130" s="12"/>
      <c r="L130" s="265" t="s">
        <v>1</v>
      </c>
      <c r="M130" s="266">
        <v>9.1209984869910693E-2</v>
      </c>
    </row>
    <row r="131" spans="1:14" x14ac:dyDescent="0.35">
      <c r="A131" s="225" t="s">
        <v>293</v>
      </c>
      <c r="B131" s="222" t="s">
        <v>310</v>
      </c>
      <c r="C131" s="222" t="s">
        <v>297</v>
      </c>
      <c r="D131" s="222" t="s">
        <v>312</v>
      </c>
      <c r="E131" s="222" t="s">
        <v>313</v>
      </c>
      <c r="F131" s="222" t="s">
        <v>308</v>
      </c>
      <c r="G131" s="222" t="s">
        <v>0</v>
      </c>
      <c r="H131" s="222" t="s">
        <v>296</v>
      </c>
      <c r="I131" s="238" t="s">
        <v>516</v>
      </c>
      <c r="J131" s="222" t="s">
        <v>314</v>
      </c>
      <c r="K131" s="238" t="s">
        <v>301</v>
      </c>
      <c r="L131" s="248" t="s">
        <v>315</v>
      </c>
      <c r="M131" s="271" t="s">
        <v>301</v>
      </c>
    </row>
    <row r="132" spans="1:14" x14ac:dyDescent="0.35">
      <c r="A132" s="12">
        <v>0</v>
      </c>
      <c r="B132" s="12">
        <f>A132*0.3048</f>
        <v>0</v>
      </c>
      <c r="C132">
        <f>(1-0.000022557*B132)^4.25587</f>
        <v>1</v>
      </c>
      <c r="D132">
        <v>100</v>
      </c>
      <c r="E132">
        <f>D132*1.609344</f>
        <v>160.93440000000001</v>
      </c>
      <c r="F132">
        <f>E132/3.6</f>
        <v>44.704000000000001</v>
      </c>
      <c r="G132">
        <f t="shared" ref="G132:G155" si="17">SQRT(gamma*Rconstant*(288.15-0.0065*B132))</f>
        <v>340.29406508195228</v>
      </c>
      <c r="H132">
        <f>F132/G132</f>
        <v>0.13136873247916925</v>
      </c>
      <c r="I132" s="230">
        <v>0.91</v>
      </c>
      <c r="J132">
        <f>K128*C132^K129</f>
        <v>0.97360321473113665</v>
      </c>
      <c r="K132" s="249">
        <f t="shared" ref="K132:K155" si="18">(J132-I132)^2</f>
        <v>4.0453689241350737E-3</v>
      </c>
      <c r="L132">
        <f>M128*C132^M129*H132^M130</f>
        <v>0.90481088379801555</v>
      </c>
      <c r="M132" s="251">
        <f t="shared" ref="M132:M155" si="19">(I132-L132)^2</f>
        <v>2.6926926957697818E-5</v>
      </c>
    </row>
    <row r="133" spans="1:14" x14ac:dyDescent="0.35">
      <c r="A133" s="12">
        <v>0</v>
      </c>
      <c r="B133" s="12">
        <f t="shared" ref="B133:B155" si="20">A133*0.3048</f>
        <v>0</v>
      </c>
      <c r="C133">
        <f t="shared" ref="C133:C155" si="21">(1-0.000022557*B133)^4.25587</f>
        <v>1</v>
      </c>
      <c r="D133">
        <v>200</v>
      </c>
      <c r="E133">
        <f t="shared" ref="E133:E155" si="22">D133*1.609344</f>
        <v>321.86880000000002</v>
      </c>
      <c r="F133">
        <f t="shared" ref="F133:F155" si="23">E133/3.6</f>
        <v>89.408000000000001</v>
      </c>
      <c r="G133">
        <f t="shared" si="17"/>
        <v>340.29406508195228</v>
      </c>
      <c r="H133">
        <f t="shared" ref="H133:H155" si="24">F133/G133</f>
        <v>0.2627374649583385</v>
      </c>
      <c r="I133" s="230">
        <v>0.92500000000000004</v>
      </c>
      <c r="J133">
        <f>K128*C133^K129</f>
        <v>0.97360321473113665</v>
      </c>
      <c r="K133" s="249">
        <f t="shared" si="18"/>
        <v>2.3622724822009739E-3</v>
      </c>
      <c r="L133">
        <f>M128*C133^M129*H133^M130</f>
        <v>0.96386177513045201</v>
      </c>
      <c r="M133" s="251">
        <f t="shared" si="19"/>
        <v>1.5102375662898152E-3</v>
      </c>
    </row>
    <row r="134" spans="1:14" x14ac:dyDescent="0.35">
      <c r="A134" s="12">
        <v>0</v>
      </c>
      <c r="B134" s="12">
        <f t="shared" si="20"/>
        <v>0</v>
      </c>
      <c r="C134">
        <f t="shared" si="21"/>
        <v>1</v>
      </c>
      <c r="D134">
        <v>300</v>
      </c>
      <c r="E134">
        <f t="shared" si="22"/>
        <v>482.80320000000006</v>
      </c>
      <c r="F134">
        <f t="shared" si="23"/>
        <v>134.11200000000002</v>
      </c>
      <c r="G134">
        <f t="shared" si="17"/>
        <v>340.29406508195228</v>
      </c>
      <c r="H134">
        <f t="shared" si="24"/>
        <v>0.3941061974375078</v>
      </c>
      <c r="I134" s="230">
        <v>0.96</v>
      </c>
      <c r="J134">
        <f>K128*C134^K129</f>
        <v>0.97360321473113665</v>
      </c>
      <c r="K134" s="249">
        <f t="shared" si="18"/>
        <v>1.8504745102141402E-4</v>
      </c>
      <c r="L134">
        <f>M128*C134^M129*H134^M130</f>
        <v>1.0001751002574857</v>
      </c>
      <c r="M134" s="251">
        <f t="shared" si="19"/>
        <v>1.614038680699029E-3</v>
      </c>
    </row>
    <row r="135" spans="1:14" x14ac:dyDescent="0.35">
      <c r="A135" s="12">
        <v>0</v>
      </c>
      <c r="B135" s="12">
        <f t="shared" si="20"/>
        <v>0</v>
      </c>
      <c r="C135">
        <f t="shared" si="21"/>
        <v>1</v>
      </c>
      <c r="D135">
        <v>400</v>
      </c>
      <c r="E135">
        <f t="shared" si="22"/>
        <v>643.73760000000004</v>
      </c>
      <c r="F135">
        <f t="shared" si="23"/>
        <v>178.816</v>
      </c>
      <c r="G135">
        <f t="shared" si="17"/>
        <v>340.29406508195228</v>
      </c>
      <c r="H135">
        <f t="shared" si="24"/>
        <v>0.52547492991667699</v>
      </c>
      <c r="I135" s="230">
        <v>1.1000000000000001</v>
      </c>
      <c r="J135">
        <f>K128*C135^K129</f>
        <v>0.97360321473113665</v>
      </c>
      <c r="K135" s="249">
        <f t="shared" si="18"/>
        <v>1.5976147326303175E-2</v>
      </c>
      <c r="L135">
        <f>M128*C135^M129*H135^M130</f>
        <v>1.026766519051971</v>
      </c>
      <c r="M135" s="252">
        <f t="shared" si="19"/>
        <v>5.3631427317653354E-3</v>
      </c>
      <c r="N135" s="26"/>
    </row>
    <row r="136" spans="1:14" x14ac:dyDescent="0.35">
      <c r="A136" s="12">
        <v>5000</v>
      </c>
      <c r="B136" s="12">
        <f t="shared" si="20"/>
        <v>1524</v>
      </c>
      <c r="C136">
        <f t="shared" si="21"/>
        <v>0.86167477625316724</v>
      </c>
      <c r="D136">
        <v>100</v>
      </c>
      <c r="E136">
        <f t="shared" si="22"/>
        <v>160.93440000000001</v>
      </c>
      <c r="F136">
        <f t="shared" si="23"/>
        <v>44.704000000000001</v>
      </c>
      <c r="G136">
        <f t="shared" si="17"/>
        <v>334.39360775110515</v>
      </c>
      <c r="H136">
        <f t="shared" si="24"/>
        <v>0.13368676602596408</v>
      </c>
      <c r="I136" s="230">
        <v>0.81</v>
      </c>
      <c r="J136">
        <f>K128*C136^K129</f>
        <v>0.84997368167999154</v>
      </c>
      <c r="K136" s="249">
        <f t="shared" si="18"/>
        <v>1.5978952270532874E-3</v>
      </c>
      <c r="L136">
        <f>M128*C136^M129*H136^M130</f>
        <v>0.78977083270271375</v>
      </c>
      <c r="M136" s="252">
        <f t="shared" si="19"/>
        <v>4.0921920954159745E-4</v>
      </c>
      <c r="N136" s="26"/>
    </row>
    <row r="137" spans="1:14" x14ac:dyDescent="0.35">
      <c r="A137" s="12">
        <v>5000</v>
      </c>
      <c r="B137" s="12">
        <f t="shared" si="20"/>
        <v>1524</v>
      </c>
      <c r="C137">
        <f t="shared" si="21"/>
        <v>0.86167477625316724</v>
      </c>
      <c r="D137">
        <v>200</v>
      </c>
      <c r="E137">
        <f t="shared" si="22"/>
        <v>321.86880000000002</v>
      </c>
      <c r="F137">
        <f t="shared" si="23"/>
        <v>89.408000000000001</v>
      </c>
      <c r="G137">
        <f t="shared" si="17"/>
        <v>334.39360775110515</v>
      </c>
      <c r="H137">
        <f t="shared" si="24"/>
        <v>0.26737353205192815</v>
      </c>
      <c r="I137" s="230">
        <v>0.82499999999999996</v>
      </c>
      <c r="J137">
        <f>K128*C137^K129</f>
        <v>0.84997368167999154</v>
      </c>
      <c r="K137" s="249">
        <f t="shared" si="18"/>
        <v>6.2368477665354746E-4</v>
      </c>
      <c r="L137">
        <f>M128*C137^M129*H137^M130</f>
        <v>0.84131383738419441</v>
      </c>
      <c r="M137" s="252">
        <f t="shared" si="19"/>
        <v>2.6614129019794045E-4</v>
      </c>
      <c r="N137" s="26"/>
    </row>
    <row r="138" spans="1:14" x14ac:dyDescent="0.35">
      <c r="A138" s="12">
        <v>5000</v>
      </c>
      <c r="B138" s="12">
        <f t="shared" si="20"/>
        <v>1524</v>
      </c>
      <c r="C138">
        <f t="shared" si="21"/>
        <v>0.86167477625316724</v>
      </c>
      <c r="D138">
        <v>300</v>
      </c>
      <c r="E138">
        <f t="shared" si="22"/>
        <v>482.80320000000006</v>
      </c>
      <c r="F138">
        <f t="shared" si="23"/>
        <v>134.11200000000002</v>
      </c>
      <c r="G138">
        <f t="shared" si="17"/>
        <v>334.39360775110515</v>
      </c>
      <c r="H138">
        <f t="shared" si="24"/>
        <v>0.40106029807789229</v>
      </c>
      <c r="I138" s="230">
        <v>0.86</v>
      </c>
      <c r="J138">
        <f>K128*C138^K129</f>
        <v>0.84997368167999154</v>
      </c>
      <c r="K138" s="249">
        <f t="shared" si="18"/>
        <v>1.0052705905413691E-4</v>
      </c>
      <c r="L138">
        <f>M128*C138^M129*H138^M130</f>
        <v>0.87301019022137361</v>
      </c>
      <c r="M138" s="252">
        <f t="shared" si="19"/>
        <v>1.6926504959632573E-4</v>
      </c>
      <c r="N138" s="26"/>
    </row>
    <row r="139" spans="1:14" x14ac:dyDescent="0.35">
      <c r="A139" s="12">
        <v>5000</v>
      </c>
      <c r="B139" s="12">
        <f t="shared" si="20"/>
        <v>1524</v>
      </c>
      <c r="C139">
        <f t="shared" si="21"/>
        <v>0.86167477625316724</v>
      </c>
      <c r="D139">
        <v>400</v>
      </c>
      <c r="E139">
        <f t="shared" si="22"/>
        <v>643.73760000000004</v>
      </c>
      <c r="F139">
        <f t="shared" si="23"/>
        <v>178.816</v>
      </c>
      <c r="G139">
        <f t="shared" si="17"/>
        <v>334.39360775110515</v>
      </c>
      <c r="H139">
        <f t="shared" si="24"/>
        <v>0.53474706410385631</v>
      </c>
      <c r="I139" s="230">
        <v>0.9</v>
      </c>
      <c r="J139">
        <f>K128*C139^K129</f>
        <v>0.84997368167999154</v>
      </c>
      <c r="K139" s="249">
        <f t="shared" si="18"/>
        <v>2.502632524654816E-3</v>
      </c>
      <c r="L139">
        <f>M128*C139^M129*H139^M130</f>
        <v>0.89622070563417833</v>
      </c>
      <c r="M139" s="252">
        <f t="shared" si="19"/>
        <v>1.4283065903531607E-5</v>
      </c>
      <c r="N139" s="26"/>
    </row>
    <row r="140" spans="1:14" x14ac:dyDescent="0.35">
      <c r="A140">
        <v>10000</v>
      </c>
      <c r="B140">
        <f t="shared" si="20"/>
        <v>3048</v>
      </c>
      <c r="C140">
        <f t="shared" si="21"/>
        <v>0.73848676861393581</v>
      </c>
      <c r="D140">
        <v>100</v>
      </c>
      <c r="E140">
        <f t="shared" si="22"/>
        <v>160.93440000000001</v>
      </c>
      <c r="F140">
        <f t="shared" si="23"/>
        <v>44.704000000000001</v>
      </c>
      <c r="G140">
        <f t="shared" si="17"/>
        <v>328.38714816447975</v>
      </c>
      <c r="H140">
        <f t="shared" si="24"/>
        <v>0.13613200227193131</v>
      </c>
      <c r="I140" s="230">
        <v>0.7</v>
      </c>
      <c r="J140">
        <f>K128*C140^K129</f>
        <v>0.73839855972504542</v>
      </c>
      <c r="K140" s="249">
        <f t="shared" si="18"/>
        <v>1.4744493889578838E-3</v>
      </c>
      <c r="L140">
        <f>M128*C140^M129*H140^M130</f>
        <v>0.68596718615132291</v>
      </c>
      <c r="M140" s="252">
        <f t="shared" si="19"/>
        <v>1.9691986451162241E-4</v>
      </c>
      <c r="N140" s="26"/>
    </row>
    <row r="141" spans="1:14" x14ac:dyDescent="0.35">
      <c r="A141">
        <v>10000</v>
      </c>
      <c r="B141">
        <f t="shared" si="20"/>
        <v>3048</v>
      </c>
      <c r="C141">
        <f t="shared" si="21"/>
        <v>0.73848676861393581</v>
      </c>
      <c r="D141">
        <v>200</v>
      </c>
      <c r="E141">
        <f t="shared" si="22"/>
        <v>321.86880000000002</v>
      </c>
      <c r="F141">
        <f t="shared" si="23"/>
        <v>89.408000000000001</v>
      </c>
      <c r="G141">
        <f t="shared" si="17"/>
        <v>328.38714816447975</v>
      </c>
      <c r="H141">
        <f t="shared" si="24"/>
        <v>0.27226400454386263</v>
      </c>
      <c r="I141" s="230">
        <v>0.72</v>
      </c>
      <c r="J141">
        <f>K128*C141^K129</f>
        <v>0.73839855972504542</v>
      </c>
      <c r="K141" s="249">
        <f t="shared" si="18"/>
        <v>3.3850699995606449E-4</v>
      </c>
      <c r="L141">
        <f>M128*C141^M129*H141^M130</f>
        <v>0.73073562836657102</v>
      </c>
      <c r="M141" s="252">
        <f t="shared" si="19"/>
        <v>1.1525371642512496E-4</v>
      </c>
      <c r="N141" s="26"/>
    </row>
    <row r="142" spans="1:14" x14ac:dyDescent="0.35">
      <c r="A142">
        <v>10000</v>
      </c>
      <c r="B142">
        <f t="shared" si="20"/>
        <v>3048</v>
      </c>
      <c r="C142">
        <f t="shared" si="21"/>
        <v>0.73848676861393581</v>
      </c>
      <c r="D142">
        <v>300</v>
      </c>
      <c r="E142">
        <f t="shared" si="22"/>
        <v>482.80320000000006</v>
      </c>
      <c r="F142">
        <f t="shared" si="23"/>
        <v>134.11200000000002</v>
      </c>
      <c r="G142">
        <f t="shared" si="17"/>
        <v>328.38714816447975</v>
      </c>
      <c r="H142">
        <f t="shared" si="24"/>
        <v>0.40839600681579397</v>
      </c>
      <c r="I142" s="230">
        <v>0.745</v>
      </c>
      <c r="J142">
        <f>K128*C142^K129</f>
        <v>0.73839855972504542</v>
      </c>
      <c r="K142" s="249">
        <f t="shared" si="18"/>
        <v>4.357901370379231E-5</v>
      </c>
      <c r="L142">
        <f>M128*C142^M129*H142^M130</f>
        <v>0.75826596636673815</v>
      </c>
      <c r="M142" s="252">
        <f t="shared" si="19"/>
        <v>1.7598586364342799E-4</v>
      </c>
      <c r="N142" s="26"/>
    </row>
    <row r="143" spans="1:14" x14ac:dyDescent="0.35">
      <c r="A143">
        <v>10000</v>
      </c>
      <c r="B143">
        <f t="shared" si="20"/>
        <v>3048</v>
      </c>
      <c r="C143">
        <f t="shared" si="21"/>
        <v>0.73848676861393581</v>
      </c>
      <c r="D143">
        <v>400</v>
      </c>
      <c r="E143">
        <f t="shared" si="22"/>
        <v>643.73760000000004</v>
      </c>
      <c r="F143">
        <f t="shared" si="23"/>
        <v>178.816</v>
      </c>
      <c r="G143">
        <f t="shared" si="17"/>
        <v>328.38714816447975</v>
      </c>
      <c r="H143">
        <f t="shared" si="24"/>
        <v>0.54452800908772525</v>
      </c>
      <c r="I143" s="230">
        <v>0.78</v>
      </c>
      <c r="J143">
        <f>K128*C143^K129</f>
        <v>0.73839855972504542</v>
      </c>
      <c r="K143" s="249">
        <f t="shared" si="18"/>
        <v>1.7306798329506151E-3</v>
      </c>
      <c r="L143">
        <f>M128*C143^M129*H143^M130</f>
        <v>0.77842580424319829</v>
      </c>
      <c r="M143" s="252">
        <f t="shared" si="19"/>
        <v>2.4780922807325806E-6</v>
      </c>
      <c r="N143" s="26"/>
    </row>
    <row r="144" spans="1:14" x14ac:dyDescent="0.35">
      <c r="A144">
        <v>15000</v>
      </c>
      <c r="B144">
        <f t="shared" si="20"/>
        <v>4572</v>
      </c>
      <c r="C144">
        <f t="shared" si="21"/>
        <v>0.62924770568426325</v>
      </c>
      <c r="D144">
        <v>100</v>
      </c>
      <c r="E144">
        <f t="shared" si="22"/>
        <v>160.93440000000001</v>
      </c>
      <c r="F144">
        <f t="shared" si="23"/>
        <v>44.704000000000001</v>
      </c>
      <c r="G144">
        <f t="shared" si="17"/>
        <v>322.26875935219033</v>
      </c>
      <c r="H144">
        <f t="shared" si="24"/>
        <v>0.13871651751122852</v>
      </c>
      <c r="I144" s="230">
        <v>0.61</v>
      </c>
      <c r="J144">
        <f>K128*C144^K129</f>
        <v>0.63808304703463326</v>
      </c>
      <c r="K144" s="249">
        <f t="shared" si="18"/>
        <v>7.8865753074942445E-4</v>
      </c>
      <c r="L144">
        <f>M128*C144^M129*H144^M130</f>
        <v>0.59265706975529964</v>
      </c>
      <c r="M144" s="252">
        <f t="shared" si="19"/>
        <v>3.0077722947254211E-4</v>
      </c>
      <c r="N144" s="26"/>
    </row>
    <row r="145" spans="1:18" x14ac:dyDescent="0.35">
      <c r="A145">
        <v>15000</v>
      </c>
      <c r="B145">
        <f t="shared" si="20"/>
        <v>4572</v>
      </c>
      <c r="C145">
        <f t="shared" si="21"/>
        <v>0.62924770568426325</v>
      </c>
      <c r="D145">
        <v>200</v>
      </c>
      <c r="E145">
        <f t="shared" si="22"/>
        <v>321.86880000000002</v>
      </c>
      <c r="F145">
        <f t="shared" si="23"/>
        <v>89.408000000000001</v>
      </c>
      <c r="G145">
        <f t="shared" si="17"/>
        <v>322.26875935219033</v>
      </c>
      <c r="H145">
        <f t="shared" si="24"/>
        <v>0.27743303502245703</v>
      </c>
      <c r="I145" s="230">
        <v>0.63</v>
      </c>
      <c r="J145">
        <f>K128*C145^K129</f>
        <v>0.63808304703463326</v>
      </c>
      <c r="K145" s="249">
        <f t="shared" si="18"/>
        <v>6.5335649364093391E-5</v>
      </c>
      <c r="L145">
        <f>M128*C145^M129*H145^M130</f>
        <v>0.63133579129832318</v>
      </c>
      <c r="M145" s="252">
        <f t="shared" si="19"/>
        <v>1.7843383926759123E-6</v>
      </c>
      <c r="N145" s="26"/>
    </row>
    <row r="146" spans="1:18" x14ac:dyDescent="0.35">
      <c r="A146">
        <v>15000</v>
      </c>
      <c r="B146">
        <f t="shared" si="20"/>
        <v>4572</v>
      </c>
      <c r="C146">
        <f t="shared" si="21"/>
        <v>0.62924770568426325</v>
      </c>
      <c r="D146">
        <v>300</v>
      </c>
      <c r="E146">
        <f t="shared" si="22"/>
        <v>482.80320000000006</v>
      </c>
      <c r="F146">
        <f t="shared" si="23"/>
        <v>134.11200000000002</v>
      </c>
      <c r="G146">
        <f t="shared" si="17"/>
        <v>322.26875935219033</v>
      </c>
      <c r="H146">
        <f t="shared" si="24"/>
        <v>0.41614955253368563</v>
      </c>
      <c r="I146" s="230">
        <v>0.65</v>
      </c>
      <c r="J146">
        <f>K128*C146^K129</f>
        <v>0.63808304703463326</v>
      </c>
      <c r="K146" s="249">
        <f t="shared" si="18"/>
        <v>1.4201376797876378E-4</v>
      </c>
      <c r="L146">
        <f>M128*C146^M129*H146^M130</f>
        <v>0.65512125768498042</v>
      </c>
      <c r="M146" s="252">
        <f t="shared" si="19"/>
        <v>2.6227280275970765E-5</v>
      </c>
      <c r="N146" s="26"/>
    </row>
    <row r="147" spans="1:18" x14ac:dyDescent="0.35">
      <c r="A147">
        <v>15000</v>
      </c>
      <c r="B147">
        <f t="shared" si="20"/>
        <v>4572</v>
      </c>
      <c r="C147">
        <f t="shared" si="21"/>
        <v>0.62924770568426325</v>
      </c>
      <c r="D147">
        <v>400</v>
      </c>
      <c r="E147">
        <f t="shared" si="22"/>
        <v>643.73760000000004</v>
      </c>
      <c r="F147">
        <f t="shared" si="23"/>
        <v>178.816</v>
      </c>
      <c r="G147">
        <f t="shared" si="17"/>
        <v>322.26875935219033</v>
      </c>
      <c r="H147">
        <f t="shared" si="24"/>
        <v>0.55486607004491406</v>
      </c>
      <c r="I147" s="230">
        <v>0.68</v>
      </c>
      <c r="J147">
        <f>K128*C147^K129</f>
        <v>0.63808304703463326</v>
      </c>
      <c r="K147" s="249">
        <f t="shared" si="18"/>
        <v>1.7570309459007721E-3</v>
      </c>
      <c r="L147">
        <f>M128*C147^M129*H147^M130</f>
        <v>0.67253881159107798</v>
      </c>
      <c r="M147" s="252">
        <f t="shared" si="19"/>
        <v>5.5669332473433054E-5</v>
      </c>
      <c r="N147" s="26"/>
    </row>
    <row r="148" spans="1:18" x14ac:dyDescent="0.35">
      <c r="A148">
        <v>20000</v>
      </c>
      <c r="B148">
        <f t="shared" si="20"/>
        <v>6096</v>
      </c>
      <c r="C148">
        <f t="shared" si="21"/>
        <v>0.53282314864003799</v>
      </c>
      <c r="D148">
        <v>100</v>
      </c>
      <c r="E148">
        <f t="shared" si="22"/>
        <v>160.93440000000001</v>
      </c>
      <c r="F148">
        <f t="shared" si="23"/>
        <v>44.704000000000001</v>
      </c>
      <c r="G148">
        <f t="shared" si="17"/>
        <v>316.03194052057455</v>
      </c>
      <c r="H148">
        <f t="shared" si="24"/>
        <v>0.14145405659428797</v>
      </c>
      <c r="I148" s="230">
        <v>0.52</v>
      </c>
      <c r="J148">
        <f>K128*C148^K129</f>
        <v>0.54825780653645795</v>
      </c>
      <c r="K148" s="249">
        <f t="shared" si="18"/>
        <v>7.9850363025188453E-4</v>
      </c>
      <c r="L148">
        <f>M128*C148^M129*H148^M130</f>
        <v>0.50912155030585671</v>
      </c>
      <c r="M148" s="252">
        <f t="shared" si="19"/>
        <v>1.1834066774800669E-4</v>
      </c>
      <c r="N148" s="26"/>
    </row>
    <row r="149" spans="1:18" x14ac:dyDescent="0.35">
      <c r="A149">
        <v>20000</v>
      </c>
      <c r="B149">
        <f t="shared" si="20"/>
        <v>6096</v>
      </c>
      <c r="C149">
        <f t="shared" si="21"/>
        <v>0.53282314864003799</v>
      </c>
      <c r="D149">
        <v>200</v>
      </c>
      <c r="E149">
        <f t="shared" si="22"/>
        <v>321.86880000000002</v>
      </c>
      <c r="F149">
        <f t="shared" si="23"/>
        <v>89.408000000000001</v>
      </c>
      <c r="G149">
        <f t="shared" si="17"/>
        <v>316.03194052057455</v>
      </c>
      <c r="H149">
        <f t="shared" si="24"/>
        <v>0.28290811318857595</v>
      </c>
      <c r="I149" s="230">
        <v>0.54</v>
      </c>
      <c r="J149">
        <f>K128*C149^K129</f>
        <v>0.54825780653645795</v>
      </c>
      <c r="K149" s="249">
        <f t="shared" si="18"/>
        <v>6.8191368793567026E-5</v>
      </c>
      <c r="L149">
        <f>M128*C149^M129*H149^M130</f>
        <v>0.54234847305894784</v>
      </c>
      <c r="M149" s="252">
        <f t="shared" si="19"/>
        <v>5.5153257086036779E-6</v>
      </c>
      <c r="N149" s="26"/>
    </row>
    <row r="150" spans="1:18" x14ac:dyDescent="0.35">
      <c r="A150">
        <v>20000</v>
      </c>
      <c r="B150">
        <f t="shared" si="20"/>
        <v>6096</v>
      </c>
      <c r="C150">
        <f t="shared" si="21"/>
        <v>0.53282314864003799</v>
      </c>
      <c r="D150">
        <v>300</v>
      </c>
      <c r="E150">
        <f t="shared" si="22"/>
        <v>482.80320000000006</v>
      </c>
      <c r="F150">
        <f t="shared" si="23"/>
        <v>134.11200000000002</v>
      </c>
      <c r="G150">
        <f t="shared" si="17"/>
        <v>316.03194052057455</v>
      </c>
      <c r="H150">
        <f t="shared" si="24"/>
        <v>0.42436216978286395</v>
      </c>
      <c r="I150" s="230">
        <v>0.56000000000000005</v>
      </c>
      <c r="J150">
        <f>K128*C150^K129</f>
        <v>0.54825780653645795</v>
      </c>
      <c r="K150" s="249">
        <f t="shared" si="18"/>
        <v>1.3787910733525094E-4</v>
      </c>
      <c r="L150">
        <f>M128*C150^M129*H150^M130</f>
        <v>0.56278135767217385</v>
      </c>
      <c r="M150" s="252">
        <f t="shared" si="19"/>
        <v>7.7359505005600647E-6</v>
      </c>
      <c r="N150" s="26"/>
    </row>
    <row r="151" spans="1:18" x14ac:dyDescent="0.35">
      <c r="A151">
        <v>20000</v>
      </c>
      <c r="B151">
        <f t="shared" si="20"/>
        <v>6096</v>
      </c>
      <c r="C151">
        <f t="shared" si="21"/>
        <v>0.53282314864003799</v>
      </c>
      <c r="D151">
        <v>400</v>
      </c>
      <c r="E151">
        <f t="shared" si="22"/>
        <v>643.73760000000004</v>
      </c>
      <c r="F151">
        <f t="shared" si="23"/>
        <v>178.816</v>
      </c>
      <c r="G151">
        <f t="shared" si="17"/>
        <v>316.03194052057455</v>
      </c>
      <c r="H151">
        <f t="shared" si="24"/>
        <v>0.5658162263771519</v>
      </c>
      <c r="I151" s="230">
        <v>0.59</v>
      </c>
      <c r="J151">
        <f>K128*C151^K129</f>
        <v>0.54825780653645795</v>
      </c>
      <c r="K151" s="249">
        <f t="shared" si="18"/>
        <v>1.7424107151477702E-3</v>
      </c>
      <c r="L151">
        <f>M128*C151^M129*H151^M130</f>
        <v>0.57774389250006286</v>
      </c>
      <c r="M151" s="252">
        <f t="shared" si="19"/>
        <v>1.5021217105001461E-4</v>
      </c>
      <c r="N151" s="26"/>
    </row>
    <row r="152" spans="1:18" x14ac:dyDescent="0.35">
      <c r="A152">
        <v>25000</v>
      </c>
      <c r="B152">
        <f t="shared" si="20"/>
        <v>7620</v>
      </c>
      <c r="C152">
        <f t="shared" si="21"/>
        <v>0.44813197544214456</v>
      </c>
      <c r="D152">
        <v>100</v>
      </c>
      <c r="E152">
        <f t="shared" si="22"/>
        <v>160.93440000000001</v>
      </c>
      <c r="F152">
        <f t="shared" si="23"/>
        <v>44.704000000000001</v>
      </c>
      <c r="G152">
        <f t="shared" si="17"/>
        <v>309.66953612520558</v>
      </c>
      <c r="H152">
        <f t="shared" si="24"/>
        <v>0.14436034154139488</v>
      </c>
      <c r="I152" s="230">
        <v>0.44</v>
      </c>
      <c r="J152">
        <f>K128*C152^K129</f>
        <v>0.46817907926021224</v>
      </c>
      <c r="K152" s="249">
        <f t="shared" si="18"/>
        <v>7.9406050795332336E-4</v>
      </c>
      <c r="L152">
        <f>M128*C152^M129*H152^M130</f>
        <v>0.43466573755633497</v>
      </c>
      <c r="M152" s="252">
        <f t="shared" si="19"/>
        <v>2.8454355817895194E-5</v>
      </c>
      <c r="N152" s="26"/>
    </row>
    <row r="153" spans="1:18" x14ac:dyDescent="0.35">
      <c r="A153">
        <v>25000</v>
      </c>
      <c r="B153">
        <f t="shared" si="20"/>
        <v>7620</v>
      </c>
      <c r="C153">
        <f t="shared" si="21"/>
        <v>0.44813197544214456</v>
      </c>
      <c r="D153">
        <v>200</v>
      </c>
      <c r="E153">
        <f t="shared" si="22"/>
        <v>321.86880000000002</v>
      </c>
      <c r="F153">
        <f t="shared" si="23"/>
        <v>89.408000000000001</v>
      </c>
      <c r="G153">
        <f t="shared" si="17"/>
        <v>309.66953612520558</v>
      </c>
      <c r="H153">
        <f t="shared" si="24"/>
        <v>0.28872068308278975</v>
      </c>
      <c r="I153" s="230">
        <v>0.45</v>
      </c>
      <c r="J153">
        <f>K128*C153^K129</f>
        <v>0.46817907926021224</v>
      </c>
      <c r="K153" s="249">
        <f t="shared" si="18"/>
        <v>3.3047892274907836E-4</v>
      </c>
      <c r="L153">
        <f>M128*C153^M129*H153^M130</f>
        <v>0.46303343261171664</v>
      </c>
      <c r="M153" s="252">
        <f t="shared" si="19"/>
        <v>1.6987036564415867E-4</v>
      </c>
      <c r="N153" s="26"/>
      <c r="R153" s="12"/>
    </row>
    <row r="154" spans="1:18" x14ac:dyDescent="0.35">
      <c r="A154">
        <v>25000</v>
      </c>
      <c r="B154">
        <f t="shared" si="20"/>
        <v>7620</v>
      </c>
      <c r="C154">
        <f t="shared" si="21"/>
        <v>0.44813197544214456</v>
      </c>
      <c r="D154">
        <v>300</v>
      </c>
      <c r="E154">
        <f t="shared" si="22"/>
        <v>482.80320000000006</v>
      </c>
      <c r="F154">
        <f t="shared" si="23"/>
        <v>134.11200000000002</v>
      </c>
      <c r="G154">
        <f t="shared" si="17"/>
        <v>309.66953612520558</v>
      </c>
      <c r="H154">
        <f t="shared" si="24"/>
        <v>0.43308102462418474</v>
      </c>
      <c r="I154" s="230">
        <v>0.47</v>
      </c>
      <c r="J154">
        <f>K128*C154^K129</f>
        <v>0.46817907926021224</v>
      </c>
      <c r="K154" s="249">
        <f t="shared" si="18"/>
        <v>3.315752340589111E-6</v>
      </c>
      <c r="L154">
        <f>M128*C154^M129*H154^M130</f>
        <v>0.48047813683898</v>
      </c>
      <c r="M154" s="252">
        <f t="shared" si="19"/>
        <v>1.0979135161639028E-4</v>
      </c>
      <c r="N154" s="26"/>
    </row>
    <row r="155" spans="1:18" x14ac:dyDescent="0.35">
      <c r="A155" s="1">
        <v>25000</v>
      </c>
      <c r="B155" s="1">
        <f t="shared" si="20"/>
        <v>7620</v>
      </c>
      <c r="C155" s="1">
        <f t="shared" si="21"/>
        <v>0.44813197544214456</v>
      </c>
      <c r="D155" s="1">
        <v>400</v>
      </c>
      <c r="E155" s="1">
        <f t="shared" si="22"/>
        <v>643.73760000000004</v>
      </c>
      <c r="F155" s="1">
        <f t="shared" si="23"/>
        <v>178.816</v>
      </c>
      <c r="G155" s="1">
        <f t="shared" si="17"/>
        <v>309.66953612520558</v>
      </c>
      <c r="H155" s="1">
        <f t="shared" si="24"/>
        <v>0.57744136616557951</v>
      </c>
      <c r="I155" s="232">
        <v>0.49</v>
      </c>
      <c r="J155" s="244">
        <f>K128*C155^K129</f>
        <v>0.46817907926021224</v>
      </c>
      <c r="K155" s="250">
        <f t="shared" si="18"/>
        <v>4.7615258193209927E-4</v>
      </c>
      <c r="L155" s="244">
        <f>M128*C155^M129*H155^M130</f>
        <v>0.49325249540378541</v>
      </c>
      <c r="M155" s="252">
        <f t="shared" si="19"/>
        <v>1.0578726351645256E-5</v>
      </c>
      <c r="N155" s="26"/>
    </row>
    <row r="156" spans="1:18" x14ac:dyDescent="0.35">
      <c r="I156" s="230"/>
      <c r="J156" s="246"/>
      <c r="K156" s="254">
        <f>SUM(K132:K155)</f>
        <v>3.8084821487141395E-2</v>
      </c>
      <c r="L156" s="12" t="s">
        <v>328</v>
      </c>
      <c r="M156" s="253">
        <f>SUM(M132:M155)</f>
        <v>1.0848849152864073E-2</v>
      </c>
    </row>
    <row r="157" spans="1:18" x14ac:dyDescent="0.35">
      <c r="K157" s="230"/>
    </row>
    <row r="161" spans="1:13" ht="13.5" thickBot="1" x14ac:dyDescent="0.45">
      <c r="A161" s="8" t="s">
        <v>487</v>
      </c>
      <c r="B161" s="221" t="s">
        <v>513</v>
      </c>
      <c r="C161" s="64"/>
      <c r="D161" s="64"/>
      <c r="E161" s="64"/>
      <c r="F161" s="64"/>
      <c r="G161" s="64"/>
      <c r="H161" s="64"/>
      <c r="I161" s="64"/>
      <c r="J161" s="228"/>
      <c r="K161" s="242" t="s">
        <v>514</v>
      </c>
    </row>
    <row r="162" spans="1:13" x14ac:dyDescent="0.35">
      <c r="K162" s="263" t="s">
        <v>8</v>
      </c>
      <c r="L162" s="264">
        <v>1.8828998790472962</v>
      </c>
    </row>
    <row r="163" spans="1:13" x14ac:dyDescent="0.35">
      <c r="K163" s="267" t="s">
        <v>1</v>
      </c>
      <c r="L163" s="268">
        <v>0.92866802165791484</v>
      </c>
    </row>
    <row r="164" spans="1:13" x14ac:dyDescent="0.35">
      <c r="K164" s="267" t="s">
        <v>295</v>
      </c>
      <c r="L164" s="268">
        <v>0.7409301113897504</v>
      </c>
    </row>
    <row r="165" spans="1:13" x14ac:dyDescent="0.35">
      <c r="A165" s="225" t="s">
        <v>309</v>
      </c>
      <c r="B165" s="222" t="s">
        <v>516</v>
      </c>
      <c r="C165" s="222" t="s">
        <v>293</v>
      </c>
      <c r="D165" s="222" t="s">
        <v>294</v>
      </c>
      <c r="E165" s="222" t="s">
        <v>308</v>
      </c>
      <c r="F165" s="222" t="s">
        <v>297</v>
      </c>
      <c r="G165" s="222" t="s">
        <v>296</v>
      </c>
      <c r="H165" s="222" t="s">
        <v>0</v>
      </c>
      <c r="I165" s="222" t="s">
        <v>327</v>
      </c>
      <c r="J165" s="238" t="s">
        <v>300</v>
      </c>
      <c r="K165" s="222" t="s">
        <v>300</v>
      </c>
      <c r="L165" s="223" t="s">
        <v>301</v>
      </c>
    </row>
    <row r="166" spans="1:13" ht="13.15" thickBot="1" x14ac:dyDescent="0.4">
      <c r="A166" s="26">
        <v>872.22</v>
      </c>
      <c r="B166">
        <f t="shared" ref="B166:B171" si="25">A166/2051.15</f>
        <v>0.42523462447895083</v>
      </c>
      <c r="C166">
        <v>30000</v>
      </c>
      <c r="D166">
        <f t="shared" ref="D166:D171" si="26">C166*0.3048</f>
        <v>9144</v>
      </c>
      <c r="I166">
        <v>872.22</v>
      </c>
      <c r="J166" s="234">
        <f t="shared" ref="J166:J171" si="27">I166/2051.15</f>
        <v>0.42523462447895083</v>
      </c>
      <c r="L166" s="20"/>
    </row>
    <row r="167" spans="1:13" x14ac:dyDescent="0.35">
      <c r="A167" s="26">
        <v>1016.66</v>
      </c>
      <c r="B167">
        <f t="shared" si="25"/>
        <v>0.49565365770421466</v>
      </c>
      <c r="C167">
        <v>25000</v>
      </c>
      <c r="D167">
        <f t="shared" si="26"/>
        <v>7620</v>
      </c>
      <c r="E167">
        <v>141.994</v>
      </c>
      <c r="F167">
        <f>(1-0.000022557*D167)^4.25587</f>
        <v>0.44813197544214456</v>
      </c>
      <c r="G167">
        <f>E167/H167</f>
        <v>0.45853396422755965</v>
      </c>
      <c r="H167">
        <f>SQRT(gamma*Rconstant*(288.15-0.0065*D167))</f>
        <v>309.66953612520558</v>
      </c>
      <c r="I167">
        <v>1016.66</v>
      </c>
      <c r="J167" s="272">
        <f t="shared" si="27"/>
        <v>0.49565365770421466</v>
      </c>
      <c r="K167">
        <f>L162*F167^L163*G167^L164</f>
        <v>0.50141696085669252</v>
      </c>
      <c r="L167" s="251">
        <f>(J167-K167)^2</f>
        <v>3.3215663227361254E-5</v>
      </c>
    </row>
    <row r="168" spans="1:13" x14ac:dyDescent="0.35">
      <c r="A168" s="26">
        <v>1200</v>
      </c>
      <c r="B168">
        <f t="shared" si="25"/>
        <v>0.58503766179947836</v>
      </c>
      <c r="C168">
        <v>20000</v>
      </c>
      <c r="D168">
        <f t="shared" si="26"/>
        <v>6096</v>
      </c>
      <c r="E168">
        <v>141.994</v>
      </c>
      <c r="F168">
        <f>(1-0.000022557*D168)^4.25587</f>
        <v>0.53282314864003799</v>
      </c>
      <c r="G168">
        <f>E168/H168</f>
        <v>0.4493026868300225</v>
      </c>
      <c r="H168">
        <f>SQRT(gamma*Rconstant*(288.15-0.0065*D168))</f>
        <v>316.03194052057455</v>
      </c>
      <c r="I168">
        <v>1200</v>
      </c>
      <c r="J168" s="273">
        <f t="shared" si="27"/>
        <v>0.58503766179947836</v>
      </c>
      <c r="K168">
        <f>L162*F168^L163*G168^L164</f>
        <v>0.58005526861246248</v>
      </c>
      <c r="L168" s="251">
        <f>(J168-K168)^2</f>
        <v>2.4824241870022225E-5</v>
      </c>
    </row>
    <row r="169" spans="1:13" x14ac:dyDescent="0.35">
      <c r="A169" s="26">
        <v>1350</v>
      </c>
      <c r="B169">
        <f t="shared" si="25"/>
        <v>0.65816736952441313</v>
      </c>
      <c r="C169">
        <v>15000</v>
      </c>
      <c r="D169">
        <f t="shared" si="26"/>
        <v>4572</v>
      </c>
      <c r="E169">
        <v>141.994</v>
      </c>
      <c r="F169">
        <f>(1-0.000022557*D169)^4.25587</f>
        <v>0.62924770568426325</v>
      </c>
      <c r="G169">
        <f>E169/H169</f>
        <v>0.44060739950539957</v>
      </c>
      <c r="H169">
        <f>SQRT(gamma*Rconstant*(288.15-0.0065*D169))</f>
        <v>322.26875935219033</v>
      </c>
      <c r="I169">
        <v>1350</v>
      </c>
      <c r="J169" s="273">
        <f t="shared" si="27"/>
        <v>0.65816736952441313</v>
      </c>
      <c r="K169">
        <f>L162*F169^L163*G169^L164</f>
        <v>0.66721617947025669</v>
      </c>
      <c r="L169" s="251">
        <f>(J169-K169)^2</f>
        <v>8.1880961435997353E-5</v>
      </c>
    </row>
    <row r="170" spans="1:13" ht="13.15" thickBot="1" x14ac:dyDescent="0.4">
      <c r="A170" s="26">
        <v>1519.44</v>
      </c>
      <c r="B170">
        <f t="shared" si="25"/>
        <v>0.74077468737049945</v>
      </c>
      <c r="C170">
        <v>10000</v>
      </c>
      <c r="D170">
        <f t="shared" si="26"/>
        <v>3048</v>
      </c>
      <c r="E170">
        <v>141.994</v>
      </c>
      <c r="F170">
        <f>(1-0.000022557*D170)^4.25587</f>
        <v>0.73848676861393581</v>
      </c>
      <c r="G170">
        <f>E170/H170</f>
        <v>0.43239816415982046</v>
      </c>
      <c r="H170">
        <f>SQRT(gamma*Rconstant*(288.15-0.0065*D170))</f>
        <v>328.38714816447975</v>
      </c>
      <c r="I170">
        <v>1519.44</v>
      </c>
      <c r="J170" s="274">
        <f t="shared" si="27"/>
        <v>0.74077468737049945</v>
      </c>
      <c r="K170">
        <f>L162*F170^L163*G170^L164</f>
        <v>0.76344313542258546</v>
      </c>
      <c r="L170" s="251">
        <f>(J170-K170)^2</f>
        <v>5.1385853709012201E-4</v>
      </c>
    </row>
    <row r="171" spans="1:13" x14ac:dyDescent="0.35">
      <c r="A171" s="69">
        <v>1616.66</v>
      </c>
      <c r="B171" s="1">
        <f t="shared" si="25"/>
        <v>0.78817248860395384</v>
      </c>
      <c r="C171" s="1">
        <v>5000</v>
      </c>
      <c r="D171" s="1">
        <f t="shared" si="26"/>
        <v>1524</v>
      </c>
      <c r="E171" s="1"/>
      <c r="F171" s="1"/>
      <c r="G171" s="1"/>
      <c r="H171" s="1"/>
      <c r="I171" s="1">
        <v>1616.66</v>
      </c>
      <c r="J171" s="232">
        <f t="shared" si="27"/>
        <v>0.78817248860395384</v>
      </c>
      <c r="K171" s="84" t="s">
        <v>328</v>
      </c>
      <c r="L171" s="275">
        <f>SUM(L167:L170)</f>
        <v>6.5377940362350284E-4</v>
      </c>
    </row>
    <row r="172" spans="1:13" x14ac:dyDescent="0.35">
      <c r="J172" s="230"/>
    </row>
    <row r="173" spans="1:13" ht="15" x14ac:dyDescent="0.4">
      <c r="A173" s="122" t="s">
        <v>511</v>
      </c>
      <c r="K173" s="12"/>
    </row>
    <row r="174" spans="1:13" x14ac:dyDescent="0.35">
      <c r="C174" s="12"/>
      <c r="D174" s="12"/>
      <c r="M174" s="12"/>
    </row>
    <row r="175" spans="1:13" ht="25.9" x14ac:dyDescent="0.35">
      <c r="A175" s="280" t="s">
        <v>518</v>
      </c>
      <c r="B175" s="279" t="s">
        <v>468</v>
      </c>
      <c r="M175" s="12"/>
    </row>
    <row r="176" spans="1:13" ht="38.65" x14ac:dyDescent="0.35">
      <c r="A176" s="280" t="s">
        <v>519</v>
      </c>
      <c r="B176" s="279" t="s">
        <v>517</v>
      </c>
      <c r="M176" s="12"/>
    </row>
    <row r="177" spans="1:5" ht="38.65" x14ac:dyDescent="0.35">
      <c r="A177" s="171" t="s">
        <v>520</v>
      </c>
      <c r="B177" s="279" t="s">
        <v>497</v>
      </c>
    </row>
    <row r="178" spans="1:5" ht="38.65" x14ac:dyDescent="0.35">
      <c r="A178" s="280" t="s">
        <v>521</v>
      </c>
      <c r="B178" s="279" t="s">
        <v>495</v>
      </c>
    </row>
    <row r="179" spans="1:5" ht="38.65" x14ac:dyDescent="0.35">
      <c r="A179" s="280" t="s">
        <v>522</v>
      </c>
      <c r="B179" s="279" t="s">
        <v>496</v>
      </c>
    </row>
    <row r="180" spans="1:5" ht="38.65" x14ac:dyDescent="0.35">
      <c r="A180" s="171" t="s">
        <v>524</v>
      </c>
      <c r="B180" s="279" t="s">
        <v>499</v>
      </c>
    </row>
    <row r="181" spans="1:5" ht="53.2" customHeight="1" x14ac:dyDescent="0.35">
      <c r="A181" s="278" t="s">
        <v>525</v>
      </c>
      <c r="B181" s="279" t="s">
        <v>484</v>
      </c>
    </row>
    <row r="182" spans="1:5" ht="25.9" x14ac:dyDescent="0.35">
      <c r="A182" s="280" t="s">
        <v>526</v>
      </c>
      <c r="B182" s="279" t="s">
        <v>523</v>
      </c>
    </row>
    <row r="183" spans="1:5" ht="25.9" x14ac:dyDescent="0.35">
      <c r="A183" s="171" t="s">
        <v>527</v>
      </c>
      <c r="B183" s="279" t="s">
        <v>502</v>
      </c>
    </row>
    <row r="184" spans="1:5" ht="25.9" x14ac:dyDescent="0.35">
      <c r="A184" s="171" t="s">
        <v>528</v>
      </c>
      <c r="B184" s="279" t="s">
        <v>503</v>
      </c>
    </row>
    <row r="192" spans="1:5" x14ac:dyDescent="0.35">
      <c r="D192" s="12"/>
      <c r="E192" s="12"/>
    </row>
    <row r="193" spans="4:21" x14ac:dyDescent="0.35">
      <c r="F193" s="12"/>
      <c r="O193" s="12"/>
      <c r="S193" s="12"/>
    </row>
    <row r="195" spans="4:21" x14ac:dyDescent="0.35"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P195" s="12"/>
      <c r="Q195" s="12"/>
      <c r="R195" s="12"/>
      <c r="T195" s="12"/>
      <c r="U195" s="12"/>
    </row>
    <row r="196" spans="4:21" x14ac:dyDescent="0.35">
      <c r="D196" s="12"/>
      <c r="E196" s="12"/>
      <c r="F196" s="12"/>
      <c r="N196" s="12"/>
      <c r="R196" s="12"/>
    </row>
    <row r="197" spans="4:21" x14ac:dyDescent="0.35">
      <c r="D197" s="12"/>
      <c r="E197" s="12"/>
      <c r="F197" s="12"/>
      <c r="N197" s="12"/>
      <c r="R197" s="12"/>
    </row>
    <row r="198" spans="4:21" x14ac:dyDescent="0.35">
      <c r="D198" s="12"/>
      <c r="E198" s="12"/>
      <c r="F198" s="12"/>
    </row>
    <row r="199" spans="4:21" x14ac:dyDescent="0.35">
      <c r="D199" s="12"/>
      <c r="E199" s="12"/>
      <c r="F199" s="12"/>
    </row>
    <row r="200" spans="4:21" x14ac:dyDescent="0.35">
      <c r="D200" s="12"/>
      <c r="E200" s="12"/>
      <c r="F200" s="12"/>
    </row>
    <row r="201" spans="4:21" x14ac:dyDescent="0.35">
      <c r="D201" s="12"/>
      <c r="E201" s="12"/>
      <c r="F201" s="12"/>
    </row>
    <row r="202" spans="4:21" x14ac:dyDescent="0.35">
      <c r="D202" s="12"/>
      <c r="E202" s="12"/>
      <c r="F202" s="12"/>
    </row>
    <row r="203" spans="4:21" x14ac:dyDescent="0.35">
      <c r="D203" s="12"/>
      <c r="E203" s="12"/>
      <c r="F203" s="12"/>
    </row>
    <row r="241" spans="4:14" x14ac:dyDescent="0.35">
      <c r="D241" s="12"/>
      <c r="E241" s="12"/>
    </row>
    <row r="243" spans="4:14" x14ac:dyDescent="0.35">
      <c r="D243" s="12"/>
      <c r="E243" s="12"/>
    </row>
    <row r="244" spans="4:14" x14ac:dyDescent="0.35">
      <c r="F244" s="12"/>
      <c r="G244" s="12"/>
      <c r="H244" s="12"/>
      <c r="I244" s="12"/>
      <c r="J244" s="12"/>
      <c r="K244" s="12"/>
      <c r="L244" s="12"/>
      <c r="N244" s="12"/>
    </row>
    <row r="245" spans="4:14" x14ac:dyDescent="0.35">
      <c r="D245" s="18"/>
      <c r="E245" s="18"/>
    </row>
    <row r="246" spans="4:14" x14ac:dyDescent="0.35">
      <c r="D246" s="18"/>
      <c r="E246" s="18"/>
    </row>
    <row r="247" spans="4:14" x14ac:dyDescent="0.35">
      <c r="D247" s="18"/>
      <c r="E247" s="18"/>
    </row>
    <row r="249" spans="4:14" x14ac:dyDescent="0.35">
      <c r="D249" s="12"/>
      <c r="E249" s="12"/>
    </row>
    <row r="250" spans="4:14" x14ac:dyDescent="0.35">
      <c r="F250" s="12"/>
      <c r="G250" s="12"/>
      <c r="H250" s="12"/>
      <c r="I250" s="12"/>
      <c r="J250" s="12"/>
      <c r="K250" s="12"/>
      <c r="L250" s="12"/>
    </row>
    <row r="255" spans="4:14" x14ac:dyDescent="0.35">
      <c r="D255" s="12"/>
      <c r="E255" s="12"/>
    </row>
    <row r="256" spans="4:14" x14ac:dyDescent="0.35">
      <c r="F256" s="12"/>
      <c r="G256" s="12"/>
      <c r="H256" s="12"/>
      <c r="I256" s="12"/>
      <c r="J256" s="12"/>
      <c r="K256" s="12"/>
      <c r="L256" s="12"/>
    </row>
    <row r="261" spans="4:20" x14ac:dyDescent="0.35">
      <c r="D261" s="12"/>
      <c r="E261" s="12"/>
    </row>
    <row r="262" spans="4:20" x14ac:dyDescent="0.35">
      <c r="F262" s="12"/>
      <c r="G262" s="12"/>
      <c r="H262" s="12"/>
      <c r="I262" s="12"/>
      <c r="J262" s="12"/>
      <c r="K262" s="12"/>
      <c r="L262" s="12"/>
    </row>
    <row r="263" spans="4:20" x14ac:dyDescent="0.35">
      <c r="F263" s="12"/>
    </row>
    <row r="267" spans="4:20" x14ac:dyDescent="0.35">
      <c r="Q267" s="12"/>
      <c r="S267" s="12"/>
      <c r="T267" s="12"/>
    </row>
    <row r="268" spans="4:20" x14ac:dyDescent="0.35">
      <c r="G268" s="18"/>
      <c r="H268" s="18"/>
      <c r="I268" s="12"/>
      <c r="J268" s="12"/>
      <c r="K268" s="12"/>
      <c r="L268" s="12"/>
      <c r="M268" s="12"/>
      <c r="N268" s="12"/>
      <c r="O268" s="12"/>
      <c r="P268" s="12"/>
      <c r="Q268" s="12"/>
    </row>
    <row r="269" spans="4:20" x14ac:dyDescent="0.35">
      <c r="Q269" s="12"/>
    </row>
    <row r="270" spans="4:20" x14ac:dyDescent="0.35">
      <c r="Q270" s="12"/>
    </row>
    <row r="272" spans="4:20" x14ac:dyDescent="0.35">
      <c r="S272" s="12"/>
    </row>
    <row r="276" spans="17:19" x14ac:dyDescent="0.35">
      <c r="Q276" s="12"/>
    </row>
    <row r="277" spans="17:19" x14ac:dyDescent="0.35">
      <c r="S277" s="12"/>
    </row>
    <row r="278" spans="17:19" x14ac:dyDescent="0.35">
      <c r="S278" s="12"/>
    </row>
    <row r="279" spans="17:19" x14ac:dyDescent="0.35">
      <c r="S279" s="12"/>
    </row>
  </sheetData>
  <phoneticPr fontId="0" type="noConversion"/>
  <hyperlinks>
    <hyperlink ref="A181" r:id="rId1" display="http://bibliothek.profscholz.de/" xr:uid="{00000000-0004-0000-1500-000000000000}"/>
  </hyperlinks>
  <pageMargins left="0.7" right="0.7" top="0.75" bottom="0.75" header="0.3" footer="0.3"/>
  <pageSetup paperSize="9" orientation="portrait" verticalDpi="300" r:id="rId2"/>
  <drawing r:id="rId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91FC1D-1A2A-4836-89D2-C9AFC01CAB66}">
  <dimension ref="A1:G25"/>
  <sheetViews>
    <sheetView workbookViewId="0">
      <selection activeCell="A26" sqref="A26"/>
    </sheetView>
  </sheetViews>
  <sheetFormatPr baseColWidth="10" defaultColWidth="10.9296875" defaultRowHeight="14.25" x14ac:dyDescent="0.45"/>
  <cols>
    <col min="1" max="16384" width="10.9296875" style="441"/>
  </cols>
  <sheetData>
    <row r="1" spans="1:7" x14ac:dyDescent="0.45">
      <c r="A1" s="439" t="s">
        <v>731</v>
      </c>
      <c r="B1" s="440"/>
      <c r="C1" s="440"/>
      <c r="D1" s="440"/>
      <c r="E1" s="440"/>
      <c r="F1" s="440"/>
      <c r="G1" s="440"/>
    </row>
    <row r="2" spans="1:7" x14ac:dyDescent="0.45">
      <c r="A2" s="439" t="s">
        <v>732</v>
      </c>
      <c r="B2" s="440"/>
      <c r="C2" s="440"/>
      <c r="D2" s="440"/>
      <c r="E2" s="440"/>
      <c r="F2" s="440"/>
      <c r="G2" s="440"/>
    </row>
    <row r="3" spans="1:7" x14ac:dyDescent="0.45">
      <c r="A3" s="440"/>
      <c r="B3" s="440"/>
      <c r="C3" s="440"/>
      <c r="D3" s="440"/>
      <c r="E3" s="440"/>
      <c r="F3" s="440"/>
      <c r="G3" s="440"/>
    </row>
    <row r="4" spans="1:7" x14ac:dyDescent="0.45">
      <c r="A4" s="440"/>
      <c r="B4" s="440"/>
      <c r="C4" s="440"/>
      <c r="D4" s="440"/>
      <c r="E4" s="440"/>
      <c r="F4" s="440"/>
      <c r="G4" s="440"/>
    </row>
    <row r="5" spans="1:7" x14ac:dyDescent="0.45">
      <c r="A5" s="440"/>
      <c r="B5" s="440"/>
      <c r="C5" s="440"/>
      <c r="D5" s="440"/>
      <c r="E5" s="440"/>
      <c r="F5" s="440"/>
      <c r="G5" s="440"/>
    </row>
    <row r="6" spans="1:7" x14ac:dyDescent="0.45">
      <c r="A6" s="440"/>
      <c r="B6" s="440"/>
      <c r="C6" s="440"/>
      <c r="D6" s="440"/>
      <c r="E6" s="440"/>
      <c r="F6" s="440"/>
      <c r="G6" s="440"/>
    </row>
    <row r="7" spans="1:7" x14ac:dyDescent="0.45">
      <c r="A7" s="440"/>
      <c r="B7" s="440"/>
      <c r="C7" s="440"/>
      <c r="D7" s="440"/>
      <c r="E7" s="440"/>
      <c r="F7" s="440"/>
      <c r="G7" s="440"/>
    </row>
    <row r="8" spans="1:7" x14ac:dyDescent="0.45">
      <c r="A8" s="440"/>
      <c r="B8" s="440"/>
      <c r="C8" s="440"/>
      <c r="D8" s="440"/>
      <c r="E8" s="440"/>
      <c r="F8" s="440"/>
      <c r="G8" s="440"/>
    </row>
    <row r="9" spans="1:7" x14ac:dyDescent="0.45">
      <c r="A9" s="442" t="s">
        <v>733</v>
      </c>
      <c r="B9" s="440"/>
      <c r="C9" s="440"/>
      <c r="D9" s="440"/>
      <c r="E9" s="440"/>
      <c r="F9" s="440"/>
      <c r="G9" s="440"/>
    </row>
    <row r="10" spans="1:7" x14ac:dyDescent="0.45">
      <c r="A10" s="443" t="s">
        <v>734</v>
      </c>
      <c r="B10" s="440"/>
      <c r="C10" s="440"/>
      <c r="D10" s="440"/>
      <c r="E10" s="440"/>
      <c r="F10" s="440"/>
      <c r="G10" s="440"/>
    </row>
    <row r="11" spans="1:7" x14ac:dyDescent="0.45">
      <c r="A11" s="442"/>
      <c r="B11" s="440"/>
      <c r="C11" s="440"/>
      <c r="D11" s="440"/>
      <c r="E11" s="440"/>
      <c r="F11" s="440"/>
      <c r="G11" s="440"/>
    </row>
    <row r="12" spans="1:7" x14ac:dyDescent="0.45">
      <c r="A12" s="442" t="s">
        <v>735</v>
      </c>
      <c r="B12" s="440"/>
      <c r="C12" s="440"/>
      <c r="D12" s="440"/>
      <c r="E12" s="440"/>
      <c r="F12" s="440"/>
      <c r="G12" s="440"/>
    </row>
    <row r="13" spans="1:7" x14ac:dyDescent="0.45">
      <c r="A13" s="442" t="s">
        <v>736</v>
      </c>
      <c r="B13" s="440"/>
      <c r="C13" s="440"/>
      <c r="D13" s="440"/>
      <c r="E13" s="440"/>
      <c r="F13" s="440"/>
      <c r="G13" s="440"/>
    </row>
    <row r="14" spans="1:7" x14ac:dyDescent="0.45">
      <c r="A14" s="442" t="s">
        <v>737</v>
      </c>
      <c r="B14" s="440"/>
      <c r="C14" s="440"/>
      <c r="D14" s="440"/>
      <c r="E14" s="440"/>
      <c r="F14" s="440"/>
      <c r="G14" s="440"/>
    </row>
    <row r="15" spans="1:7" x14ac:dyDescent="0.45">
      <c r="A15" s="442"/>
      <c r="B15" s="440"/>
      <c r="C15" s="440"/>
      <c r="D15" s="440"/>
      <c r="E15" s="440"/>
      <c r="F15" s="440"/>
      <c r="G15" s="440"/>
    </row>
    <row r="16" spans="1:7" x14ac:dyDescent="0.45">
      <c r="A16" s="442" t="s">
        <v>738</v>
      </c>
      <c r="B16" s="440"/>
      <c r="C16" s="440"/>
      <c r="D16" s="440"/>
      <c r="E16" s="440"/>
      <c r="F16" s="440"/>
      <c r="G16" s="440"/>
    </row>
    <row r="17" spans="1:7" x14ac:dyDescent="0.45">
      <c r="A17" s="442" t="s">
        <v>739</v>
      </c>
      <c r="B17" s="440"/>
      <c r="C17" s="440"/>
      <c r="D17" s="440"/>
      <c r="E17" s="440"/>
      <c r="F17" s="440"/>
      <c r="G17" s="440"/>
    </row>
    <row r="18" spans="1:7" x14ac:dyDescent="0.45">
      <c r="A18" s="442" t="s">
        <v>740</v>
      </c>
      <c r="B18" s="440"/>
      <c r="C18" s="440"/>
      <c r="D18" s="440"/>
      <c r="E18" s="440"/>
      <c r="F18" s="440"/>
      <c r="G18" s="440"/>
    </row>
    <row r="19" spans="1:7" x14ac:dyDescent="0.45">
      <c r="A19" s="442" t="s">
        <v>741</v>
      </c>
      <c r="B19" s="440"/>
      <c r="C19" s="440"/>
      <c r="D19" s="440"/>
      <c r="E19" s="440"/>
      <c r="F19" s="440"/>
      <c r="G19" s="440"/>
    </row>
    <row r="20" spans="1:7" x14ac:dyDescent="0.45">
      <c r="A20" s="440"/>
      <c r="B20" s="440"/>
      <c r="C20" s="440"/>
      <c r="D20" s="440"/>
      <c r="E20" s="440"/>
      <c r="F20" s="440"/>
      <c r="G20" s="440"/>
    </row>
    <row r="21" spans="1:7" x14ac:dyDescent="0.45">
      <c r="A21" s="444" t="s">
        <v>742</v>
      </c>
      <c r="B21" s="440"/>
      <c r="C21" s="440"/>
      <c r="D21" s="440"/>
      <c r="E21" s="440"/>
      <c r="F21" s="440"/>
      <c r="G21" s="440"/>
    </row>
    <row r="22" spans="1:7" x14ac:dyDescent="0.45">
      <c r="A22" s="440"/>
      <c r="B22" s="440"/>
      <c r="C22" s="440"/>
      <c r="D22" s="440"/>
      <c r="E22" s="440"/>
      <c r="F22" s="440"/>
      <c r="G22" s="440"/>
    </row>
    <row r="23" spans="1:7" x14ac:dyDescent="0.45">
      <c r="A23" s="440" t="s">
        <v>743</v>
      </c>
      <c r="B23" s="440"/>
      <c r="C23" s="440"/>
      <c r="D23" s="440"/>
      <c r="E23" s="440"/>
      <c r="F23" s="440"/>
      <c r="G23" s="440"/>
    </row>
    <row r="24" spans="1:7" x14ac:dyDescent="0.45">
      <c r="A24" s="445" t="s">
        <v>744</v>
      </c>
      <c r="B24" s="440"/>
      <c r="C24" s="440"/>
      <c r="D24" s="440"/>
      <c r="E24" s="440"/>
      <c r="F24" s="440"/>
      <c r="G24" s="440"/>
    </row>
    <row r="25" spans="1:7" x14ac:dyDescent="0.45">
      <c r="A25" s="440"/>
      <c r="B25" s="440"/>
      <c r="C25" s="440"/>
      <c r="D25" s="440"/>
      <c r="E25" s="440"/>
      <c r="F25" s="440"/>
      <c r="G25" s="440"/>
    </row>
  </sheetData>
  <hyperlinks>
    <hyperlink ref="A21" r:id="rId1" xr:uid="{36FFFAD4-EC79-4392-9892-C9A4E30EA684}"/>
    <hyperlink ref="A24" r:id="rId2" display="https://doi.org/10.7910/DVN/9OVFDO" xr:uid="{05BA66A2-6A45-4869-A560-F88EAFB5B57A}"/>
  </hyperlinks>
  <pageMargins left="0.7" right="0.7" top="0.78740157499999996" bottom="0.78740157499999996" header="0.3" footer="0.3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110"/>
  <sheetViews>
    <sheetView zoomScaleNormal="100" workbookViewId="0"/>
  </sheetViews>
  <sheetFormatPr baseColWidth="10" defaultColWidth="9.19921875" defaultRowHeight="12.75" x14ac:dyDescent="0.35"/>
  <cols>
    <col min="1" max="1" width="15.73046875" customWidth="1"/>
    <col min="2" max="2" width="11" customWidth="1"/>
    <col min="3" max="3" width="10.265625" customWidth="1"/>
    <col min="4" max="4" width="39.796875" customWidth="1"/>
    <col min="5" max="5" width="10.19921875" customWidth="1"/>
    <col min="6" max="10" width="9.19921875" customWidth="1"/>
    <col min="11" max="11" width="10.73046875" customWidth="1"/>
  </cols>
  <sheetData>
    <row r="2" spans="1:10" ht="18" x14ac:dyDescent="0.6">
      <c r="A2" s="122" t="s">
        <v>532</v>
      </c>
    </row>
    <row r="5" spans="1:10" ht="14.65" thickBot="1" x14ac:dyDescent="0.5">
      <c r="A5" s="96"/>
      <c r="E5" s="11" t="s">
        <v>329</v>
      </c>
    </row>
    <row r="6" spans="1:10" ht="16.5" x14ac:dyDescent="0.55000000000000004">
      <c r="A6" s="8" t="s">
        <v>366</v>
      </c>
      <c r="B6" s="31" t="s">
        <v>330</v>
      </c>
      <c r="C6" s="31" t="s">
        <v>331</v>
      </c>
      <c r="D6" s="31" t="s">
        <v>332</v>
      </c>
      <c r="E6" s="31" t="s">
        <v>333</v>
      </c>
      <c r="F6" s="57" t="s">
        <v>334</v>
      </c>
      <c r="G6" s="97" t="s">
        <v>335</v>
      </c>
      <c r="H6" s="97" t="s">
        <v>336</v>
      </c>
      <c r="I6" s="98" t="s">
        <v>337</v>
      </c>
      <c r="J6" s="99" t="s">
        <v>338</v>
      </c>
    </row>
    <row r="7" spans="1:10" ht="13.15" x14ac:dyDescent="0.4">
      <c r="A7" s="282" t="s">
        <v>339</v>
      </c>
      <c r="B7" s="92"/>
      <c r="C7" s="92">
        <v>42.1</v>
      </c>
      <c r="D7" s="92"/>
      <c r="E7" s="92">
        <f>(1.6+2.5)/2</f>
        <v>2.0499999999999998</v>
      </c>
      <c r="F7" s="100">
        <v>1030</v>
      </c>
      <c r="G7" s="101">
        <v>247</v>
      </c>
      <c r="H7" s="101">
        <f>F7*E7</f>
        <v>2111.5</v>
      </c>
      <c r="I7" s="102">
        <f>G7/H7</f>
        <v>0.11697845133791143</v>
      </c>
      <c r="J7" s="103">
        <f t="shared" ref="J7:J20" si="0">SQRT((I7*2*g*1.3^2)/ρ0)</f>
        <v>1.7794170322068736</v>
      </c>
    </row>
    <row r="8" spans="1:10" ht="13.15" x14ac:dyDescent="0.4">
      <c r="A8" s="282" t="s">
        <v>340</v>
      </c>
      <c r="B8" s="92">
        <v>15649</v>
      </c>
      <c r="C8" s="92">
        <v>54.4</v>
      </c>
      <c r="D8" s="92" t="s">
        <v>341</v>
      </c>
      <c r="E8" s="92">
        <v>1.8</v>
      </c>
      <c r="F8" s="100">
        <v>787</v>
      </c>
      <c r="G8" s="101">
        <f t="shared" ref="G8:G16" si="1">B8/C8</f>
        <v>287.66544117647061</v>
      </c>
      <c r="H8" s="101">
        <f t="shared" ref="H8:H20" si="2">F8*E8</f>
        <v>1416.6000000000001</v>
      </c>
      <c r="I8" s="102">
        <f t="shared" ref="I8:I20" si="3">G8/H8</f>
        <v>0.20306751459584257</v>
      </c>
      <c r="J8" s="103">
        <f t="shared" si="0"/>
        <v>2.3444719235641172</v>
      </c>
    </row>
    <row r="9" spans="1:10" ht="13.15" x14ac:dyDescent="0.4">
      <c r="A9" s="282" t="s">
        <v>342</v>
      </c>
      <c r="B9" s="92">
        <v>15649</v>
      </c>
      <c r="C9" s="92">
        <v>54.4</v>
      </c>
      <c r="D9" s="92" t="s">
        <v>341</v>
      </c>
      <c r="E9" s="92">
        <v>1.8</v>
      </c>
      <c r="F9" s="100">
        <v>794</v>
      </c>
      <c r="G9" s="101">
        <f t="shared" si="1"/>
        <v>287.66544117647061</v>
      </c>
      <c r="H9" s="101">
        <f t="shared" si="2"/>
        <v>1429.2</v>
      </c>
      <c r="I9" s="102">
        <f t="shared" si="3"/>
        <v>0.20127724683492204</v>
      </c>
      <c r="J9" s="103">
        <f t="shared" si="0"/>
        <v>2.3341144709181187</v>
      </c>
    </row>
    <row r="10" spans="1:10" ht="13.15" x14ac:dyDescent="0.4">
      <c r="A10" s="282" t="s">
        <v>343</v>
      </c>
      <c r="B10" s="92">
        <v>19051</v>
      </c>
      <c r="C10" s="92">
        <v>56.2</v>
      </c>
      <c r="D10" s="92" t="s">
        <v>341</v>
      </c>
      <c r="E10" s="92">
        <v>1.8</v>
      </c>
      <c r="F10" s="100">
        <v>1040</v>
      </c>
      <c r="G10" s="101">
        <f t="shared" si="1"/>
        <v>338.98576512455514</v>
      </c>
      <c r="H10" s="101">
        <f t="shared" si="2"/>
        <v>1872</v>
      </c>
      <c r="I10" s="102">
        <f t="shared" si="3"/>
        <v>0.1810821394896128</v>
      </c>
      <c r="J10" s="103">
        <f t="shared" si="0"/>
        <v>2.2139235399235218</v>
      </c>
    </row>
    <row r="11" spans="1:10" ht="13.15" x14ac:dyDescent="0.4">
      <c r="A11" s="282" t="s">
        <v>344</v>
      </c>
      <c r="B11" s="92">
        <v>28009</v>
      </c>
      <c r="C11" s="92">
        <v>63.1</v>
      </c>
      <c r="D11" s="92" t="s">
        <v>341</v>
      </c>
      <c r="E11" s="92">
        <v>1.8</v>
      </c>
      <c r="F11" s="100">
        <v>1287</v>
      </c>
      <c r="G11" s="101">
        <f t="shared" si="1"/>
        <v>443.88272583201268</v>
      </c>
      <c r="H11" s="101">
        <f t="shared" si="2"/>
        <v>2316.6</v>
      </c>
      <c r="I11" s="102">
        <f t="shared" si="3"/>
        <v>0.19160956826038708</v>
      </c>
      <c r="J11" s="103">
        <f t="shared" si="0"/>
        <v>2.2773690051647564</v>
      </c>
    </row>
    <row r="12" spans="1:10" ht="51" customHeight="1" x14ac:dyDescent="0.4">
      <c r="A12" s="282" t="s">
        <v>345</v>
      </c>
      <c r="B12" s="92">
        <v>11700</v>
      </c>
      <c r="C12" s="92">
        <v>39.4</v>
      </c>
      <c r="D12" s="104" t="s">
        <v>346</v>
      </c>
      <c r="E12" s="105">
        <v>2.4</v>
      </c>
      <c r="F12" s="100">
        <v>1380</v>
      </c>
      <c r="G12" s="101">
        <f t="shared" si="1"/>
        <v>296.95431472081219</v>
      </c>
      <c r="H12" s="101">
        <f t="shared" si="2"/>
        <v>3312</v>
      </c>
      <c r="I12" s="102">
        <f t="shared" si="3"/>
        <v>8.9660119178989195E-2</v>
      </c>
      <c r="J12" s="103">
        <f t="shared" si="0"/>
        <v>1.5578457914600752</v>
      </c>
    </row>
    <row r="13" spans="1:10" ht="13.15" x14ac:dyDescent="0.4">
      <c r="A13" s="282" t="s">
        <v>347</v>
      </c>
      <c r="B13" s="92">
        <v>12930</v>
      </c>
      <c r="C13" s="92">
        <v>41.8</v>
      </c>
      <c r="D13" s="31" t="s">
        <v>348</v>
      </c>
      <c r="E13" s="92">
        <v>1.8</v>
      </c>
      <c r="F13" s="100">
        <v>1033</v>
      </c>
      <c r="G13" s="101">
        <f t="shared" si="1"/>
        <v>309.33014354066989</v>
      </c>
      <c r="H13" s="101">
        <f t="shared" si="2"/>
        <v>1859.4</v>
      </c>
      <c r="I13" s="102">
        <f t="shared" si="3"/>
        <v>0.16636019336381083</v>
      </c>
      <c r="J13" s="103">
        <f t="shared" si="0"/>
        <v>2.1220202194729181</v>
      </c>
    </row>
    <row r="14" spans="1:10" ht="13.15" x14ac:dyDescent="0.4">
      <c r="A14" s="282" t="s">
        <v>349</v>
      </c>
      <c r="B14" s="92">
        <v>22000</v>
      </c>
      <c r="C14" s="92">
        <v>55.74</v>
      </c>
      <c r="D14" s="31" t="s">
        <v>350</v>
      </c>
      <c r="E14" s="92">
        <v>1.8</v>
      </c>
      <c r="F14" s="100">
        <v>1243</v>
      </c>
      <c r="G14" s="101">
        <f t="shared" si="1"/>
        <v>394.68963042698238</v>
      </c>
      <c r="H14" s="101">
        <f t="shared" si="2"/>
        <v>2237.4</v>
      </c>
      <c r="I14" s="102">
        <f t="shared" si="3"/>
        <v>0.17640548423481825</v>
      </c>
      <c r="J14" s="103">
        <f t="shared" si="0"/>
        <v>2.1851479686807478</v>
      </c>
    </row>
    <row r="15" spans="1:10" ht="13.15" x14ac:dyDescent="0.4">
      <c r="A15" s="282" t="s">
        <v>351</v>
      </c>
      <c r="B15" s="92">
        <v>13230</v>
      </c>
      <c r="C15" s="92">
        <v>40</v>
      </c>
      <c r="D15" s="31" t="s">
        <v>352</v>
      </c>
      <c r="E15" s="92">
        <v>1.8</v>
      </c>
      <c r="F15" s="100">
        <v>1164</v>
      </c>
      <c r="G15" s="101">
        <f t="shared" si="1"/>
        <v>330.75</v>
      </c>
      <c r="H15" s="101">
        <f t="shared" si="2"/>
        <v>2095.2000000000003</v>
      </c>
      <c r="I15" s="102">
        <f t="shared" si="3"/>
        <v>0.15786082474226801</v>
      </c>
      <c r="J15" s="103">
        <f t="shared" si="0"/>
        <v>2.0671024094451682</v>
      </c>
    </row>
    <row r="16" spans="1:10" ht="13.15" x14ac:dyDescent="0.4">
      <c r="A16" s="282" t="s">
        <v>353</v>
      </c>
      <c r="B16" s="92">
        <v>19100</v>
      </c>
      <c r="C16" s="92">
        <v>51</v>
      </c>
      <c r="D16" s="31" t="s">
        <v>354</v>
      </c>
      <c r="E16" s="92">
        <v>1.8</v>
      </c>
      <c r="F16" s="100">
        <v>1350</v>
      </c>
      <c r="G16" s="101">
        <f t="shared" si="1"/>
        <v>374.50980392156862</v>
      </c>
      <c r="H16" s="101">
        <f t="shared" si="2"/>
        <v>2430</v>
      </c>
      <c r="I16" s="102">
        <f t="shared" si="3"/>
        <v>0.15411926087307351</v>
      </c>
      <c r="J16" s="103">
        <f t="shared" si="0"/>
        <v>2.0424586280979082</v>
      </c>
    </row>
    <row r="17" spans="1:10" ht="13.15" x14ac:dyDescent="0.4">
      <c r="A17" s="282" t="s">
        <v>355</v>
      </c>
      <c r="B17" s="92"/>
      <c r="C17" s="92">
        <v>81.900000000000006</v>
      </c>
      <c r="D17" s="31" t="s">
        <v>356</v>
      </c>
      <c r="E17" s="92">
        <v>2.4</v>
      </c>
      <c r="F17" s="100">
        <v>1300</v>
      </c>
      <c r="G17" s="101">
        <v>286.89999999999998</v>
      </c>
      <c r="H17" s="101">
        <f t="shared" si="2"/>
        <v>3120</v>
      </c>
      <c r="I17" s="102">
        <f t="shared" si="3"/>
        <v>9.1955128205128203E-2</v>
      </c>
      <c r="J17" s="103">
        <f t="shared" si="0"/>
        <v>1.5776577187562011</v>
      </c>
    </row>
    <row r="18" spans="1:10" ht="13.15" x14ac:dyDescent="0.4">
      <c r="A18" s="282" t="s">
        <v>357</v>
      </c>
      <c r="B18" s="92">
        <v>14800</v>
      </c>
      <c r="C18" s="92">
        <v>56</v>
      </c>
      <c r="D18" s="31" t="s">
        <v>352</v>
      </c>
      <c r="E18" s="92">
        <v>1.8</v>
      </c>
      <c r="F18" s="100">
        <v>1140</v>
      </c>
      <c r="G18" s="101">
        <f>B18/C18</f>
        <v>264.28571428571428</v>
      </c>
      <c r="H18" s="101">
        <f t="shared" si="2"/>
        <v>2052</v>
      </c>
      <c r="I18" s="102">
        <f t="shared" si="3"/>
        <v>0.12879420774157616</v>
      </c>
      <c r="J18" s="103">
        <f t="shared" si="0"/>
        <v>1.8671232005640654</v>
      </c>
    </row>
    <row r="19" spans="1:10" ht="30" customHeight="1" x14ac:dyDescent="0.4">
      <c r="A19" s="283" t="s">
        <v>358</v>
      </c>
      <c r="B19" s="92">
        <v>22350</v>
      </c>
      <c r="C19" s="92">
        <v>61</v>
      </c>
      <c r="D19" s="106" t="s">
        <v>359</v>
      </c>
      <c r="E19" s="92">
        <v>2.44</v>
      </c>
      <c r="F19" s="100">
        <v>1067</v>
      </c>
      <c r="G19" s="101">
        <f>B19/C19</f>
        <v>366.39344262295083</v>
      </c>
      <c r="H19" s="101">
        <f t="shared" si="2"/>
        <v>2603.48</v>
      </c>
      <c r="I19" s="102">
        <f t="shared" si="3"/>
        <v>0.14073219023113326</v>
      </c>
      <c r="J19" s="103">
        <f t="shared" si="0"/>
        <v>1.9517380673302493</v>
      </c>
    </row>
    <row r="20" spans="1:10" ht="32.25" customHeight="1" thickBot="1" x14ac:dyDescent="0.45">
      <c r="A20" s="282" t="s">
        <v>360</v>
      </c>
      <c r="B20" s="92">
        <v>18300</v>
      </c>
      <c r="C20" s="92">
        <v>54.5</v>
      </c>
      <c r="D20" s="106" t="s">
        <v>359</v>
      </c>
      <c r="E20" s="92">
        <v>2.44</v>
      </c>
      <c r="F20" s="100">
        <v>1126</v>
      </c>
      <c r="G20" s="107">
        <f>B20/C20</f>
        <v>335.77981651376149</v>
      </c>
      <c r="H20" s="107">
        <f t="shared" si="2"/>
        <v>2747.44</v>
      </c>
      <c r="I20" s="152">
        <f t="shared" si="3"/>
        <v>0.12221552300096143</v>
      </c>
      <c r="J20" s="152">
        <f t="shared" si="0"/>
        <v>1.8188127701066661</v>
      </c>
    </row>
    <row r="21" spans="1:10" ht="14.65" x14ac:dyDescent="0.5">
      <c r="I21" s="153" t="s">
        <v>409</v>
      </c>
      <c r="J21" s="154">
        <f>SQRT((0.139*2*g*1.3^2)/ρ0)</f>
        <v>1.9396894765157962</v>
      </c>
    </row>
    <row r="22" spans="1:10" ht="15" thickBot="1" x14ac:dyDescent="0.55000000000000004">
      <c r="A22" s="96"/>
      <c r="B22" s="96"/>
      <c r="C22" s="4"/>
      <c r="D22" s="4"/>
      <c r="E22" s="4"/>
      <c r="F22" s="4"/>
      <c r="G22" s="4"/>
      <c r="H22" s="4"/>
      <c r="I22" s="155" t="s">
        <v>410</v>
      </c>
      <c r="J22" s="156">
        <v>0.13700000000000001</v>
      </c>
    </row>
    <row r="23" spans="1:10" ht="14.25" x14ac:dyDescent="0.45">
      <c r="A23" s="96" t="s">
        <v>653</v>
      </c>
      <c r="B23" s="96">
        <v>95553</v>
      </c>
      <c r="C23" s="4">
        <v>177.1</v>
      </c>
      <c r="D23" s="4" t="s">
        <v>654</v>
      </c>
      <c r="E23" s="4">
        <v>2.6924999999999999</v>
      </c>
      <c r="F23" s="4">
        <v>1463</v>
      </c>
      <c r="G23" s="4">
        <f>B23/C23</f>
        <v>539.54263128176171</v>
      </c>
      <c r="H23" s="4">
        <f>F23*E23</f>
        <v>3939.1275000000001</v>
      </c>
      <c r="I23" s="404">
        <f>G23/H23</f>
        <v>0.13697008570597466</v>
      </c>
      <c r="J23" s="11">
        <f>SQRT((I23*2*g*1.3^2)/ρ0)</f>
        <v>1.9254740646739161</v>
      </c>
    </row>
    <row r="25" spans="1:10" s="11" customFormat="1" ht="15" x14ac:dyDescent="0.4">
      <c r="A25" s="281" t="s">
        <v>367</v>
      </c>
    </row>
    <row r="26" spans="1:10" ht="13.15" thickBot="1" x14ac:dyDescent="0.4"/>
    <row r="27" spans="1:10" ht="15.75" x14ac:dyDescent="0.55000000000000004">
      <c r="B27" s="57" t="s">
        <v>368</v>
      </c>
      <c r="C27" s="98" t="s">
        <v>369</v>
      </c>
      <c r="D27" s="25" t="s">
        <v>370</v>
      </c>
      <c r="E27" s="98" t="s">
        <v>371</v>
      </c>
    </row>
    <row r="28" spans="1:10" ht="14.25" x14ac:dyDescent="0.45">
      <c r="A28" s="284" t="s">
        <v>340</v>
      </c>
      <c r="B28" s="113">
        <f>134/3.6</f>
        <v>37.222222222222221</v>
      </c>
      <c r="C28" s="102">
        <f t="shared" ref="C28:C33" si="4">1.3*B28</f>
        <v>48.388888888888893</v>
      </c>
      <c r="D28" s="114">
        <v>787</v>
      </c>
      <c r="E28" s="102">
        <f t="shared" ref="E28:E35" si="5">SQRT(D28)</f>
        <v>28.053520278211074</v>
      </c>
    </row>
    <row r="29" spans="1:10" ht="14.25" x14ac:dyDescent="0.45">
      <c r="A29" s="284" t="s">
        <v>342</v>
      </c>
      <c r="B29" s="113">
        <f>134/3.6</f>
        <v>37.222222222222221</v>
      </c>
      <c r="C29" s="102">
        <f t="shared" si="4"/>
        <v>48.388888888888893</v>
      </c>
      <c r="D29" s="114">
        <v>794</v>
      </c>
      <c r="E29" s="102">
        <f t="shared" si="5"/>
        <v>28.178005607210743</v>
      </c>
    </row>
    <row r="30" spans="1:10" ht="14.25" x14ac:dyDescent="0.45">
      <c r="A30" s="284" t="s">
        <v>343</v>
      </c>
      <c r="B30" s="113">
        <f>141/3.6</f>
        <v>39.166666666666664</v>
      </c>
      <c r="C30" s="102">
        <f t="shared" si="4"/>
        <v>50.916666666666664</v>
      </c>
      <c r="D30" s="114">
        <v>1040</v>
      </c>
      <c r="E30" s="102">
        <f t="shared" si="5"/>
        <v>32.249030993194197</v>
      </c>
    </row>
    <row r="31" spans="1:10" ht="14.25" x14ac:dyDescent="0.45">
      <c r="A31" s="284" t="s">
        <v>345</v>
      </c>
      <c r="B31" s="113">
        <f>165/3.6</f>
        <v>45.833333333333336</v>
      </c>
      <c r="C31" s="102">
        <f t="shared" si="4"/>
        <v>59.583333333333336</v>
      </c>
      <c r="D31" s="114">
        <v>1380</v>
      </c>
      <c r="E31" s="102">
        <f t="shared" si="5"/>
        <v>37.148351242013419</v>
      </c>
    </row>
    <row r="32" spans="1:10" ht="14.25" x14ac:dyDescent="0.45">
      <c r="A32" s="284" t="s">
        <v>347</v>
      </c>
      <c r="B32" s="113">
        <f>160/3.6</f>
        <v>44.444444444444443</v>
      </c>
      <c r="C32" s="102">
        <f t="shared" si="4"/>
        <v>57.777777777777779</v>
      </c>
      <c r="D32" s="114">
        <v>1033</v>
      </c>
      <c r="E32" s="102">
        <f t="shared" si="5"/>
        <v>32.140317359976393</v>
      </c>
    </row>
    <row r="33" spans="1:10" ht="14.25" x14ac:dyDescent="0.45">
      <c r="A33" s="284" t="s">
        <v>349</v>
      </c>
      <c r="B33" s="113">
        <f>182/3.6</f>
        <v>50.555555555555557</v>
      </c>
      <c r="C33" s="102">
        <f t="shared" si="4"/>
        <v>65.722222222222229</v>
      </c>
      <c r="D33" s="114">
        <v>1243</v>
      </c>
      <c r="E33" s="102">
        <f t="shared" si="5"/>
        <v>35.256205127608389</v>
      </c>
    </row>
    <row r="34" spans="1:10" ht="14.25" x14ac:dyDescent="0.45">
      <c r="A34" s="284" t="s">
        <v>355</v>
      </c>
      <c r="B34" s="113"/>
      <c r="C34" s="102">
        <f>185/3.6</f>
        <v>51.388888888888886</v>
      </c>
      <c r="D34" s="114">
        <v>1300</v>
      </c>
      <c r="E34" s="102">
        <f t="shared" si="5"/>
        <v>36.055512754639892</v>
      </c>
    </row>
    <row r="35" spans="1:10" ht="14.65" thickBot="1" x14ac:dyDescent="0.5">
      <c r="A35" s="284" t="s">
        <v>357</v>
      </c>
      <c r="B35" s="113"/>
      <c r="C35" s="108">
        <f>184/3.6</f>
        <v>51.111111111111107</v>
      </c>
      <c r="D35" s="114">
        <v>1140</v>
      </c>
      <c r="E35" s="108">
        <f t="shared" si="5"/>
        <v>33.763886032268267</v>
      </c>
    </row>
    <row r="36" spans="1:10" ht="13.15" thickBot="1" x14ac:dyDescent="0.4"/>
    <row r="37" spans="1:10" ht="13.5" thickBot="1" x14ac:dyDescent="0.45">
      <c r="A37" s="285" t="s">
        <v>372</v>
      </c>
      <c r="B37" s="12"/>
      <c r="C37" s="12"/>
      <c r="D37" s="158" t="s">
        <v>408</v>
      </c>
      <c r="E37" s="157">
        <f>1.643</f>
        <v>1.643</v>
      </c>
      <c r="F37" s="12"/>
    </row>
    <row r="38" spans="1:10" x14ac:dyDescent="0.35">
      <c r="A38" s="12"/>
      <c r="B38" s="12"/>
      <c r="C38" s="12"/>
      <c r="D38" s="12"/>
      <c r="E38" s="12"/>
      <c r="F38" s="12"/>
    </row>
    <row r="39" spans="1:10" ht="14.65" x14ac:dyDescent="0.5">
      <c r="A39" s="286" t="s">
        <v>533</v>
      </c>
      <c r="B39" s="12"/>
      <c r="C39" s="12"/>
      <c r="D39" s="12"/>
      <c r="E39" s="12"/>
      <c r="F39" s="12"/>
    </row>
    <row r="40" spans="1:10" ht="14.65" x14ac:dyDescent="0.5">
      <c r="A40" s="11" t="s">
        <v>373</v>
      </c>
      <c r="B40" s="12"/>
      <c r="C40" s="12"/>
      <c r="D40" s="12"/>
      <c r="E40" s="12"/>
      <c r="F40" s="12"/>
    </row>
    <row r="41" spans="1:10" x14ac:dyDescent="0.35">
      <c r="A41" s="12"/>
      <c r="B41" s="12"/>
      <c r="C41" s="12"/>
      <c r="D41" s="12"/>
      <c r="E41" s="12"/>
      <c r="F41" s="12"/>
    </row>
    <row r="42" spans="1:10" ht="14.65" x14ac:dyDescent="0.5">
      <c r="A42" s="286" t="s">
        <v>534</v>
      </c>
      <c r="B42" s="12"/>
      <c r="C42" s="12"/>
      <c r="D42" s="12"/>
      <c r="E42" s="12"/>
      <c r="F42" s="12"/>
    </row>
    <row r="43" spans="1:10" x14ac:dyDescent="0.35">
      <c r="A43" s="12"/>
      <c r="B43" s="12"/>
      <c r="C43" s="12"/>
      <c r="D43" s="12"/>
      <c r="E43" s="12"/>
      <c r="F43" s="12"/>
    </row>
    <row r="44" spans="1:10" ht="14.65" x14ac:dyDescent="0.5">
      <c r="A44" s="11" t="s">
        <v>374</v>
      </c>
      <c r="B44" s="12"/>
      <c r="C44" s="12"/>
      <c r="D44" s="12"/>
      <c r="E44" s="12"/>
      <c r="F44" s="12"/>
    </row>
    <row r="46" spans="1:10" ht="18" x14ac:dyDescent="0.6">
      <c r="A46" s="122" t="s">
        <v>535</v>
      </c>
    </row>
    <row r="47" spans="1:10" ht="13.15" thickBot="1" x14ac:dyDescent="0.4"/>
    <row r="48" spans="1:10" ht="15.75" x14ac:dyDescent="0.55000000000000004">
      <c r="B48" s="31" t="s">
        <v>375</v>
      </c>
      <c r="C48" s="31" t="s">
        <v>376</v>
      </c>
      <c r="D48" s="31" t="s">
        <v>377</v>
      </c>
      <c r="E48" s="31" t="s">
        <v>378</v>
      </c>
      <c r="F48" s="31" t="s">
        <v>379</v>
      </c>
      <c r="G48" s="31" t="s">
        <v>380</v>
      </c>
      <c r="H48" s="57" t="s">
        <v>381</v>
      </c>
      <c r="I48" s="115" t="s">
        <v>382</v>
      </c>
      <c r="J48" s="116" t="s">
        <v>383</v>
      </c>
    </row>
    <row r="49" spans="1:10" ht="13.15" x14ac:dyDescent="0.4">
      <c r="A49" s="282" t="s">
        <v>339</v>
      </c>
      <c r="B49" s="31">
        <f>0.17*10^3</f>
        <v>170</v>
      </c>
      <c r="C49" s="31">
        <v>1216</v>
      </c>
      <c r="D49" s="31">
        <v>0.65</v>
      </c>
      <c r="E49" s="31">
        <f>0.8*E7</f>
        <v>1.64</v>
      </c>
      <c r="F49" s="31">
        <v>247</v>
      </c>
      <c r="G49" s="31">
        <f>136/3.6</f>
        <v>37.777777777777779</v>
      </c>
      <c r="H49" s="57">
        <f>1.2*G49/SQRT(2)</f>
        <v>32.055507413790153</v>
      </c>
      <c r="I49" s="117">
        <f>B49*C49*E49*D49</f>
        <v>220363.51999999999</v>
      </c>
      <c r="J49" s="118">
        <f t="shared" ref="J49:J58" si="6">F49*g*H49</f>
        <v>77672.738349132516</v>
      </c>
    </row>
    <row r="50" spans="1:10" ht="13.15" x14ac:dyDescent="0.4">
      <c r="A50" s="282" t="s">
        <v>340</v>
      </c>
      <c r="B50" s="31">
        <f>0.163*10^3</f>
        <v>163</v>
      </c>
      <c r="C50" s="31">
        <v>1000</v>
      </c>
      <c r="D50" s="31">
        <v>0.65</v>
      </c>
      <c r="E50" s="31">
        <f>0.8*E8</f>
        <v>1.4400000000000002</v>
      </c>
      <c r="F50" s="31">
        <v>302.68</v>
      </c>
      <c r="G50" s="31">
        <f>134/3.6</f>
        <v>37.222222222222221</v>
      </c>
      <c r="H50" s="57">
        <f t="shared" ref="H50:H59" si="7">1.2*G50/SQRT(2)</f>
        <v>31.58410289299912</v>
      </c>
      <c r="I50" s="117">
        <f t="shared" ref="I50:I58" si="8">B50*C50*E50*D50</f>
        <v>152568.00000000003</v>
      </c>
      <c r="J50" s="118">
        <f t="shared" si="6"/>
        <v>93782.386146435674</v>
      </c>
    </row>
    <row r="51" spans="1:10" ht="13.15" x14ac:dyDescent="0.4">
      <c r="A51" s="282" t="s">
        <v>342</v>
      </c>
      <c r="B51" s="31">
        <f>0.194*10^3</f>
        <v>194</v>
      </c>
      <c r="C51" s="31">
        <v>1000</v>
      </c>
      <c r="D51" s="31">
        <v>0.65</v>
      </c>
      <c r="E51" s="31">
        <f>0.8*E9</f>
        <v>1.4400000000000002</v>
      </c>
      <c r="F51" s="31">
        <v>302.68</v>
      </c>
      <c r="G51" s="31">
        <f>134/3.6</f>
        <v>37.222222222222221</v>
      </c>
      <c r="H51" s="57">
        <f t="shared" si="7"/>
        <v>31.58410289299912</v>
      </c>
      <c r="I51" s="117">
        <f t="shared" si="8"/>
        <v>181584.00000000006</v>
      </c>
      <c r="J51" s="118">
        <f t="shared" si="6"/>
        <v>93782.386146435674</v>
      </c>
    </row>
    <row r="52" spans="1:10" ht="13.15" x14ac:dyDescent="0.4">
      <c r="A52" s="282" t="s">
        <v>343</v>
      </c>
      <c r="B52" s="31">
        <f>0.191*10^3</f>
        <v>191</v>
      </c>
      <c r="C52" s="31">
        <v>1178</v>
      </c>
      <c r="D52" s="31">
        <v>0.65</v>
      </c>
      <c r="E52" s="31">
        <f>0.8*E10</f>
        <v>1.4400000000000002</v>
      </c>
      <c r="F52" s="31">
        <v>347</v>
      </c>
      <c r="G52" s="31">
        <f>141/3.6</f>
        <v>39.166666666666664</v>
      </c>
      <c r="H52" s="57">
        <f t="shared" si="7"/>
        <v>33.234018715767725</v>
      </c>
      <c r="I52" s="117">
        <f t="shared" si="8"/>
        <v>210598.12800000006</v>
      </c>
      <c r="J52" s="118">
        <f t="shared" si="6"/>
        <v>113130.92608978345</v>
      </c>
    </row>
    <row r="53" spans="1:10" ht="13.15" x14ac:dyDescent="0.4">
      <c r="A53" s="282" t="s">
        <v>345</v>
      </c>
      <c r="B53" s="31">
        <f>0.2235*10^3</f>
        <v>223.5</v>
      </c>
      <c r="C53" s="31">
        <v>1550</v>
      </c>
      <c r="D53" s="31">
        <v>0.65</v>
      </c>
      <c r="E53" s="31">
        <f>0.8*E12</f>
        <v>1.92</v>
      </c>
      <c r="F53" s="31">
        <v>304.3</v>
      </c>
      <c r="G53" s="31">
        <f>165/3.6</f>
        <v>45.833333333333336</v>
      </c>
      <c r="H53" s="57">
        <f t="shared" si="7"/>
        <v>38.890872965260108</v>
      </c>
      <c r="I53" s="117">
        <f t="shared" si="8"/>
        <v>432338.4</v>
      </c>
      <c r="J53" s="118">
        <f t="shared" si="6"/>
        <v>116096.37283105409</v>
      </c>
    </row>
    <row r="54" spans="1:10" ht="13.15" x14ac:dyDescent="0.4">
      <c r="A54" s="282" t="s">
        <v>347</v>
      </c>
      <c r="B54" s="31">
        <f>0.284*10^3</f>
        <v>284</v>
      </c>
      <c r="C54" s="31">
        <v>1287</v>
      </c>
      <c r="D54" s="31">
        <v>0.65</v>
      </c>
      <c r="E54" s="31">
        <f>0.8*E13</f>
        <v>1.4400000000000002</v>
      </c>
      <c r="F54" s="31">
        <v>314.60000000000002</v>
      </c>
      <c r="G54" s="31">
        <f>173/3.6</f>
        <v>48.055555555555557</v>
      </c>
      <c r="H54" s="57">
        <f t="shared" si="7"/>
        <v>40.776491048424234</v>
      </c>
      <c r="I54" s="117">
        <f t="shared" si="8"/>
        <v>342115.48800000001</v>
      </c>
      <c r="J54" s="118">
        <f t="shared" si="6"/>
        <v>125845.46686241415</v>
      </c>
    </row>
    <row r="55" spans="1:10" ht="13.15" x14ac:dyDescent="0.4">
      <c r="A55" s="282" t="s">
        <v>349</v>
      </c>
      <c r="B55" s="31">
        <f>0.2715*10^3</f>
        <v>271.5</v>
      </c>
      <c r="C55" s="31">
        <v>1291</v>
      </c>
      <c r="D55" s="31">
        <v>0.65</v>
      </c>
      <c r="E55" s="31">
        <f>0.8*E14</f>
        <v>1.4400000000000002</v>
      </c>
      <c r="F55" s="31">
        <v>409.04</v>
      </c>
      <c r="G55" s="31">
        <f>206/3.6</f>
        <v>57.222222222222221</v>
      </c>
      <c r="H55" s="57">
        <f t="shared" si="7"/>
        <v>48.554665641476255</v>
      </c>
      <c r="I55" s="117">
        <f t="shared" si="8"/>
        <v>328074.08400000003</v>
      </c>
      <c r="J55" s="118">
        <f t="shared" si="6"/>
        <v>194834.4522574365</v>
      </c>
    </row>
    <row r="56" spans="1:10" ht="13.15" x14ac:dyDescent="0.4">
      <c r="A56" s="282" t="s">
        <v>355</v>
      </c>
      <c r="B56" s="31">
        <f>0.156*10^3</f>
        <v>156</v>
      </c>
      <c r="C56" s="31">
        <v>1550</v>
      </c>
      <c r="D56" s="31">
        <v>0.65</v>
      </c>
      <c r="E56" s="31">
        <f>0.8*E17</f>
        <v>1.92</v>
      </c>
      <c r="F56" s="31">
        <v>286.93</v>
      </c>
      <c r="G56" s="31">
        <f>160/3.6</f>
        <v>44.444444444444443</v>
      </c>
      <c r="H56" s="57">
        <f t="shared" si="7"/>
        <v>37.712361663282529</v>
      </c>
      <c r="I56" s="117">
        <f t="shared" si="8"/>
        <v>301766.40000000002</v>
      </c>
      <c r="J56" s="118">
        <f t="shared" si="6"/>
        <v>106152.12581336789</v>
      </c>
    </row>
    <row r="57" spans="1:10" ht="13.15" x14ac:dyDescent="0.4">
      <c r="A57" s="282" t="s">
        <v>357</v>
      </c>
      <c r="B57" s="31">
        <f>0.1728*10^3</f>
        <v>172.8</v>
      </c>
      <c r="C57" s="31">
        <v>1006</v>
      </c>
      <c r="D57" s="31">
        <v>0.65</v>
      </c>
      <c r="E57" s="31">
        <f>0.8*E18</f>
        <v>1.4400000000000002</v>
      </c>
      <c r="F57" s="31">
        <v>269.64</v>
      </c>
      <c r="G57" s="31">
        <f>141/3.6</f>
        <v>39.166666666666664</v>
      </c>
      <c r="H57" s="57">
        <f t="shared" si="7"/>
        <v>33.234018715767725</v>
      </c>
      <c r="I57" s="117">
        <f t="shared" si="8"/>
        <v>162711.24480000004</v>
      </c>
      <c r="J57" s="118">
        <f t="shared" si="6"/>
        <v>87909.576111957373</v>
      </c>
    </row>
    <row r="58" spans="1:10" ht="13.15" x14ac:dyDescent="0.4">
      <c r="A58" s="282" t="s">
        <v>358</v>
      </c>
      <c r="B58" s="31">
        <f>0.1799*10^3</f>
        <v>179.9</v>
      </c>
      <c r="C58" s="31">
        <v>1290</v>
      </c>
      <c r="D58" s="31">
        <v>0.65</v>
      </c>
      <c r="E58" s="31">
        <f>0.8*E19</f>
        <v>1.952</v>
      </c>
      <c r="F58" s="31">
        <v>373.7</v>
      </c>
      <c r="G58" s="31">
        <v>54.121000000000002</v>
      </c>
      <c r="H58" s="57">
        <f t="shared" si="7"/>
        <v>45.923191325516562</v>
      </c>
      <c r="I58" s="117">
        <f t="shared" si="8"/>
        <v>294451.68479999999</v>
      </c>
      <c r="J58" s="118">
        <f t="shared" si="6"/>
        <v>168354.28162976974</v>
      </c>
    </row>
    <row r="59" spans="1:10" ht="13.5" thickBot="1" x14ac:dyDescent="0.45">
      <c r="A59" s="395" t="s">
        <v>655</v>
      </c>
      <c r="B59">
        <v>246.1</v>
      </c>
      <c r="C59" s="23">
        <v>2195</v>
      </c>
      <c r="D59" s="23">
        <v>0.65</v>
      </c>
      <c r="E59">
        <v>2.1539999999999999</v>
      </c>
      <c r="F59" s="23">
        <v>637.64</v>
      </c>
      <c r="G59" s="20">
        <v>63.3</v>
      </c>
      <c r="H59" s="57">
        <f t="shared" si="7"/>
        <v>53.711831098930141</v>
      </c>
      <c r="I59" s="117">
        <f>B59*C59*E59*D59</f>
        <v>756319.31894999999</v>
      </c>
      <c r="J59" s="118">
        <f>F59*g*H59</f>
        <v>335980.845542653</v>
      </c>
    </row>
    <row r="60" spans="1:10" ht="15" thickBot="1" x14ac:dyDescent="0.55000000000000004">
      <c r="I60" s="158" t="s">
        <v>411</v>
      </c>
      <c r="J60" s="157">
        <f>2.25</f>
        <v>2.25</v>
      </c>
    </row>
    <row r="61" spans="1:10" ht="18" x14ac:dyDescent="0.6">
      <c r="A61" s="281" t="s">
        <v>536</v>
      </c>
      <c r="J61">
        <f>I59/J59</f>
        <v>2.2510786819660669</v>
      </c>
    </row>
    <row r="67" spans="1:13" ht="14.65" thickBot="1" x14ac:dyDescent="0.5">
      <c r="A67" s="96"/>
    </row>
    <row r="68" spans="1:13" ht="14.25" x14ac:dyDescent="0.35">
      <c r="A68" s="31"/>
      <c r="B68" s="31" t="s">
        <v>389</v>
      </c>
      <c r="C68" s="141" t="s">
        <v>405</v>
      </c>
      <c r="D68" s="31" t="s">
        <v>390</v>
      </c>
      <c r="E68" s="31" t="s">
        <v>391</v>
      </c>
      <c r="F68" s="141" t="s">
        <v>406</v>
      </c>
      <c r="G68" s="31" t="s">
        <v>392</v>
      </c>
      <c r="H68" s="31" t="s">
        <v>393</v>
      </c>
      <c r="I68" s="31" t="s">
        <v>394</v>
      </c>
      <c r="J68" s="57" t="s">
        <v>8</v>
      </c>
      <c r="K68" s="98" t="s">
        <v>395</v>
      </c>
      <c r="L68" s="25" t="s">
        <v>67</v>
      </c>
      <c r="M68" s="144" t="s">
        <v>407</v>
      </c>
    </row>
    <row r="69" spans="1:13" ht="13.15" x14ac:dyDescent="0.4">
      <c r="A69" s="284" t="s">
        <v>396</v>
      </c>
      <c r="B69" s="92">
        <v>199.61500000000001</v>
      </c>
      <c r="C69" s="92">
        <v>146.77000000000001</v>
      </c>
      <c r="D69" s="92">
        <v>36.231000000000002</v>
      </c>
      <c r="E69" s="92">
        <v>33.448</v>
      </c>
      <c r="F69" s="92">
        <v>19.297000000000001</v>
      </c>
      <c r="G69" s="92">
        <f t="shared" ref="G69:G78" si="9">SUM(B69:F69)</f>
        <v>435.36099999999999</v>
      </c>
      <c r="H69" s="92">
        <v>70.069999999999993</v>
      </c>
      <c r="I69" s="31">
        <f>G69/H69</f>
        <v>6.213229627515342</v>
      </c>
      <c r="J69" s="100">
        <v>12</v>
      </c>
      <c r="K69" s="142">
        <f>J69/I69</f>
        <v>1.9313627081892957</v>
      </c>
      <c r="L69" s="25">
        <v>15.83</v>
      </c>
      <c r="M69" s="102">
        <f>L69^2</f>
        <v>250.5889</v>
      </c>
    </row>
    <row r="70" spans="1:13" ht="13.15" x14ac:dyDescent="0.4">
      <c r="A70" s="284" t="s">
        <v>397</v>
      </c>
      <c r="B70" s="92">
        <v>153.52099999999999</v>
      </c>
      <c r="C70" s="92">
        <v>87.605999999999995</v>
      </c>
      <c r="D70" s="92">
        <v>21.3</v>
      </c>
      <c r="E70" s="92">
        <v>17.053000000000001</v>
      </c>
      <c r="F70" s="92">
        <v>9.093</v>
      </c>
      <c r="G70" s="92">
        <f t="shared" si="9"/>
        <v>288.57299999999998</v>
      </c>
      <c r="H70" s="92">
        <v>42.1</v>
      </c>
      <c r="I70" s="31">
        <f t="shared" ref="I70:I78" si="10">G70/H70</f>
        <v>6.8544655581947733</v>
      </c>
      <c r="J70" s="100">
        <v>12.41</v>
      </c>
      <c r="K70" s="142">
        <f t="shared" ref="K70:K78" si="11">J70/I70</f>
        <v>1.8104985566910281</v>
      </c>
      <c r="L70" s="25">
        <v>18.66</v>
      </c>
      <c r="M70" s="102">
        <f t="shared" ref="M70:M78" si="12">L70^2</f>
        <v>348.19560000000001</v>
      </c>
    </row>
    <row r="71" spans="1:13" ht="13.15" x14ac:dyDescent="0.4">
      <c r="A71" s="284" t="s">
        <v>398</v>
      </c>
      <c r="B71" s="92">
        <v>121.495</v>
      </c>
      <c r="C71" s="92">
        <v>86.72</v>
      </c>
      <c r="D71" s="92">
        <v>23.177</v>
      </c>
      <c r="E71" s="92">
        <v>16.021999999999998</v>
      </c>
      <c r="F71" s="92">
        <v>12.403</v>
      </c>
      <c r="G71" s="92">
        <f t="shared" si="9"/>
        <v>259.81700000000001</v>
      </c>
      <c r="H71" s="92">
        <v>41.81</v>
      </c>
      <c r="I71" s="31">
        <f t="shared" si="10"/>
        <v>6.214231045204496</v>
      </c>
      <c r="J71" s="100">
        <v>11</v>
      </c>
      <c r="K71" s="142">
        <f t="shared" si="11"/>
        <v>1.7701305149393614</v>
      </c>
      <c r="L71" s="25">
        <v>16</v>
      </c>
      <c r="M71" s="102">
        <f t="shared" si="12"/>
        <v>256</v>
      </c>
    </row>
    <row r="72" spans="1:13" ht="13.15" x14ac:dyDescent="0.4">
      <c r="A72" s="284" t="s">
        <v>399</v>
      </c>
      <c r="B72" s="92">
        <v>188.471</v>
      </c>
      <c r="C72" s="92">
        <v>162.98599999999999</v>
      </c>
      <c r="D72" s="92">
        <v>16.343</v>
      </c>
      <c r="E72" s="92">
        <v>18.847000000000001</v>
      </c>
      <c r="F72" s="92">
        <v>8.7409999999999997</v>
      </c>
      <c r="G72" s="92">
        <f t="shared" si="9"/>
        <v>395.38799999999998</v>
      </c>
      <c r="H72" s="92">
        <v>78.3</v>
      </c>
      <c r="I72" s="31">
        <f t="shared" si="10"/>
        <v>5.049655172413793</v>
      </c>
      <c r="J72" s="100">
        <v>11.98</v>
      </c>
      <c r="K72" s="142">
        <f t="shared" si="11"/>
        <v>2.3724392242556678</v>
      </c>
      <c r="L72" s="25">
        <v>15.58</v>
      </c>
      <c r="M72" s="102">
        <f t="shared" si="12"/>
        <v>242.7364</v>
      </c>
    </row>
    <row r="73" spans="1:13" ht="13.15" x14ac:dyDescent="0.4">
      <c r="A73" s="284" t="s">
        <v>400</v>
      </c>
      <c r="B73" s="92">
        <v>135.77799999999999</v>
      </c>
      <c r="C73" s="92">
        <v>81.953000000000003</v>
      </c>
      <c r="D73" s="92">
        <v>12.529</v>
      </c>
      <c r="E73" s="92">
        <v>11.831</v>
      </c>
      <c r="F73" s="92">
        <v>6.7069999999999999</v>
      </c>
      <c r="G73" s="92">
        <f t="shared" si="9"/>
        <v>248.79799999999997</v>
      </c>
      <c r="H73" s="92">
        <v>39.4</v>
      </c>
      <c r="I73" s="31">
        <f t="shared" si="10"/>
        <v>6.3146700507614213</v>
      </c>
      <c r="J73" s="100">
        <v>9.93</v>
      </c>
      <c r="K73" s="142">
        <f t="shared" si="11"/>
        <v>1.5725287180765117</v>
      </c>
      <c r="L73" s="25">
        <v>14.16</v>
      </c>
      <c r="M73" s="102">
        <f t="shared" si="12"/>
        <v>200.50560000000002</v>
      </c>
    </row>
    <row r="74" spans="1:13" ht="13.15" x14ac:dyDescent="0.4">
      <c r="A74" s="284" t="s">
        <v>401</v>
      </c>
      <c r="B74" s="92">
        <v>100.202</v>
      </c>
      <c r="C74" s="92">
        <v>67.384</v>
      </c>
      <c r="D74" s="92">
        <v>8.2140000000000004</v>
      </c>
      <c r="E74" s="92">
        <v>13.4</v>
      </c>
      <c r="F74" s="92">
        <v>4.3979999999999997</v>
      </c>
      <c r="G74" s="92">
        <f t="shared" si="9"/>
        <v>193.59800000000001</v>
      </c>
      <c r="H74" s="92">
        <v>32.4</v>
      </c>
      <c r="I74" s="31">
        <f t="shared" si="10"/>
        <v>5.9752469135802473</v>
      </c>
      <c r="J74" s="100">
        <v>10.47</v>
      </c>
      <c r="K74" s="142">
        <f t="shared" si="11"/>
        <v>1.7522288453393113</v>
      </c>
      <c r="L74" s="25">
        <v>11.33</v>
      </c>
      <c r="M74" s="102">
        <f t="shared" si="12"/>
        <v>128.3689</v>
      </c>
    </row>
    <row r="75" spans="1:13" ht="13.15" x14ac:dyDescent="0.4">
      <c r="A75" s="284" t="s">
        <v>402</v>
      </c>
      <c r="B75" s="92">
        <v>135.24299999999999</v>
      </c>
      <c r="C75" s="92">
        <v>83.176000000000002</v>
      </c>
      <c r="D75" s="92">
        <v>18.55</v>
      </c>
      <c r="E75" s="92">
        <v>22.795000000000002</v>
      </c>
      <c r="F75" s="92">
        <v>9.9290000000000003</v>
      </c>
      <c r="G75" s="92">
        <f t="shared" si="9"/>
        <v>269.69299999999998</v>
      </c>
      <c r="H75" s="92">
        <v>40</v>
      </c>
      <c r="I75" s="31">
        <f t="shared" si="10"/>
        <v>6.7423249999999992</v>
      </c>
      <c r="J75" s="100">
        <v>11</v>
      </c>
      <c r="K75" s="142">
        <f t="shared" si="11"/>
        <v>1.6314846881454099</v>
      </c>
      <c r="L75" s="25">
        <v>13.91</v>
      </c>
      <c r="M75" s="102">
        <f t="shared" si="12"/>
        <v>193.4881</v>
      </c>
    </row>
    <row r="76" spans="1:13" ht="13.15" x14ac:dyDescent="0.4">
      <c r="A76" s="284" t="s">
        <v>403</v>
      </c>
      <c r="B76" s="92">
        <v>187.57300000000001</v>
      </c>
      <c r="C76" s="92">
        <v>117.01600000000001</v>
      </c>
      <c r="D76" s="92">
        <v>18.419</v>
      </c>
      <c r="E76" s="92">
        <v>20.221</v>
      </c>
      <c r="F76" s="92">
        <v>9.8629999999999995</v>
      </c>
      <c r="G76" s="92">
        <f t="shared" si="9"/>
        <v>353.09199999999998</v>
      </c>
      <c r="H76" s="92">
        <v>56.2</v>
      </c>
      <c r="I76" s="31">
        <f t="shared" si="10"/>
        <v>6.2827758007117431</v>
      </c>
      <c r="J76" s="100">
        <v>13.4</v>
      </c>
      <c r="K76" s="142">
        <f t="shared" si="11"/>
        <v>2.1328152436192269</v>
      </c>
      <c r="L76" s="25">
        <v>15.66</v>
      </c>
      <c r="M76" s="102">
        <f t="shared" si="12"/>
        <v>245.23560000000001</v>
      </c>
    </row>
    <row r="77" spans="1:13" ht="13.15" x14ac:dyDescent="0.4">
      <c r="A77" s="284" t="s">
        <v>404</v>
      </c>
      <c r="B77" s="92">
        <v>167.56700000000001</v>
      </c>
      <c r="C77" s="92">
        <v>113.422</v>
      </c>
      <c r="D77" s="92">
        <v>24.099</v>
      </c>
      <c r="E77" s="92">
        <v>25.725000000000001</v>
      </c>
      <c r="F77" s="92">
        <v>12.898</v>
      </c>
      <c r="G77" s="92">
        <f t="shared" si="9"/>
        <v>343.71100000000007</v>
      </c>
      <c r="H77" s="92">
        <v>54.5</v>
      </c>
      <c r="I77" s="31">
        <f t="shared" si="10"/>
        <v>6.3066238532110104</v>
      </c>
      <c r="J77" s="100">
        <v>11.1</v>
      </c>
      <c r="K77" s="142">
        <f t="shared" si="11"/>
        <v>1.7600542316073675</v>
      </c>
      <c r="L77" s="25">
        <v>14.66</v>
      </c>
      <c r="M77" s="102">
        <f t="shared" si="12"/>
        <v>214.91560000000001</v>
      </c>
    </row>
    <row r="78" spans="1:13" ht="13.5" thickBot="1" x14ac:dyDescent="0.45">
      <c r="A78" s="284" t="s">
        <v>358</v>
      </c>
      <c r="B78" s="92">
        <v>207.09</v>
      </c>
      <c r="C78" s="92">
        <v>126.92400000000001</v>
      </c>
      <c r="D78" s="92">
        <v>24.1</v>
      </c>
      <c r="E78" s="92">
        <v>25.725000000000001</v>
      </c>
      <c r="F78" s="92">
        <v>12.898</v>
      </c>
      <c r="G78" s="92">
        <f t="shared" si="9"/>
        <v>396.73700000000008</v>
      </c>
      <c r="H78" s="92">
        <v>61</v>
      </c>
      <c r="I78" s="31">
        <f t="shared" si="10"/>
        <v>6.5038852459016407</v>
      </c>
      <c r="J78" s="100">
        <v>12</v>
      </c>
      <c r="K78" s="143">
        <f t="shared" si="11"/>
        <v>1.845051003561553</v>
      </c>
      <c r="L78" s="25">
        <v>16.66</v>
      </c>
      <c r="M78" s="108">
        <f t="shared" si="12"/>
        <v>277.55560000000003</v>
      </c>
    </row>
    <row r="79" spans="1:13" ht="13.15" thickBot="1" x14ac:dyDescent="0.4"/>
    <row r="80" spans="1:13" ht="15" thickBot="1" x14ac:dyDescent="0.55000000000000004">
      <c r="L80" s="158" t="s">
        <v>412</v>
      </c>
      <c r="M80" s="157">
        <f>SQRT(125.9)</f>
        <v>11.220516922138659</v>
      </c>
    </row>
    <row r="82" spans="1:4" ht="15" x14ac:dyDescent="0.4">
      <c r="A82" s="122" t="s">
        <v>413</v>
      </c>
    </row>
    <row r="84" spans="1:4" ht="18" x14ac:dyDescent="0.6">
      <c r="A84" s="281" t="s">
        <v>537</v>
      </c>
    </row>
    <row r="85" spans="1:4" x14ac:dyDescent="0.35">
      <c r="A85" s="12"/>
      <c r="B85" s="31" t="s">
        <v>416</v>
      </c>
      <c r="C85" s="31" t="s">
        <v>321</v>
      </c>
      <c r="D85" s="31" t="s">
        <v>415</v>
      </c>
    </row>
    <row r="86" spans="1:4" ht="13.15" x14ac:dyDescent="0.4">
      <c r="A86" s="282" t="s">
        <v>340</v>
      </c>
      <c r="B86" s="92">
        <v>15649</v>
      </c>
      <c r="C86" s="92">
        <v>16466</v>
      </c>
      <c r="D86" s="92">
        <f>B86/C86</f>
        <v>0.95038260658326246</v>
      </c>
    </row>
    <row r="87" spans="1:4" ht="13.15" x14ac:dyDescent="0.4">
      <c r="A87" s="282" t="s">
        <v>342</v>
      </c>
      <c r="B87" s="92">
        <v>15649</v>
      </c>
      <c r="C87" s="92">
        <v>16466</v>
      </c>
      <c r="D87" s="92">
        <f t="shared" ref="D87:D97" si="13">B87/C87</f>
        <v>0.95038260658326246</v>
      </c>
    </row>
    <row r="88" spans="1:4" ht="13.15" x14ac:dyDescent="0.4">
      <c r="A88" s="282" t="s">
        <v>343</v>
      </c>
      <c r="B88" s="92">
        <v>19051</v>
      </c>
      <c r="C88" s="92">
        <v>19505</v>
      </c>
      <c r="D88" s="92">
        <f t="shared" si="13"/>
        <v>0.97672391694437322</v>
      </c>
    </row>
    <row r="89" spans="1:4" ht="13.15" x14ac:dyDescent="0.4">
      <c r="A89" s="282" t="s">
        <v>344</v>
      </c>
      <c r="B89" s="92">
        <v>28009</v>
      </c>
      <c r="C89" s="92">
        <v>28009</v>
      </c>
      <c r="D89" s="92">
        <f t="shared" si="13"/>
        <v>1</v>
      </c>
    </row>
    <row r="90" spans="1:4" ht="13.15" x14ac:dyDescent="0.4">
      <c r="A90" s="282" t="s">
        <v>345</v>
      </c>
      <c r="B90" s="92">
        <v>11700</v>
      </c>
      <c r="C90" s="92">
        <v>11990</v>
      </c>
      <c r="D90" s="92">
        <f t="shared" si="13"/>
        <v>0.97581317764803999</v>
      </c>
    </row>
    <row r="91" spans="1:4" ht="13.15" x14ac:dyDescent="0.4">
      <c r="A91" s="282" t="s">
        <v>347</v>
      </c>
      <c r="B91" s="92">
        <v>12930</v>
      </c>
      <c r="C91" s="92">
        <v>13155</v>
      </c>
      <c r="D91" s="92">
        <f t="shared" si="13"/>
        <v>0.98289623717217789</v>
      </c>
    </row>
    <row r="92" spans="1:4" ht="13.15" x14ac:dyDescent="0.4">
      <c r="A92" s="282" t="s">
        <v>349</v>
      </c>
      <c r="B92" s="92">
        <v>22000</v>
      </c>
      <c r="C92" s="92">
        <v>23000</v>
      </c>
      <c r="D92" s="92">
        <f t="shared" si="13"/>
        <v>0.95652173913043481</v>
      </c>
    </row>
    <row r="93" spans="1:4" ht="13.15" x14ac:dyDescent="0.4">
      <c r="A93" s="282" t="s">
        <v>351</v>
      </c>
      <c r="B93" s="92">
        <v>13230</v>
      </c>
      <c r="C93" s="92">
        <v>13990</v>
      </c>
      <c r="D93" s="92">
        <f t="shared" si="13"/>
        <v>0.94567548248749111</v>
      </c>
    </row>
    <row r="94" spans="1:4" ht="13.15" x14ac:dyDescent="0.4">
      <c r="A94" s="282" t="s">
        <v>353</v>
      </c>
      <c r="B94" s="92">
        <v>19100</v>
      </c>
      <c r="C94" s="92">
        <v>19150</v>
      </c>
      <c r="D94" s="92">
        <f t="shared" si="13"/>
        <v>0.99738903394255873</v>
      </c>
    </row>
    <row r="95" spans="1:4" ht="13.15" x14ac:dyDescent="0.4">
      <c r="A95" s="282" t="s">
        <v>357</v>
      </c>
      <c r="B95" s="92">
        <v>14800</v>
      </c>
      <c r="C95" s="92">
        <v>15100</v>
      </c>
      <c r="D95" s="92">
        <f t="shared" si="13"/>
        <v>0.98013245033112584</v>
      </c>
    </row>
    <row r="96" spans="1:4" ht="13.15" x14ac:dyDescent="0.4">
      <c r="A96" s="283" t="s">
        <v>358</v>
      </c>
      <c r="B96" s="92">
        <v>22350</v>
      </c>
      <c r="C96" s="92">
        <v>22800</v>
      </c>
      <c r="D96" s="92">
        <f t="shared" si="13"/>
        <v>0.98026315789473684</v>
      </c>
    </row>
    <row r="97" spans="1:7" ht="13.5" thickBot="1" x14ac:dyDescent="0.45">
      <c r="A97" s="282" t="s">
        <v>360</v>
      </c>
      <c r="B97" s="92">
        <v>18300</v>
      </c>
      <c r="C97" s="146">
        <v>18600</v>
      </c>
      <c r="D97" s="146">
        <f t="shared" si="13"/>
        <v>0.9838709677419355</v>
      </c>
    </row>
    <row r="98" spans="1:7" ht="13.5" thickBot="1" x14ac:dyDescent="0.45">
      <c r="C98" s="159" t="s">
        <v>417</v>
      </c>
      <c r="D98" s="160">
        <f>AVERAGE(D86:D97)</f>
        <v>0.97333761470494995</v>
      </c>
    </row>
    <row r="100" spans="1:7" ht="15" x14ac:dyDescent="0.4">
      <c r="A100" s="281" t="s">
        <v>414</v>
      </c>
    </row>
    <row r="101" spans="1:7" ht="13.15" thickBot="1" x14ac:dyDescent="0.4"/>
    <row r="102" spans="1:7" ht="13.5" thickBot="1" x14ac:dyDescent="0.45">
      <c r="A102" s="131"/>
      <c r="B102" s="132" t="s">
        <v>388</v>
      </c>
      <c r="C102" s="132" t="s">
        <v>384</v>
      </c>
      <c r="D102" s="133" t="s">
        <v>385</v>
      </c>
      <c r="E102" s="134"/>
      <c r="F102" s="134"/>
      <c r="G102" s="135"/>
    </row>
    <row r="103" spans="1:7" ht="14.65" x14ac:dyDescent="0.5">
      <c r="A103" s="161" t="s">
        <v>410</v>
      </c>
      <c r="B103" s="167">
        <v>0.13700000000000001</v>
      </c>
      <c r="C103" s="165">
        <v>0.107</v>
      </c>
      <c r="D103" s="119" t="s">
        <v>386</v>
      </c>
      <c r="E103" s="120"/>
      <c r="F103" s="120"/>
      <c r="G103" s="116"/>
    </row>
    <row r="104" spans="1:7" ht="14.65" x14ac:dyDescent="0.5">
      <c r="A104" s="162" t="s">
        <v>426</v>
      </c>
      <c r="B104" s="168">
        <v>1.9390000000000001</v>
      </c>
      <c r="C104" s="72">
        <v>1.7</v>
      </c>
      <c r="D104" s="123" t="s">
        <v>420</v>
      </c>
      <c r="E104" s="25"/>
      <c r="F104" s="25"/>
      <c r="G104" s="103"/>
    </row>
    <row r="105" spans="1:7" ht="14.65" x14ac:dyDescent="0.5">
      <c r="A105" s="162" t="s">
        <v>427</v>
      </c>
      <c r="B105" s="168">
        <v>1.643</v>
      </c>
      <c r="C105" s="166" t="s">
        <v>387</v>
      </c>
      <c r="D105" s="123" t="s">
        <v>421</v>
      </c>
      <c r="E105" s="25"/>
      <c r="F105" s="25"/>
      <c r="G105" s="103"/>
    </row>
    <row r="106" spans="1:7" ht="14.65" x14ac:dyDescent="0.5">
      <c r="A106" s="163" t="s">
        <v>411</v>
      </c>
      <c r="B106" s="169">
        <v>2.25</v>
      </c>
      <c r="C106" s="76">
        <v>2.34</v>
      </c>
      <c r="D106" s="85" t="s">
        <v>422</v>
      </c>
      <c r="E106" s="57"/>
      <c r="F106" s="25"/>
      <c r="G106" s="121"/>
    </row>
    <row r="107" spans="1:7" ht="15" thickBot="1" x14ac:dyDescent="0.55000000000000004">
      <c r="A107" s="164" t="s">
        <v>412</v>
      </c>
      <c r="B107" s="170">
        <v>11.22</v>
      </c>
      <c r="C107" s="72">
        <v>17.25</v>
      </c>
      <c r="D107" s="123" t="s">
        <v>423</v>
      </c>
      <c r="E107" s="124"/>
      <c r="F107" s="124"/>
      <c r="G107" s="125"/>
    </row>
    <row r="108" spans="1:7" x14ac:dyDescent="0.35">
      <c r="A108" s="12"/>
      <c r="B108" s="62"/>
      <c r="C108" s="72">
        <v>16.190000000000001</v>
      </c>
      <c r="D108" s="130" t="s">
        <v>424</v>
      </c>
    </row>
    <row r="109" spans="1:7" ht="13.15" thickBot="1" x14ac:dyDescent="0.4">
      <c r="B109" s="62"/>
      <c r="C109" s="126">
        <v>15.15</v>
      </c>
      <c r="D109" s="130" t="s">
        <v>425</v>
      </c>
      <c r="E109" s="64"/>
      <c r="F109" s="64"/>
      <c r="G109" s="64"/>
    </row>
    <row r="110" spans="1:7" ht="15.4" thickBot="1" x14ac:dyDescent="0.55000000000000004">
      <c r="C110" s="60"/>
      <c r="D110" s="127" t="s">
        <v>419</v>
      </c>
      <c r="E110" s="128"/>
      <c r="F110" s="128"/>
      <c r="G110" s="129"/>
    </row>
  </sheetData>
  <phoneticPr fontId="0" type="noConversion"/>
  <pageMargins left="0.7" right="0.7" top="0.75" bottom="0.75" header="0.3" footer="0.3"/>
  <pageSetup paperSize="9" orientation="portrait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94"/>
  <sheetViews>
    <sheetView zoomScaleNormal="100" workbookViewId="0">
      <selection activeCell="A3" sqref="A3"/>
    </sheetView>
  </sheetViews>
  <sheetFormatPr baseColWidth="10" defaultColWidth="11.46484375" defaultRowHeight="12.75" x14ac:dyDescent="0.35"/>
  <cols>
    <col min="1" max="1" width="39.265625" customWidth="1"/>
    <col min="2" max="2" width="32.73046875" customWidth="1"/>
    <col min="3" max="3" width="10" customWidth="1"/>
    <col min="4" max="4" width="8.265625" customWidth="1"/>
    <col min="5" max="5" width="12" bestFit="1" customWidth="1"/>
    <col min="6" max="6" width="11.53125" bestFit="1" customWidth="1"/>
    <col min="7" max="7" width="11.46484375" customWidth="1"/>
    <col min="8" max="8" width="30.265625" customWidth="1"/>
    <col min="9" max="9" width="11.46484375" customWidth="1"/>
    <col min="10" max="10" width="15.73046875" customWidth="1"/>
  </cols>
  <sheetData>
    <row r="1" spans="1:12" ht="15" x14ac:dyDescent="0.4">
      <c r="A1" s="122" t="s">
        <v>538</v>
      </c>
      <c r="I1" s="11" t="s">
        <v>722</v>
      </c>
    </row>
    <row r="2" spans="1:12" ht="15" x14ac:dyDescent="0.5">
      <c r="A2" s="11" t="s">
        <v>238</v>
      </c>
      <c r="I2" s="12" t="s">
        <v>723</v>
      </c>
      <c r="K2">
        <v>78400</v>
      </c>
      <c r="L2" t="s">
        <v>28</v>
      </c>
    </row>
    <row r="3" spans="1:12" ht="15.4" thickBot="1" x14ac:dyDescent="0.55000000000000004">
      <c r="B3" s="11"/>
      <c r="I3" s="12" t="s">
        <v>724</v>
      </c>
      <c r="K3">
        <v>78000</v>
      </c>
      <c r="L3" t="s">
        <v>28</v>
      </c>
    </row>
    <row r="4" spans="1:12" ht="15" x14ac:dyDescent="0.5">
      <c r="A4" s="58" t="s">
        <v>110</v>
      </c>
      <c r="B4" s="59"/>
      <c r="C4" s="60"/>
      <c r="E4" s="384" t="s">
        <v>551</v>
      </c>
      <c r="F4" s="385"/>
      <c r="G4" s="386"/>
      <c r="I4" s="12" t="s">
        <v>725</v>
      </c>
      <c r="K4">
        <v>66000</v>
      </c>
      <c r="L4" t="s">
        <v>28</v>
      </c>
    </row>
    <row r="5" spans="1:12" ht="15.4" thickBot="1" x14ac:dyDescent="0.55000000000000004">
      <c r="A5" s="61" t="s">
        <v>217</v>
      </c>
      <c r="B5" s="11"/>
      <c r="C5" s="62"/>
      <c r="E5" s="387" t="s">
        <v>358</v>
      </c>
      <c r="F5" s="388"/>
      <c r="G5" s="389"/>
      <c r="I5" s="12" t="s">
        <v>726</v>
      </c>
      <c r="K5">
        <v>62500</v>
      </c>
      <c r="L5" t="s">
        <v>28</v>
      </c>
    </row>
    <row r="6" spans="1:12" ht="13.15" x14ac:dyDescent="0.4">
      <c r="A6" s="61" t="s">
        <v>111</v>
      </c>
      <c r="B6" s="11"/>
      <c r="C6" s="62"/>
    </row>
    <row r="7" spans="1:12" ht="15.4" x14ac:dyDescent="0.5">
      <c r="A7" s="61" t="s">
        <v>112</v>
      </c>
      <c r="B7" s="11"/>
      <c r="C7" s="62"/>
      <c r="I7" s="12" t="s">
        <v>727</v>
      </c>
      <c r="K7">
        <v>122.6</v>
      </c>
      <c r="L7" s="12" t="s">
        <v>702</v>
      </c>
    </row>
    <row r="8" spans="1:12" ht="13.5" thickBot="1" x14ac:dyDescent="0.45">
      <c r="A8" s="63" t="s">
        <v>113</v>
      </c>
      <c r="B8" s="64"/>
      <c r="C8" s="65"/>
    </row>
    <row r="9" spans="1:12" x14ac:dyDescent="0.35">
      <c r="A9" s="18"/>
    </row>
    <row r="10" spans="1:12" ht="13.15" x14ac:dyDescent="0.4">
      <c r="A10" s="8" t="s">
        <v>114</v>
      </c>
    </row>
    <row r="11" spans="1:12" ht="15.4" x14ac:dyDescent="0.5">
      <c r="A11" t="s">
        <v>115</v>
      </c>
      <c r="B11" t="s">
        <v>36</v>
      </c>
      <c r="C11" s="47">
        <f>'2.) Parameters-Statistics'!B104</f>
        <v>1.9390000000000001</v>
      </c>
      <c r="D11" s="43" t="s">
        <v>235</v>
      </c>
      <c r="E11" t="s">
        <v>239</v>
      </c>
    </row>
    <row r="12" spans="1:12" x14ac:dyDescent="0.35">
      <c r="A12" t="s">
        <v>116</v>
      </c>
      <c r="B12" t="s">
        <v>39</v>
      </c>
      <c r="C12" s="9">
        <f>3.6/1.852</f>
        <v>1.9438444924406046</v>
      </c>
      <c r="D12" t="s">
        <v>3</v>
      </c>
    </row>
    <row r="13" spans="1:12" x14ac:dyDescent="0.35">
      <c r="C13" s="9"/>
    </row>
    <row r="14" spans="1:12" ht="13.15" x14ac:dyDescent="0.4">
      <c r="A14" s="11" t="s">
        <v>117</v>
      </c>
      <c r="C14" s="35" t="s">
        <v>234</v>
      </c>
      <c r="E14" s="7" t="s">
        <v>237</v>
      </c>
    </row>
    <row r="15" spans="1:12" ht="15" x14ac:dyDescent="0.5">
      <c r="A15" t="s">
        <v>118</v>
      </c>
      <c r="B15" t="s">
        <v>37</v>
      </c>
      <c r="C15" s="19">
        <v>1550</v>
      </c>
      <c r="D15" s="19" t="s">
        <v>1</v>
      </c>
      <c r="E15" s="10"/>
    </row>
    <row r="16" spans="1:12" ht="15" x14ac:dyDescent="0.5">
      <c r="A16" t="s">
        <v>119</v>
      </c>
      <c r="B16" s="18" t="s">
        <v>38</v>
      </c>
      <c r="C16" s="10">
        <f>C11*SQRT(C15)</f>
        <v>76.338506338544505</v>
      </c>
      <c r="D16" t="s">
        <v>2</v>
      </c>
    </row>
    <row r="17" spans="1:8" ht="15" x14ac:dyDescent="0.5">
      <c r="A17" t="s">
        <v>119</v>
      </c>
      <c r="B17" s="18" t="s">
        <v>38</v>
      </c>
      <c r="C17" s="45">
        <f>C16*C12</f>
        <v>148.39018510732191</v>
      </c>
      <c r="D17" s="38" t="s">
        <v>4</v>
      </c>
    </row>
    <row r="18" spans="1:8" ht="13.15" x14ac:dyDescent="0.4">
      <c r="B18" s="18"/>
      <c r="C18" s="37"/>
      <c r="D18" s="38"/>
    </row>
    <row r="19" spans="1:8" ht="13.15" x14ac:dyDescent="0.4">
      <c r="A19" s="11" t="s">
        <v>120</v>
      </c>
      <c r="C19" s="41" t="str">
        <f>IF(C14="yes","no","yes")</f>
        <v>no</v>
      </c>
      <c r="D19" s="38"/>
    </row>
    <row r="20" spans="1:8" ht="15" x14ac:dyDescent="0.5">
      <c r="A20" t="s">
        <v>119</v>
      </c>
      <c r="B20" t="s">
        <v>38</v>
      </c>
      <c r="C20" s="46">
        <v>117.33499999999999</v>
      </c>
      <c r="D20" s="19" t="s">
        <v>4</v>
      </c>
    </row>
    <row r="21" spans="1:8" ht="15" x14ac:dyDescent="0.5">
      <c r="A21" t="s">
        <v>119</v>
      </c>
      <c r="B21" s="18" t="s">
        <v>38</v>
      </c>
      <c r="C21" s="44">
        <f>C20/C12</f>
        <v>60.362338888888893</v>
      </c>
      <c r="D21" t="s">
        <v>2</v>
      </c>
    </row>
    <row r="22" spans="1:8" ht="15" x14ac:dyDescent="0.5">
      <c r="A22" t="s">
        <v>118</v>
      </c>
      <c r="B22" t="s">
        <v>37</v>
      </c>
      <c r="C22" s="37">
        <f>(C21/C11)^2</f>
        <v>969.11764360628581</v>
      </c>
      <c r="D22" s="38" t="s">
        <v>1</v>
      </c>
    </row>
    <row r="23" spans="1:8" x14ac:dyDescent="0.35">
      <c r="B23" s="18"/>
      <c r="C23" s="42"/>
      <c r="D23" s="18"/>
    </row>
    <row r="24" spans="1:8" x14ac:dyDescent="0.35">
      <c r="C24" s="18"/>
      <c r="D24" s="18"/>
    </row>
    <row r="25" spans="1:8" ht="15" x14ac:dyDescent="0.5">
      <c r="A25" s="8" t="s">
        <v>121</v>
      </c>
      <c r="E25" t="s">
        <v>598</v>
      </c>
    </row>
    <row r="26" spans="1:8" ht="15" x14ac:dyDescent="0.5">
      <c r="A26" t="s">
        <v>118</v>
      </c>
      <c r="B26" t="s">
        <v>37</v>
      </c>
      <c r="C26" s="5">
        <f>IF(C14="yes",C15,C22)</f>
        <v>1550</v>
      </c>
      <c r="D26" t="s">
        <v>1</v>
      </c>
      <c r="F26" s="140"/>
    </row>
    <row r="27" spans="1:8" ht="15" x14ac:dyDescent="0.5">
      <c r="A27" t="s">
        <v>122</v>
      </c>
      <c r="B27" s="3" t="s">
        <v>108</v>
      </c>
      <c r="C27" s="19">
        <v>0</v>
      </c>
      <c r="D27" s="19" t="s">
        <v>17</v>
      </c>
      <c r="G27" s="12" t="s">
        <v>599</v>
      </c>
    </row>
    <row r="28" spans="1:8" ht="13.15" x14ac:dyDescent="0.4">
      <c r="A28" t="s">
        <v>123</v>
      </c>
      <c r="B28" s="3" t="s">
        <v>21</v>
      </c>
      <c r="C28" s="9">
        <f>288.15/(288.15+C27)</f>
        <v>1</v>
      </c>
    </row>
    <row r="29" spans="1:8" ht="15" x14ac:dyDescent="0.5">
      <c r="A29" t="s">
        <v>115</v>
      </c>
      <c r="B29" t="s">
        <v>40</v>
      </c>
      <c r="C29" s="15">
        <f>0.137</f>
        <v>0.13700000000000001</v>
      </c>
      <c r="D29" t="s">
        <v>5</v>
      </c>
      <c r="E29" t="s">
        <v>239</v>
      </c>
    </row>
    <row r="30" spans="1:8" ht="15" x14ac:dyDescent="0.5">
      <c r="A30" t="s">
        <v>225</v>
      </c>
      <c r="B30" s="12" t="s">
        <v>600</v>
      </c>
      <c r="C30" s="19">
        <v>2.5351344999999998</v>
      </c>
      <c r="D30" s="12"/>
      <c r="H30" s="18"/>
    </row>
    <row r="31" spans="1:8" ht="15" x14ac:dyDescent="0.5">
      <c r="A31" t="s">
        <v>124</v>
      </c>
      <c r="B31" t="s">
        <v>51</v>
      </c>
      <c r="C31" s="36">
        <v>0.93200000000000005</v>
      </c>
    </row>
    <row r="32" spans="1:8" ht="15" x14ac:dyDescent="0.5">
      <c r="A32" t="s">
        <v>125</v>
      </c>
      <c r="B32" s="12" t="s">
        <v>50</v>
      </c>
      <c r="C32" s="51">
        <f>C29*C28*C30*C26</f>
        <v>538.33581107500004</v>
      </c>
      <c r="D32" s="38" t="s">
        <v>6</v>
      </c>
      <c r="H32" s="82" t="s">
        <v>280</v>
      </c>
    </row>
    <row r="33" spans="1:8" ht="15" x14ac:dyDescent="0.5">
      <c r="A33" t="s">
        <v>126</v>
      </c>
      <c r="B33" s="18" t="s">
        <v>52</v>
      </c>
      <c r="C33" s="396">
        <v>636.15</v>
      </c>
      <c r="D33" s="38" t="s">
        <v>6</v>
      </c>
      <c r="H33" s="82" t="s">
        <v>597</v>
      </c>
    </row>
    <row r="34" spans="1:8" x14ac:dyDescent="0.35">
      <c r="H34" s="82" t="s">
        <v>279</v>
      </c>
    </row>
    <row r="35" spans="1:8" x14ac:dyDescent="0.35">
      <c r="H35" s="82"/>
    </row>
    <row r="36" spans="1:8" ht="13.15" x14ac:dyDescent="0.4">
      <c r="A36" s="8" t="s">
        <v>127</v>
      </c>
    </row>
    <row r="37" spans="1:8" ht="15" x14ac:dyDescent="0.5">
      <c r="A37" t="s">
        <v>128</v>
      </c>
      <c r="B37" t="s">
        <v>42</v>
      </c>
      <c r="C37" s="19">
        <v>2090</v>
      </c>
      <c r="D37" s="19" t="s">
        <v>1</v>
      </c>
    </row>
    <row r="38" spans="1:8" ht="15" x14ac:dyDescent="0.5">
      <c r="A38" t="s">
        <v>129</v>
      </c>
      <c r="B38" s="3" t="s">
        <v>109</v>
      </c>
      <c r="C38" s="19">
        <v>0</v>
      </c>
      <c r="D38" s="19" t="s">
        <v>17</v>
      </c>
    </row>
    <row r="39" spans="1:8" ht="13.15" x14ac:dyDescent="0.4">
      <c r="A39" t="s">
        <v>123</v>
      </c>
      <c r="B39" s="3" t="s">
        <v>21</v>
      </c>
      <c r="C39" s="9">
        <f>288.15/(288.15+C38)</f>
        <v>1</v>
      </c>
      <c r="H39" s="82" t="s">
        <v>281</v>
      </c>
    </row>
    <row r="40" spans="1:8" ht="15" x14ac:dyDescent="0.5">
      <c r="A40" t="s">
        <v>115</v>
      </c>
      <c r="B40" t="s">
        <v>271</v>
      </c>
      <c r="C40" s="43">
        <f>2.25</f>
        <v>2.25</v>
      </c>
      <c r="D40" s="43" t="s">
        <v>7</v>
      </c>
      <c r="E40" s="13"/>
      <c r="H40" s="82" t="s">
        <v>596</v>
      </c>
    </row>
    <row r="41" spans="1:8" ht="15" x14ac:dyDescent="0.5">
      <c r="A41" t="s">
        <v>130</v>
      </c>
      <c r="B41" t="s">
        <v>53</v>
      </c>
      <c r="C41">
        <f>0.8*C30</f>
        <v>2.0281075999999998</v>
      </c>
      <c r="H41" s="82" t="s">
        <v>550</v>
      </c>
    </row>
    <row r="42" spans="1:8" ht="15" x14ac:dyDescent="0.5">
      <c r="A42" t="s">
        <v>590</v>
      </c>
      <c r="B42" t="s">
        <v>41</v>
      </c>
      <c r="C42" s="39">
        <f>C41</f>
        <v>2.0281075999999998</v>
      </c>
      <c r="D42" s="13"/>
    </row>
    <row r="43" spans="1:8" ht="15" x14ac:dyDescent="0.5">
      <c r="A43" t="s">
        <v>575</v>
      </c>
      <c r="B43" s="12" t="s">
        <v>592</v>
      </c>
      <c r="C43" s="300">
        <f>C16/1.3</f>
        <v>58.721927952726539</v>
      </c>
      <c r="D43" t="s">
        <v>2</v>
      </c>
    </row>
    <row r="44" spans="1:8" ht="15" x14ac:dyDescent="0.5">
      <c r="A44" t="s">
        <v>576</v>
      </c>
      <c r="B44" s="12" t="s">
        <v>593</v>
      </c>
      <c r="C44" s="300">
        <f>C43*SQRT(C30/C42)</f>
        <v>65.653111336070808</v>
      </c>
      <c r="D44" t="s">
        <v>2</v>
      </c>
      <c r="E44" s="1"/>
    </row>
    <row r="45" spans="1:8" ht="15" x14ac:dyDescent="0.5">
      <c r="A45" s="320" t="s">
        <v>591</v>
      </c>
      <c r="B45" s="321" t="s">
        <v>594</v>
      </c>
      <c r="C45" s="394">
        <f>1.2*C44</f>
        <v>78.783733603284972</v>
      </c>
      <c r="D45" s="321" t="s">
        <v>2</v>
      </c>
      <c r="E45" s="337"/>
      <c r="F45" s="323"/>
      <c r="G45" s="338" t="s">
        <v>611</v>
      </c>
      <c r="H45" s="325"/>
    </row>
    <row r="46" spans="1:8" ht="15" x14ac:dyDescent="0.5">
      <c r="A46" s="329" t="s">
        <v>650</v>
      </c>
      <c r="B46" s="327" t="s">
        <v>651</v>
      </c>
      <c r="C46" s="392">
        <f>C45*SQRT(0.5)</f>
        <v>55.708512278077279</v>
      </c>
      <c r="D46" s="374" t="s">
        <v>2</v>
      </c>
      <c r="E46" s="329"/>
      <c r="F46" s="329"/>
      <c r="G46" s="393"/>
      <c r="H46" s="330"/>
    </row>
    <row r="47" spans="1:8" ht="15" x14ac:dyDescent="0.5">
      <c r="A47" s="326" t="s">
        <v>603</v>
      </c>
      <c r="B47" s="327" t="s">
        <v>604</v>
      </c>
      <c r="C47" s="397">
        <v>5.3</v>
      </c>
      <c r="D47" s="328" t="s">
        <v>1</v>
      </c>
      <c r="E47" s="327"/>
      <c r="F47" s="329"/>
      <c r="G47" s="329"/>
      <c r="H47" s="330"/>
    </row>
    <row r="48" spans="1:8" ht="15" x14ac:dyDescent="0.5">
      <c r="A48" s="326" t="s">
        <v>601</v>
      </c>
      <c r="B48" s="327" t="s">
        <v>605</v>
      </c>
      <c r="C48" s="398">
        <f>C47^2*PI()/4</f>
        <v>22.061834409834322</v>
      </c>
      <c r="D48" s="327" t="s">
        <v>29</v>
      </c>
      <c r="E48" s="329"/>
      <c r="F48" s="329"/>
      <c r="G48" s="329"/>
      <c r="H48" s="330"/>
    </row>
    <row r="49" spans="1:8" ht="15" x14ac:dyDescent="0.5">
      <c r="A49" s="340" t="s">
        <v>291</v>
      </c>
      <c r="B49" s="329" t="s">
        <v>567</v>
      </c>
      <c r="C49" s="399">
        <v>8251000</v>
      </c>
      <c r="D49" s="328" t="s">
        <v>322</v>
      </c>
      <c r="E49" s="329"/>
      <c r="F49" s="329"/>
      <c r="G49" s="329"/>
      <c r="H49" s="330"/>
    </row>
    <row r="50" spans="1:8" ht="15" x14ac:dyDescent="0.5">
      <c r="A50" s="326" t="s">
        <v>602</v>
      </c>
      <c r="B50" s="327" t="s">
        <v>606</v>
      </c>
      <c r="C50" s="373">
        <f>C49/(C39*1.225*C48)/1000</f>
        <v>305.30145766478961</v>
      </c>
      <c r="D50" s="374" t="s">
        <v>635</v>
      </c>
      <c r="E50" s="329"/>
      <c r="F50" s="329"/>
      <c r="G50" s="329"/>
      <c r="H50" s="330"/>
    </row>
    <row r="51" spans="1:8" ht="15" x14ac:dyDescent="0.5">
      <c r="A51" s="331" t="s">
        <v>259</v>
      </c>
      <c r="B51" s="332" t="s">
        <v>595</v>
      </c>
      <c r="C51" s="405">
        <v>0.65</v>
      </c>
      <c r="D51" s="333"/>
      <c r="E51" s="334" t="s">
        <v>579</v>
      </c>
      <c r="F51" s="335"/>
      <c r="G51" s="335"/>
      <c r="H51" s="336"/>
    </row>
    <row r="52" spans="1:8" ht="13.15" x14ac:dyDescent="0.4">
      <c r="A52" t="s">
        <v>224</v>
      </c>
      <c r="B52" s="18" t="s">
        <v>0</v>
      </c>
      <c r="C52" s="40">
        <f>(C40*1.2*C44*9.81)/(C37*C39*C42*SQRT(2)*C51)</f>
        <v>0.44629544136967858</v>
      </c>
      <c r="D52" s="38" t="s">
        <v>5</v>
      </c>
    </row>
    <row r="53" spans="1:8" ht="15" x14ac:dyDescent="0.5">
      <c r="A53" t="s">
        <v>278</v>
      </c>
      <c r="B53" s="77" t="s">
        <v>577</v>
      </c>
      <c r="C53" s="45">
        <f>C52*C33</f>
        <v>283.91084502732105</v>
      </c>
      <c r="D53" s="38" t="s">
        <v>578</v>
      </c>
    </row>
    <row r="54" spans="1:8" ht="13.15" x14ac:dyDescent="0.4">
      <c r="B54" s="77"/>
      <c r="C54" s="40"/>
      <c r="D54" s="13"/>
    </row>
    <row r="55" spans="1:8" x14ac:dyDescent="0.35">
      <c r="D55" s="13"/>
    </row>
    <row r="56" spans="1:8" ht="13.15" x14ac:dyDescent="0.4">
      <c r="A56" s="8" t="s">
        <v>131</v>
      </c>
    </row>
    <row r="57" spans="1:8" ht="13.15" x14ac:dyDescent="0.4">
      <c r="A57" s="11" t="s">
        <v>132</v>
      </c>
    </row>
    <row r="58" spans="1:8" ht="13.15" x14ac:dyDescent="0.4">
      <c r="A58" t="s">
        <v>133</v>
      </c>
      <c r="B58" t="s">
        <v>8</v>
      </c>
      <c r="C58" s="19">
        <v>9.4845839999999999</v>
      </c>
    </row>
    <row r="59" spans="1:8" ht="15" x14ac:dyDescent="0.5">
      <c r="A59" t="s">
        <v>134</v>
      </c>
      <c r="B59" t="s">
        <v>54</v>
      </c>
      <c r="C59" s="4">
        <f>C42/1.2^2</f>
        <v>1.4084080555555554</v>
      </c>
    </row>
    <row r="60" spans="1:8" ht="15" x14ac:dyDescent="0.5">
      <c r="A60" t="s">
        <v>135</v>
      </c>
      <c r="B60" t="s">
        <v>244</v>
      </c>
      <c r="C60" s="47">
        <v>0.02</v>
      </c>
      <c r="E60" s="32" t="s">
        <v>43</v>
      </c>
      <c r="F60" s="29" t="s">
        <v>45</v>
      </c>
    </row>
    <row r="61" spans="1:8" x14ac:dyDescent="0.35">
      <c r="A61" t="s">
        <v>242</v>
      </c>
      <c r="B61" t="s">
        <v>243</v>
      </c>
      <c r="C61" s="47">
        <f>C30/1.3^2</f>
        <v>1.5000795857988163</v>
      </c>
      <c r="E61" s="78"/>
      <c r="F61" s="79"/>
    </row>
    <row r="62" spans="1:8" ht="15" x14ac:dyDescent="0.5">
      <c r="A62" t="s">
        <v>137</v>
      </c>
      <c r="B62" s="3" t="s">
        <v>55</v>
      </c>
      <c r="C62" s="9">
        <f>IF(0.05*(C61-1.3)+0.01&lt;0, 0, 0.05*(C59-1.3)+0.01)</f>
        <v>1.5420402777777767E-2</v>
      </c>
      <c r="E62" s="23">
        <v>2</v>
      </c>
      <c r="F62" s="20">
        <v>2.4E-2</v>
      </c>
    </row>
    <row r="63" spans="1:8" ht="15" x14ac:dyDescent="0.5">
      <c r="A63" t="s">
        <v>136</v>
      </c>
      <c r="B63" s="3" t="s">
        <v>56</v>
      </c>
      <c r="C63" s="47">
        <v>0</v>
      </c>
      <c r="E63" s="23">
        <v>3</v>
      </c>
      <c r="F63" s="20">
        <v>2.7E-2</v>
      </c>
    </row>
    <row r="64" spans="1:8" ht="15" x14ac:dyDescent="0.5">
      <c r="A64" t="s">
        <v>138</v>
      </c>
      <c r="B64" t="s">
        <v>44</v>
      </c>
      <c r="C64" s="15">
        <f>C60+C62+C63</f>
        <v>3.5420402777777769E-2</v>
      </c>
      <c r="E64" s="24">
        <v>4</v>
      </c>
      <c r="F64" s="30">
        <v>0.03</v>
      </c>
    </row>
    <row r="65" spans="1:9" x14ac:dyDescent="0.35">
      <c r="A65" t="s">
        <v>139</v>
      </c>
      <c r="B65" t="s">
        <v>102</v>
      </c>
      <c r="C65" s="43">
        <v>0.75</v>
      </c>
      <c r="F65" s="4"/>
    </row>
    <row r="66" spans="1:9" ht="15" x14ac:dyDescent="0.5">
      <c r="A66" t="s">
        <v>140</v>
      </c>
      <c r="B66" t="s">
        <v>58</v>
      </c>
      <c r="C66" s="4">
        <f>C59/(C64+C59^2/PI()/C58/C65)</f>
        <v>11.341437024175693</v>
      </c>
    </row>
    <row r="67" spans="1:9" x14ac:dyDescent="0.35">
      <c r="C67" s="4"/>
    </row>
    <row r="68" spans="1:9" ht="13.15" x14ac:dyDescent="0.4">
      <c r="A68" s="11" t="s">
        <v>285</v>
      </c>
      <c r="C68" s="4"/>
    </row>
    <row r="69" spans="1:9" ht="15" x14ac:dyDescent="0.5">
      <c r="A69" t="s">
        <v>141</v>
      </c>
      <c r="B69" t="s">
        <v>43</v>
      </c>
      <c r="C69" s="19">
        <v>4</v>
      </c>
    </row>
    <row r="70" spans="1:9" ht="15" x14ac:dyDescent="0.5">
      <c r="A70" s="320" t="s">
        <v>591</v>
      </c>
      <c r="B70" s="321" t="s">
        <v>594</v>
      </c>
      <c r="C70" s="375">
        <f>C45</f>
        <v>78.783733603284972</v>
      </c>
      <c r="D70" s="376" t="s">
        <v>2</v>
      </c>
      <c r="E70" s="322" t="s">
        <v>652</v>
      </c>
      <c r="F70" s="323"/>
      <c r="G70" s="338" t="s">
        <v>611</v>
      </c>
      <c r="H70" s="325"/>
    </row>
    <row r="71" spans="1:9" ht="15" x14ac:dyDescent="0.5">
      <c r="A71" s="326" t="s">
        <v>602</v>
      </c>
      <c r="B71" s="327" t="s">
        <v>606</v>
      </c>
      <c r="C71" s="373">
        <f>C50</f>
        <v>305.30145766478961</v>
      </c>
      <c r="D71" s="374" t="s">
        <v>635</v>
      </c>
      <c r="E71" s="329" t="s">
        <v>652</v>
      </c>
      <c r="F71" s="329"/>
      <c r="G71" s="329"/>
      <c r="H71" s="330"/>
    </row>
    <row r="72" spans="1:9" ht="13.15" x14ac:dyDescent="0.4">
      <c r="A72" s="341" t="s">
        <v>316</v>
      </c>
      <c r="B72" s="335" t="s">
        <v>317</v>
      </c>
      <c r="C72" s="405">
        <v>0.65</v>
      </c>
      <c r="D72" s="335"/>
      <c r="E72" s="334" t="s">
        <v>579</v>
      </c>
      <c r="F72" s="335"/>
      <c r="G72" s="335"/>
      <c r="H72" s="336"/>
    </row>
    <row r="73" spans="1:9" ht="13.15" x14ac:dyDescent="0.4">
      <c r="A73" t="s">
        <v>142</v>
      </c>
      <c r="B73" t="s">
        <v>45</v>
      </c>
      <c r="C73">
        <f>CHOOSE(C69-1,F62,F63,F64)</f>
        <v>0.03</v>
      </c>
    </row>
    <row r="74" spans="1:9" ht="15" x14ac:dyDescent="0.5">
      <c r="A74" s="18" t="s">
        <v>278</v>
      </c>
      <c r="B74" s="18" t="s">
        <v>240</v>
      </c>
      <c r="C74" s="45">
        <f>(C69/(C69-1))*(1/C66+C73)*(C45*9.81/C72)</f>
        <v>187.34687081731897</v>
      </c>
      <c r="D74" s="38" t="s">
        <v>578</v>
      </c>
      <c r="I74" s="82" t="s">
        <v>282</v>
      </c>
    </row>
    <row r="75" spans="1:9" x14ac:dyDescent="0.35">
      <c r="I75" s="82" t="s">
        <v>283</v>
      </c>
    </row>
    <row r="76" spans="1:9" x14ac:dyDescent="0.35">
      <c r="I76" s="82" t="s">
        <v>284</v>
      </c>
    </row>
    <row r="77" spans="1:9" ht="13.15" x14ac:dyDescent="0.4">
      <c r="A77" s="8" t="s">
        <v>143</v>
      </c>
    </row>
    <row r="78" spans="1:9" ht="13.15" x14ac:dyDescent="0.4">
      <c r="A78" s="11" t="s">
        <v>144</v>
      </c>
    </row>
    <row r="79" spans="1:9" ht="15" x14ac:dyDescent="0.5">
      <c r="A79" t="s">
        <v>145</v>
      </c>
      <c r="B79" t="s">
        <v>59</v>
      </c>
      <c r="C79" s="4">
        <f>C30/1.3^2</f>
        <v>1.5000795857988163</v>
      </c>
      <c r="E79" s="31"/>
      <c r="F79" s="25"/>
      <c r="G79" s="29" t="s">
        <v>62</v>
      </c>
      <c r="H79" s="29" t="s">
        <v>63</v>
      </c>
    </row>
    <row r="80" spans="1:9" ht="15" x14ac:dyDescent="0.5">
      <c r="A80" t="s">
        <v>135</v>
      </c>
      <c r="B80" t="s">
        <v>60</v>
      </c>
      <c r="C80" s="47">
        <v>0.02</v>
      </c>
      <c r="E80" s="48" t="s">
        <v>57</v>
      </c>
      <c r="F80" s="1"/>
      <c r="G80" s="74">
        <v>0</v>
      </c>
      <c r="H80" s="73">
        <v>1.4999999999999999E-2</v>
      </c>
    </row>
    <row r="81" spans="1:8" ht="15" x14ac:dyDescent="0.5">
      <c r="A81" t="s">
        <v>137</v>
      </c>
      <c r="B81" s="3" t="s">
        <v>55</v>
      </c>
      <c r="C81" s="9">
        <f>IF(0.05*(C79-1.3)+0.01&lt;0, 0, 0.05*(C79-1.3)+0.01)</f>
        <v>2.0003979289940813E-2</v>
      </c>
    </row>
    <row r="82" spans="1:8" ht="15" x14ac:dyDescent="0.5">
      <c r="A82" t="s">
        <v>136</v>
      </c>
      <c r="B82" s="3" t="s">
        <v>56</v>
      </c>
      <c r="C82" s="47">
        <v>0</v>
      </c>
    </row>
    <row r="83" spans="1:8" ht="13.15" x14ac:dyDescent="0.4">
      <c r="A83" t="s">
        <v>146</v>
      </c>
      <c r="B83" t="s">
        <v>62</v>
      </c>
      <c r="C83" s="35" t="s">
        <v>689</v>
      </c>
      <c r="E83" s="7" t="s">
        <v>147</v>
      </c>
    </row>
    <row r="84" spans="1:8" ht="13.15" x14ac:dyDescent="0.4">
      <c r="B84" t="s">
        <v>63</v>
      </c>
      <c r="C84" s="41" t="str">
        <f>IF(C83="yes","no","yes")</f>
        <v>yes</v>
      </c>
    </row>
    <row r="85" spans="1:8" ht="15" x14ac:dyDescent="0.5">
      <c r="A85" t="s">
        <v>148</v>
      </c>
      <c r="B85" s="3" t="s">
        <v>57</v>
      </c>
      <c r="C85" s="15">
        <f>IF(C83="yes",G80,H80)</f>
        <v>1.4999999999999999E-2</v>
      </c>
      <c r="E85" s="32" t="s">
        <v>43</v>
      </c>
      <c r="F85" s="29" t="s">
        <v>45</v>
      </c>
    </row>
    <row r="86" spans="1:8" ht="15" x14ac:dyDescent="0.5">
      <c r="A86" t="s">
        <v>138</v>
      </c>
      <c r="B86" t="s">
        <v>44</v>
      </c>
      <c r="C86" s="15">
        <f>C80+C81+C82+C85</f>
        <v>5.5003979289940816E-2</v>
      </c>
      <c r="E86" s="23">
        <v>2</v>
      </c>
      <c r="F86" s="20">
        <v>2.1000000000000001E-2</v>
      </c>
    </row>
    <row r="87" spans="1:8" ht="15" x14ac:dyDescent="0.5">
      <c r="A87" t="s">
        <v>149</v>
      </c>
      <c r="B87" t="s">
        <v>61</v>
      </c>
      <c r="C87" s="4">
        <f>C79/(C86+C79^2/PI()/C58/C65)</f>
        <v>9.6346108952428473</v>
      </c>
      <c r="E87" s="23">
        <v>3</v>
      </c>
      <c r="F87" s="20">
        <v>2.4E-2</v>
      </c>
    </row>
    <row r="88" spans="1:8" x14ac:dyDescent="0.35">
      <c r="C88" s="4"/>
      <c r="E88" s="24">
        <v>4</v>
      </c>
      <c r="F88" s="30">
        <v>2.7E-2</v>
      </c>
    </row>
    <row r="89" spans="1:8" ht="13.15" x14ac:dyDescent="0.4">
      <c r="A89" s="11" t="s">
        <v>285</v>
      </c>
      <c r="C89" s="4"/>
      <c r="E89" s="18"/>
      <c r="F89" s="18"/>
    </row>
    <row r="90" spans="1:8" ht="15" x14ac:dyDescent="0.5">
      <c r="A90" s="320" t="s">
        <v>119</v>
      </c>
      <c r="B90" s="339" t="s">
        <v>38</v>
      </c>
      <c r="C90" s="377">
        <f>C21</f>
        <v>60.362338888888893</v>
      </c>
      <c r="D90" s="376" t="s">
        <v>2</v>
      </c>
      <c r="E90" s="339"/>
      <c r="F90" s="343"/>
      <c r="G90" s="338" t="s">
        <v>611</v>
      </c>
      <c r="H90" s="325"/>
    </row>
    <row r="91" spans="1:8" ht="15" x14ac:dyDescent="0.5">
      <c r="A91" s="326" t="s">
        <v>602</v>
      </c>
      <c r="B91" s="327" t="s">
        <v>606</v>
      </c>
      <c r="C91" s="373">
        <f>C49/(C28*1.225*C48)/1000</f>
        <v>305.30145766478961</v>
      </c>
      <c r="D91" s="374" t="s">
        <v>635</v>
      </c>
      <c r="E91" s="329" t="s">
        <v>612</v>
      </c>
      <c r="F91" s="340"/>
      <c r="G91" s="329"/>
      <c r="H91" s="330"/>
    </row>
    <row r="92" spans="1:8" ht="13.15" x14ac:dyDescent="0.4">
      <c r="A92" s="341" t="s">
        <v>318</v>
      </c>
      <c r="B92" s="335" t="s">
        <v>317</v>
      </c>
      <c r="C92" s="405">
        <v>0.64</v>
      </c>
      <c r="D92" s="335"/>
      <c r="E92" s="334" t="s">
        <v>579</v>
      </c>
      <c r="F92" s="342"/>
      <c r="G92" s="335"/>
      <c r="H92" s="336"/>
    </row>
    <row r="93" spans="1:8" ht="13.15" x14ac:dyDescent="0.4">
      <c r="A93" t="s">
        <v>142</v>
      </c>
      <c r="B93" t="s">
        <v>45</v>
      </c>
      <c r="C93">
        <f>CHOOSE(C69-1,F86,F87,F88)</f>
        <v>2.7E-2</v>
      </c>
    </row>
    <row r="94" spans="1:8" ht="15" x14ac:dyDescent="0.5">
      <c r="A94" t="s">
        <v>278</v>
      </c>
      <c r="B94" s="18" t="s">
        <v>240</v>
      </c>
      <c r="C94" s="45">
        <f>(C69/(C69-1))*(1/C87+C93)*C31*(C45*9.81/C92)</f>
        <v>196.27408469521319</v>
      </c>
      <c r="D94" s="38" t="s">
        <v>578</v>
      </c>
    </row>
  </sheetData>
  <phoneticPr fontId="5" type="noConversion"/>
  <dataValidations count="1">
    <dataValidation type="list" allowBlank="1" showInputMessage="1" showErrorMessage="1" sqref="C83 C14" xr:uid="{00000000-0002-0000-0300-000000000000}">
      <formula1>"yes, no"</formula1>
    </dataValidation>
  </dataValidations>
  <pageMargins left="0.75" right="0.75" top="0.87" bottom="1" header="0.4921259845" footer="0.4921259845"/>
  <pageSetup paperSize="9" scale="96" orientation="landscape" horizontalDpi="300" verticalDpi="300" r:id="rId1"/>
  <headerFooter alignWithMargins="0">
    <oddHeader>&amp;A</oddHeader>
    <oddFooter>Seite &amp;P</oddFooter>
  </headerFooter>
  <rowBreaks count="2" manualBreakCount="2">
    <brk id="35" max="16383" man="1"/>
    <brk id="75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9"/>
  <sheetViews>
    <sheetView workbookViewId="0">
      <selection activeCell="A2" sqref="A2"/>
    </sheetView>
  </sheetViews>
  <sheetFormatPr baseColWidth="10" defaultColWidth="11.46484375" defaultRowHeight="12.75" x14ac:dyDescent="0.35"/>
  <cols>
    <col min="1" max="1" width="40.53125" customWidth="1"/>
    <col min="2" max="2" width="20.796875" bestFit="1" customWidth="1"/>
  </cols>
  <sheetData>
    <row r="1" spans="1:4" ht="15" x14ac:dyDescent="0.4">
      <c r="A1" s="122" t="s">
        <v>552</v>
      </c>
    </row>
    <row r="3" spans="1:4" ht="14.65" x14ac:dyDescent="0.5">
      <c r="A3" s="11" t="s">
        <v>150</v>
      </c>
    </row>
    <row r="5" spans="1:4" x14ac:dyDescent="0.35">
      <c r="A5" s="50" t="s">
        <v>151</v>
      </c>
    </row>
    <row r="6" spans="1:4" ht="15" x14ac:dyDescent="0.5">
      <c r="A6" t="s">
        <v>152</v>
      </c>
      <c r="B6" t="s">
        <v>102</v>
      </c>
      <c r="C6" s="19">
        <v>0.77</v>
      </c>
    </row>
    <row r="7" spans="1:4" ht="15" x14ac:dyDescent="0.5">
      <c r="A7" t="s">
        <v>154</v>
      </c>
      <c r="B7" t="s">
        <v>153</v>
      </c>
      <c r="C7" s="19">
        <v>4.0000000000000001E-3</v>
      </c>
      <c r="D7" t="s">
        <v>639</v>
      </c>
    </row>
    <row r="8" spans="1:4" ht="15" x14ac:dyDescent="0.5">
      <c r="A8" t="s">
        <v>115</v>
      </c>
      <c r="B8" t="s">
        <v>64</v>
      </c>
      <c r="C8" s="53">
        <f>1/2*SQRT(PI()*C6/C7)</f>
        <v>12.295899578884368</v>
      </c>
    </row>
    <row r="10" spans="1:4" x14ac:dyDescent="0.35">
      <c r="A10" s="50" t="s">
        <v>155</v>
      </c>
    </row>
    <row r="11" spans="1:4" ht="15" x14ac:dyDescent="0.5">
      <c r="A11" t="s">
        <v>115</v>
      </c>
      <c r="B11" s="18" t="s">
        <v>286</v>
      </c>
      <c r="C11">
        <v>11.07</v>
      </c>
      <c r="D11" t="s">
        <v>637</v>
      </c>
    </row>
    <row r="13" spans="1:4" x14ac:dyDescent="0.35">
      <c r="A13" s="50" t="s">
        <v>156</v>
      </c>
    </row>
    <row r="14" spans="1:4" ht="15" x14ac:dyDescent="0.5">
      <c r="A14" t="s">
        <v>115</v>
      </c>
      <c r="B14" t="s">
        <v>64</v>
      </c>
      <c r="C14" s="52">
        <v>11.22</v>
      </c>
      <c r="D14" s="12" t="s">
        <v>638</v>
      </c>
    </row>
    <row r="16" spans="1:4" ht="14.65" x14ac:dyDescent="0.5">
      <c r="A16" s="11" t="s">
        <v>157</v>
      </c>
    </row>
    <row r="18" spans="1:6" ht="15" x14ac:dyDescent="0.5">
      <c r="A18" t="s">
        <v>115</v>
      </c>
      <c r="B18" t="s">
        <v>160</v>
      </c>
      <c r="C18" s="39">
        <f>C14</f>
        <v>11.22</v>
      </c>
      <c r="E18" s="7" t="s">
        <v>147</v>
      </c>
    </row>
    <row r="19" spans="1:6" ht="15" x14ac:dyDescent="0.5">
      <c r="A19" t="s">
        <v>158</v>
      </c>
      <c r="B19" t="s">
        <v>65</v>
      </c>
      <c r="C19" s="19">
        <v>6.1</v>
      </c>
      <c r="E19" s="18" t="s">
        <v>241</v>
      </c>
    </row>
    <row r="20" spans="1:6" x14ac:dyDescent="0.35">
      <c r="A20" t="s">
        <v>133</v>
      </c>
      <c r="B20" t="s">
        <v>8</v>
      </c>
      <c r="C20">
        <f>'3.) Preliminary Sizing I'!C58</f>
        <v>9.4845839999999999</v>
      </c>
      <c r="D20" t="s">
        <v>163</v>
      </c>
      <c r="F20" s="82"/>
    </row>
    <row r="21" spans="1:6" ht="15" x14ac:dyDescent="0.5">
      <c r="A21" t="s">
        <v>159</v>
      </c>
      <c r="B21" t="s">
        <v>66</v>
      </c>
      <c r="C21" s="51">
        <f>C18*SQRT(C20/C19)</f>
        <v>13.99062393542752</v>
      </c>
      <c r="F21" s="82"/>
    </row>
    <row r="23" spans="1:6" x14ac:dyDescent="0.35">
      <c r="B23" t="s">
        <v>161</v>
      </c>
      <c r="C23">
        <v>18</v>
      </c>
    </row>
    <row r="25" spans="1:6" ht="15" x14ac:dyDescent="0.5">
      <c r="A25" t="s">
        <v>159</v>
      </c>
      <c r="B25" t="s">
        <v>162</v>
      </c>
      <c r="C25" s="39">
        <f>C23</f>
        <v>18</v>
      </c>
      <c r="E25" s="7" t="s">
        <v>147</v>
      </c>
    </row>
    <row r="28" spans="1:6" x14ac:dyDescent="0.35">
      <c r="A28" s="12"/>
      <c r="B28" s="12"/>
    </row>
    <row r="29" spans="1:6" x14ac:dyDescent="0.35">
      <c r="A29" s="12"/>
    </row>
  </sheetData>
  <phoneticPr fontId="5" type="noConversion"/>
  <pageMargins left="0.75" right="0.75" top="1" bottom="1" header="0.4921259845" footer="0.4921259845"/>
  <pageSetup paperSize="9" orientation="landscape" horizontalDpi="96" verticalDpi="96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T150"/>
  <sheetViews>
    <sheetView zoomScaleNormal="100" workbookViewId="0">
      <selection activeCell="A4" sqref="A4"/>
    </sheetView>
  </sheetViews>
  <sheetFormatPr baseColWidth="10" defaultColWidth="11.46484375" defaultRowHeight="12.75" x14ac:dyDescent="0.35"/>
  <cols>
    <col min="1" max="1" width="36.53125" customWidth="1"/>
    <col min="2" max="2" width="18.46484375" customWidth="1"/>
    <col min="3" max="3" width="12.796875" customWidth="1"/>
    <col min="4" max="4" width="14.19921875" bestFit="1" customWidth="1"/>
    <col min="5" max="5" width="13.73046875" customWidth="1"/>
    <col min="6" max="6" width="15.796875" customWidth="1"/>
    <col min="7" max="7" width="12.796875" customWidth="1"/>
    <col min="8" max="8" width="16.46484375" bestFit="1" customWidth="1"/>
    <col min="9" max="10" width="11.46484375" customWidth="1"/>
    <col min="11" max="11" width="15.46484375" customWidth="1"/>
    <col min="12" max="12" width="11.46484375" customWidth="1"/>
    <col min="13" max="13" width="12.265625" customWidth="1"/>
    <col min="14" max="18" width="11.46484375" customWidth="1"/>
    <col min="19" max="19" width="11.19921875" customWidth="1"/>
    <col min="20" max="20" width="15.46484375" customWidth="1"/>
    <col min="21" max="21" width="16" customWidth="1"/>
  </cols>
  <sheetData>
    <row r="1" spans="1:15" ht="15" x14ac:dyDescent="0.4">
      <c r="A1" s="122" t="s">
        <v>539</v>
      </c>
      <c r="E1" s="82" t="s">
        <v>553</v>
      </c>
    </row>
    <row r="2" spans="1:15" ht="13.15" x14ac:dyDescent="0.4">
      <c r="A2" s="11" t="s">
        <v>164</v>
      </c>
      <c r="E2" s="82" t="s">
        <v>554</v>
      </c>
    </row>
    <row r="3" spans="1:15" ht="14.65" x14ac:dyDescent="0.5">
      <c r="A3" s="11" t="s">
        <v>165</v>
      </c>
      <c r="E3" s="82" t="s">
        <v>613</v>
      </c>
    </row>
    <row r="4" spans="1:15" x14ac:dyDescent="0.35">
      <c r="E4" s="82" t="s">
        <v>555</v>
      </c>
    </row>
    <row r="5" spans="1:15" x14ac:dyDescent="0.35">
      <c r="A5" s="6" t="s">
        <v>9</v>
      </c>
      <c r="B5" s="1"/>
      <c r="C5" s="2" t="s">
        <v>166</v>
      </c>
      <c r="F5" s="6" t="s">
        <v>9</v>
      </c>
      <c r="G5" s="2" t="s">
        <v>166</v>
      </c>
    </row>
    <row r="6" spans="1:15" ht="13.15" x14ac:dyDescent="0.4">
      <c r="C6" s="19"/>
      <c r="D6" s="12"/>
      <c r="I6" s="66"/>
      <c r="J6" s="66"/>
      <c r="K6" s="66"/>
      <c r="L6" s="66"/>
    </row>
    <row r="7" spans="1:15" ht="15" x14ac:dyDescent="0.5">
      <c r="A7" t="s">
        <v>221</v>
      </c>
      <c r="B7" s="18" t="s">
        <v>66</v>
      </c>
      <c r="C7" s="53">
        <f>'4.) Max. Glide Ratio in Cruise'!C25</f>
        <v>18</v>
      </c>
      <c r="D7" s="12" t="s">
        <v>530</v>
      </c>
      <c r="F7" t="s">
        <v>248</v>
      </c>
      <c r="G7" s="36">
        <v>0.91</v>
      </c>
      <c r="H7" s="12"/>
    </row>
    <row r="8" spans="1:15" ht="15" x14ac:dyDescent="0.5">
      <c r="A8" t="s">
        <v>133</v>
      </c>
      <c r="B8" t="s">
        <v>8</v>
      </c>
      <c r="C8" s="12">
        <f>'3.) Preliminary Sizing I'!C58</f>
        <v>9.4845839999999999</v>
      </c>
      <c r="D8" s="12" t="s">
        <v>531</v>
      </c>
      <c r="F8" t="s">
        <v>247</v>
      </c>
      <c r="G8" s="9">
        <f>1/G7^2</f>
        <v>1.2075836251660426</v>
      </c>
      <c r="N8" s="12" t="s">
        <v>428</v>
      </c>
    </row>
    <row r="9" spans="1:15" ht="15" x14ac:dyDescent="0.5">
      <c r="A9" t="s">
        <v>167</v>
      </c>
      <c r="B9" t="s">
        <v>102</v>
      </c>
      <c r="C9" s="43">
        <v>0.85</v>
      </c>
      <c r="F9" t="s">
        <v>10</v>
      </c>
      <c r="G9" s="9">
        <f>CL_m/G7^2</f>
        <v>0.84957514874216744</v>
      </c>
    </row>
    <row r="10" spans="1:15" ht="15" x14ac:dyDescent="0.5">
      <c r="A10" t="s">
        <v>222</v>
      </c>
      <c r="B10" t="s">
        <v>34</v>
      </c>
      <c r="C10" s="15">
        <f>PI()*C8*C9/4/L_D_max^2</f>
        <v>1.9542588352038582E-2</v>
      </c>
      <c r="F10" t="s">
        <v>67</v>
      </c>
      <c r="G10" s="9">
        <f>(2*L_D_max)/(G8+1/G8)</f>
        <v>17.684476877915458</v>
      </c>
    </row>
    <row r="11" spans="1:15" x14ac:dyDescent="0.35">
      <c r="A11" t="s">
        <v>245</v>
      </c>
      <c r="B11" t="s">
        <v>246</v>
      </c>
      <c r="C11" s="4">
        <f>(PI()*C8*C9)/2/L_D_max</f>
        <v>0.70353318067338888</v>
      </c>
    </row>
    <row r="12" spans="1:15" ht="15" x14ac:dyDescent="0.5">
      <c r="A12" t="s">
        <v>223</v>
      </c>
      <c r="B12" t="s">
        <v>257</v>
      </c>
      <c r="C12" s="19">
        <v>0.68</v>
      </c>
      <c r="O12" t="s">
        <v>251</v>
      </c>
    </row>
    <row r="13" spans="1:15" ht="15" x14ac:dyDescent="0.5">
      <c r="A13" s="379" t="s">
        <v>619</v>
      </c>
      <c r="B13" s="322" t="s">
        <v>620</v>
      </c>
      <c r="C13" s="383">
        <f>C132*C70</f>
        <v>3429720.0618455303</v>
      </c>
      <c r="D13" s="376" t="s">
        <v>322</v>
      </c>
      <c r="E13" s="323"/>
      <c r="F13" s="380" t="s">
        <v>611</v>
      </c>
      <c r="G13" s="325"/>
    </row>
    <row r="14" spans="1:15" ht="15" x14ac:dyDescent="0.5">
      <c r="A14" s="326" t="s">
        <v>621</v>
      </c>
      <c r="B14" s="327" t="s">
        <v>622</v>
      </c>
      <c r="C14" s="373">
        <f>C13/(C71*1.225*'3.) Preliminary Sizing I'!C48)/1000</f>
        <v>418.6366127300862</v>
      </c>
      <c r="D14" s="374" t="s">
        <v>635</v>
      </c>
      <c r="E14" s="329"/>
      <c r="F14" s="329"/>
      <c r="G14" s="330"/>
    </row>
    <row r="15" spans="1:15" ht="15" x14ac:dyDescent="0.5">
      <c r="A15" s="326" t="s">
        <v>220</v>
      </c>
      <c r="B15" s="327" t="s">
        <v>46</v>
      </c>
      <c r="C15" s="391" t="s">
        <v>648</v>
      </c>
      <c r="D15" s="374"/>
      <c r="E15" s="329"/>
      <c r="F15" s="329"/>
      <c r="G15" s="330"/>
    </row>
    <row r="16" spans="1:15" ht="13.15" x14ac:dyDescent="0.4">
      <c r="A16" s="341" t="s">
        <v>319</v>
      </c>
      <c r="B16" s="335" t="s">
        <v>317</v>
      </c>
      <c r="C16" s="405">
        <v>0.85</v>
      </c>
      <c r="D16" s="378" t="s">
        <v>579</v>
      </c>
      <c r="E16" s="335"/>
      <c r="F16" s="335"/>
      <c r="G16" s="336"/>
      <c r="O16" t="s">
        <v>252</v>
      </c>
    </row>
    <row r="17" spans="1:15" ht="13.5" thickBot="1" x14ac:dyDescent="0.45">
      <c r="D17" s="19"/>
    </row>
    <row r="18" spans="1:15" x14ac:dyDescent="0.35">
      <c r="A18" s="1" t="s">
        <v>168</v>
      </c>
      <c r="B18" s="1"/>
      <c r="C18" s="1"/>
      <c r="D18" s="1"/>
      <c r="H18" s="344" t="s">
        <v>556</v>
      </c>
      <c r="I18" s="149">
        <v>1.8828998790472962</v>
      </c>
      <c r="J18" s="82" t="s">
        <v>429</v>
      </c>
      <c r="K18" s="82"/>
      <c r="L18" s="82"/>
      <c r="M18" s="82"/>
      <c r="N18" s="82"/>
    </row>
    <row r="19" spans="1:15" ht="13.15" x14ac:dyDescent="0.4">
      <c r="A19" s="18" t="s">
        <v>236</v>
      </c>
      <c r="B19" s="3" t="s">
        <v>11</v>
      </c>
      <c r="C19">
        <v>1.4</v>
      </c>
      <c r="H19" s="345" t="s">
        <v>557</v>
      </c>
      <c r="I19" s="150">
        <v>0.7409301113897504</v>
      </c>
      <c r="J19" s="82" t="s">
        <v>529</v>
      </c>
      <c r="K19" s="82"/>
      <c r="L19" s="82"/>
      <c r="M19" s="82"/>
      <c r="N19" s="82"/>
    </row>
    <row r="20" spans="1:15" ht="13.15" thickBot="1" x14ac:dyDescent="0.4">
      <c r="A20" t="s">
        <v>169</v>
      </c>
      <c r="B20" t="s">
        <v>11</v>
      </c>
      <c r="C20">
        <v>9.81</v>
      </c>
      <c r="D20" t="s">
        <v>12</v>
      </c>
      <c r="H20" s="346" t="s">
        <v>558</v>
      </c>
      <c r="I20" s="151">
        <v>0.92866802165791484</v>
      </c>
    </row>
    <row r="21" spans="1:15" ht="15" x14ac:dyDescent="0.5">
      <c r="A21" t="s">
        <v>170</v>
      </c>
      <c r="B21" t="s">
        <v>35</v>
      </c>
      <c r="C21">
        <v>101325</v>
      </c>
      <c r="D21" t="s">
        <v>13</v>
      </c>
    </row>
    <row r="22" spans="1:15" x14ac:dyDescent="0.35">
      <c r="A22" t="s">
        <v>171</v>
      </c>
      <c r="B22" t="s">
        <v>102</v>
      </c>
      <c r="C22">
        <v>2.7182818281827998</v>
      </c>
    </row>
    <row r="23" spans="1:15" x14ac:dyDescent="0.35">
      <c r="A23" t="s">
        <v>253</v>
      </c>
      <c r="B23" t="s">
        <v>254</v>
      </c>
      <c r="C23" s="12">
        <f>6.5*10^-3</f>
        <v>6.5000000000000006E-3</v>
      </c>
      <c r="D23" t="s">
        <v>255</v>
      </c>
    </row>
    <row r="24" spans="1:15" x14ac:dyDescent="0.35">
      <c r="A24" t="s">
        <v>256</v>
      </c>
      <c r="B24" t="s">
        <v>18</v>
      </c>
      <c r="C24">
        <v>287.053</v>
      </c>
      <c r="D24" t="s">
        <v>588</v>
      </c>
    </row>
    <row r="25" spans="1:15" ht="15" x14ac:dyDescent="0.5">
      <c r="A25" s="12" t="s">
        <v>326</v>
      </c>
      <c r="B25" t="s">
        <v>589</v>
      </c>
      <c r="C25">
        <v>288.14999999999998</v>
      </c>
      <c r="D25" s="12" t="s">
        <v>17</v>
      </c>
    </row>
    <row r="26" spans="1:15" ht="13.15" thickBot="1" x14ac:dyDescent="0.4">
      <c r="H26" t="s">
        <v>275</v>
      </c>
      <c r="I26" s="64"/>
      <c r="J26" s="64" t="s">
        <v>272</v>
      </c>
      <c r="K26" s="64" t="s">
        <v>273</v>
      </c>
      <c r="L26" s="64" t="s">
        <v>277</v>
      </c>
      <c r="M26" s="64"/>
      <c r="N26" s="64" t="s">
        <v>276</v>
      </c>
      <c r="O26" s="64"/>
    </row>
    <row r="27" spans="1:15" ht="15.4" thickBot="1" x14ac:dyDescent="0.55000000000000004">
      <c r="A27" s="347" t="s">
        <v>14</v>
      </c>
      <c r="B27" s="348" t="s">
        <v>15</v>
      </c>
      <c r="C27" s="148" t="s">
        <v>249</v>
      </c>
      <c r="D27" s="349" t="s">
        <v>250</v>
      </c>
      <c r="E27" s="350" t="s">
        <v>16</v>
      </c>
      <c r="F27" s="349" t="s">
        <v>582</v>
      </c>
      <c r="G27" s="351" t="s">
        <v>583</v>
      </c>
      <c r="H27" s="352" t="s">
        <v>584</v>
      </c>
      <c r="I27" s="349" t="s">
        <v>581</v>
      </c>
      <c r="J27" s="349" t="s">
        <v>585</v>
      </c>
      <c r="K27" s="349" t="s">
        <v>586</v>
      </c>
      <c r="L27" s="349" t="s">
        <v>586</v>
      </c>
      <c r="M27" s="349" t="s">
        <v>274</v>
      </c>
      <c r="N27" s="349" t="s">
        <v>587</v>
      </c>
      <c r="O27" s="371" t="s">
        <v>586</v>
      </c>
    </row>
    <row r="28" spans="1:15" x14ac:dyDescent="0.35">
      <c r="A28" s="353">
        <v>0</v>
      </c>
      <c r="B28" s="318">
        <f t="shared" ref="B28:B54" si="0">A28*1000*3.281</f>
        <v>0</v>
      </c>
      <c r="C28" s="354">
        <f t="shared" ref="C28:C50" si="1">T0-L*A28*10^3</f>
        <v>288.14999999999998</v>
      </c>
      <c r="D28" s="355">
        <f t="shared" ref="D28:D50" si="2">(C28/T0)^(g/Rconstant/L-1)</f>
        <v>1</v>
      </c>
      <c r="E28" s="318">
        <f t="shared" ref="E28:E50" si="3">p0*POWER(1-0.0225588*A28,5.25588)</f>
        <v>101325</v>
      </c>
      <c r="F28" s="318">
        <f>CL*M^2*gamma*E28/g/2</f>
        <v>2840.306911924406</v>
      </c>
      <c r="G28" s="356">
        <f>Acoef*M^mcoef*D28^ncoef</f>
        <v>1.4149074638947166</v>
      </c>
      <c r="H28" s="366">
        <f>(M*I28*g)/G28/L_D/propefcruise</f>
        <v>106.73162313988188</v>
      </c>
      <c r="I28" s="363">
        <f t="shared" ref="I28:I54" si="4">SQRT(gamma*Rconstant*C28)</f>
        <v>340.29406508195228</v>
      </c>
      <c r="J28" s="363">
        <f>'3.) Preliminary Sizing I'!C74</f>
        <v>187.34687081731897</v>
      </c>
      <c r="K28" s="363">
        <f>'3.) Preliminary Sizing I'!C94</f>
        <v>196.27408469521319</v>
      </c>
      <c r="L28" s="363">
        <f>M28*F28</f>
        <v>1267.6160268826516</v>
      </c>
      <c r="M28" s="355">
        <f>'3.) Preliminary Sizing I'!$C$52</f>
        <v>0.44629544136967858</v>
      </c>
      <c r="N28" s="318">
        <f>'3.) Preliminary Sizing I'!C33</f>
        <v>636.15</v>
      </c>
      <c r="O28" s="116">
        <v>0</v>
      </c>
    </row>
    <row r="29" spans="1:15" x14ac:dyDescent="0.35">
      <c r="A29" s="290">
        <v>0.5</v>
      </c>
      <c r="B29" s="93">
        <f t="shared" si="0"/>
        <v>1640.5</v>
      </c>
      <c r="C29" s="139">
        <f t="shared" si="1"/>
        <v>284.89999999999998</v>
      </c>
      <c r="D29" s="303">
        <f t="shared" si="2"/>
        <v>0.95285311865061828</v>
      </c>
      <c r="E29" s="136">
        <f t="shared" si="3"/>
        <v>95460.554929191218</v>
      </c>
      <c r="F29" s="93">
        <f>CL*M*M/g*gamma/2*E29</f>
        <v>2675.9168416631751</v>
      </c>
      <c r="G29" s="34">
        <f t="shared" ref="G29:G54" si="5">Acoef*M^mcoef*D29^ncoef</f>
        <v>1.3528514675614873</v>
      </c>
      <c r="H29" s="367">
        <f t="shared" ref="H29:H54" si="6">(M*I29*g)/G29/L_D/propefcruise</f>
        <v>110.99615819459686</v>
      </c>
      <c r="I29" s="291">
        <f t="shared" si="4"/>
        <v>338.36956065816554</v>
      </c>
      <c r="J29" s="291">
        <f>'3.) Preliminary Sizing I'!C74</f>
        <v>187.34687081731897</v>
      </c>
      <c r="K29" s="291">
        <f>'3.) Preliminary Sizing I'!C94</f>
        <v>196.27408469521319</v>
      </c>
      <c r="L29" s="291">
        <f t="shared" ref="L29:L46" si="7">M29*F29</f>
        <v>1194.2494879186231</v>
      </c>
      <c r="M29" s="304">
        <f>'3.) Preliminary Sizing I'!$C$52</f>
        <v>0.44629544136967858</v>
      </c>
      <c r="N29" s="93"/>
      <c r="O29" s="118"/>
    </row>
    <row r="30" spans="1:15" x14ac:dyDescent="0.35">
      <c r="A30" s="290">
        <v>1</v>
      </c>
      <c r="B30" s="93">
        <f t="shared" si="0"/>
        <v>3281</v>
      </c>
      <c r="C30" s="139">
        <f t="shared" si="1"/>
        <v>281.64999999999998</v>
      </c>
      <c r="D30" s="303">
        <f t="shared" si="2"/>
        <v>0.90742612826950209</v>
      </c>
      <c r="E30" s="136">
        <f t="shared" si="3"/>
        <v>89874.02883009192</v>
      </c>
      <c r="F30" s="93">
        <f t="shared" ref="F30:F42" si="8">CL*M*M/g*gamma/2*E30</f>
        <v>2519.3172986785435</v>
      </c>
      <c r="G30" s="34">
        <f t="shared" si="5"/>
        <v>1.2928517348490236</v>
      </c>
      <c r="H30" s="367">
        <f t="shared" si="6"/>
        <v>115.48298339609666</v>
      </c>
      <c r="I30" s="291">
        <f t="shared" si="4"/>
        <v>336.43404766759261</v>
      </c>
      <c r="J30" s="291">
        <f>'3.) Preliminary Sizing I'!C74</f>
        <v>187.34687081731897</v>
      </c>
      <c r="K30" s="291">
        <f>'3.) Preliminary Sizing I'!C94</f>
        <v>196.27408469521319</v>
      </c>
      <c r="L30" s="291">
        <f t="shared" si="7"/>
        <v>1124.3598257640069</v>
      </c>
      <c r="M30" s="304">
        <f>'3.) Preliminary Sizing I'!$C$52</f>
        <v>0.44629544136967858</v>
      </c>
      <c r="N30" s="93"/>
      <c r="O30" s="118"/>
    </row>
    <row r="31" spans="1:15" x14ac:dyDescent="0.35">
      <c r="A31" s="290">
        <v>1.5</v>
      </c>
      <c r="B31" s="93">
        <f t="shared" si="0"/>
        <v>4921.5</v>
      </c>
      <c r="C31" s="139">
        <f t="shared" si="1"/>
        <v>278.39999999999998</v>
      </c>
      <c r="D31" s="303">
        <f t="shared" si="2"/>
        <v>0.8636750526796233</v>
      </c>
      <c r="E31" s="136">
        <f t="shared" si="3"/>
        <v>84555.231558858533</v>
      </c>
      <c r="F31" s="93">
        <f t="shared" si="8"/>
        <v>2370.2226364272842</v>
      </c>
      <c r="G31" s="34">
        <f t="shared" si="5"/>
        <v>1.2348626822780162</v>
      </c>
      <c r="H31" s="367">
        <f t="shared" si="6"/>
        <v>120.20645477643896</v>
      </c>
      <c r="I31" s="291">
        <f t="shared" si="4"/>
        <v>334.48733500687285</v>
      </c>
      <c r="J31" s="291">
        <f>'3.) Preliminary Sizing I'!C74</f>
        <v>187.34687081731897</v>
      </c>
      <c r="K31" s="291">
        <f>'3.) Preliminary Sizing I'!C94</f>
        <v>196.27408469521319</v>
      </c>
      <c r="L31" s="291">
        <f t="shared" si="7"/>
        <v>1057.8195576687181</v>
      </c>
      <c r="M31" s="304">
        <f>'3.) Preliminary Sizing I'!$C$52</f>
        <v>0.44629544136967858</v>
      </c>
      <c r="N31" s="93"/>
      <c r="O31" s="118"/>
    </row>
    <row r="32" spans="1:15" x14ac:dyDescent="0.35">
      <c r="A32" s="290">
        <v>2</v>
      </c>
      <c r="B32" s="93">
        <f t="shared" si="0"/>
        <v>6562</v>
      </c>
      <c r="C32" s="139">
        <f t="shared" si="1"/>
        <v>275.14999999999998</v>
      </c>
      <c r="D32" s="303">
        <f t="shared" si="2"/>
        <v>0.82155654929980437</v>
      </c>
      <c r="E32" s="136">
        <f t="shared" si="3"/>
        <v>79494.234812819603</v>
      </c>
      <c r="F32" s="93">
        <f t="shared" si="8"/>
        <v>2228.3545482062004</v>
      </c>
      <c r="G32" s="34">
        <f t="shared" si="5"/>
        <v>1.1788392254037574</v>
      </c>
      <c r="H32" s="367">
        <f t="shared" si="6"/>
        <v>125.18203862457034</v>
      </c>
      <c r="I32" s="291">
        <f t="shared" si="4"/>
        <v>332.52922597871003</v>
      </c>
      <c r="J32" s="291">
        <f>'3.) Preliminary Sizing I'!C74</f>
        <v>187.34687081731897</v>
      </c>
      <c r="K32" s="291">
        <f>'3.) Preliminary Sizing I'!C94</f>
        <v>196.27408469521319</v>
      </c>
      <c r="L32" s="291">
        <f t="shared" si="7"/>
        <v>994.50447661981696</v>
      </c>
      <c r="M32" s="304">
        <f>'3.) Preliminary Sizing I'!$C$52</f>
        <v>0.44629544136967858</v>
      </c>
      <c r="N32" s="93"/>
      <c r="O32" s="118"/>
    </row>
    <row r="33" spans="1:15" x14ac:dyDescent="0.35">
      <c r="A33" s="290">
        <v>2.5</v>
      </c>
      <c r="B33" s="93">
        <f t="shared" si="0"/>
        <v>8202.5</v>
      </c>
      <c r="C33" s="139">
        <f t="shared" si="1"/>
        <v>271.89999999999998</v>
      </c>
      <c r="D33" s="303">
        <f t="shared" si="2"/>
        <v>0.78102790725264437</v>
      </c>
      <c r="E33" s="136">
        <f t="shared" si="3"/>
        <v>74681.368341402413</v>
      </c>
      <c r="F33" s="93">
        <f t="shared" si="8"/>
        <v>2093.4419609381475</v>
      </c>
      <c r="G33" s="34">
        <f t="shared" si="5"/>
        <v>1.1247367790828542</v>
      </c>
      <c r="H33" s="367">
        <f t="shared" si="6"/>
        <v>130.42641185444265</v>
      </c>
      <c r="I33" s="291">
        <f t="shared" si="4"/>
        <v>330.55951805991003</v>
      </c>
      <c r="J33" s="291">
        <f>'3.) Preliminary Sizing I'!C74</f>
        <v>187.34687081731897</v>
      </c>
      <c r="K33" s="291">
        <f>'3.) Preliminary Sizing I'!C94</f>
        <v>196.27408469521319</v>
      </c>
      <c r="L33" s="291">
        <f t="shared" si="7"/>
        <v>934.29360393869592</v>
      </c>
      <c r="M33" s="304">
        <f>'3.) Preliminary Sizing I'!$C$52</f>
        <v>0.44629544136967858</v>
      </c>
      <c r="N33" s="93"/>
      <c r="O33" s="118"/>
    </row>
    <row r="34" spans="1:15" x14ac:dyDescent="0.35">
      <c r="A34" s="290">
        <v>3</v>
      </c>
      <c r="B34" s="93">
        <f t="shared" si="0"/>
        <v>9843</v>
      </c>
      <c r="C34" s="139">
        <f t="shared" si="1"/>
        <v>268.64999999999998</v>
      </c>
      <c r="D34" s="303">
        <f t="shared" si="2"/>
        <v>0.74204704545597633</v>
      </c>
      <c r="E34" s="136">
        <f t="shared" si="3"/>
        <v>70107.216168362953</v>
      </c>
      <c r="F34" s="93">
        <f t="shared" si="8"/>
        <v>1965.2209292749051</v>
      </c>
      <c r="G34" s="34">
        <f t="shared" si="5"/>
        <v>1.0725112577432212</v>
      </c>
      <c r="H34" s="367">
        <f t="shared" si="6"/>
        <v>135.95757278975546</v>
      </c>
      <c r="I34" s="291">
        <f t="shared" si="4"/>
        <v>328.57800265690338</v>
      </c>
      <c r="J34" s="291">
        <f>'3.) Preliminary Sizing I'!C74</f>
        <v>187.34687081731897</v>
      </c>
      <c r="K34" s="291">
        <f>'3.) Preliminary Sizing I'!C94</f>
        <v>196.27408469521319</v>
      </c>
      <c r="L34" s="291">
        <f t="shared" si="7"/>
        <v>877.06914201967368</v>
      </c>
      <c r="M34" s="304">
        <f>'3.) Preliminary Sizing I'!$C$52</f>
        <v>0.44629544136967858</v>
      </c>
      <c r="N34" s="93"/>
      <c r="O34" s="118"/>
    </row>
    <row r="35" spans="1:15" x14ac:dyDescent="0.35">
      <c r="A35" s="290">
        <v>3.5</v>
      </c>
      <c r="B35" s="93">
        <f t="shared" si="0"/>
        <v>11483.5</v>
      </c>
      <c r="C35" s="139">
        <f t="shared" si="1"/>
        <v>265.39999999999998</v>
      </c>
      <c r="D35" s="303">
        <f t="shared" si="2"/>
        <v>0.70457251069751925</v>
      </c>
      <c r="E35" s="136">
        <f t="shared" si="3"/>
        <v>65762.612825417091</v>
      </c>
      <c r="F35" s="93">
        <f t="shared" si="8"/>
        <v>1843.4345300196471</v>
      </c>
      <c r="G35" s="34">
        <f t="shared" si="5"/>
        <v>1.0221190756574361</v>
      </c>
      <c r="H35" s="367">
        <f t="shared" si="6"/>
        <v>141.79496358927059</v>
      </c>
      <c r="I35" s="291">
        <f t="shared" si="4"/>
        <v>326.58446484791648</v>
      </c>
      <c r="J35" s="291">
        <f>'3.) Preliminary Sizing I'!C74</f>
        <v>187.34687081731897</v>
      </c>
      <c r="K35" s="291">
        <f>'3.) Preliminary Sizing I'!C94</f>
        <v>196.27408469521319</v>
      </c>
      <c r="L35" s="291">
        <f t="shared" si="7"/>
        <v>822.71642721122441</v>
      </c>
      <c r="M35" s="304">
        <f>'3.) Preliminary Sizing I'!$C$52</f>
        <v>0.44629544136967858</v>
      </c>
      <c r="N35" s="93"/>
      <c r="O35" s="118"/>
    </row>
    <row r="36" spans="1:15" x14ac:dyDescent="0.35">
      <c r="A36" s="290">
        <v>4</v>
      </c>
      <c r="B36" s="93">
        <f t="shared" si="0"/>
        <v>13124</v>
      </c>
      <c r="C36" s="139">
        <f t="shared" si="1"/>
        <v>262.14999999999998</v>
      </c>
      <c r="D36" s="303">
        <f t="shared" si="2"/>
        <v>0.66856347569236174</v>
      </c>
      <c r="E36" s="136">
        <f t="shared" si="3"/>
        <v>61638.639597375557</v>
      </c>
      <c r="F36" s="93">
        <f t="shared" si="8"/>
        <v>1727.8327568718794</v>
      </c>
      <c r="G36" s="34">
        <f t="shared" si="5"/>
        <v>0.97351714721952531</v>
      </c>
      <c r="H36" s="367">
        <f t="shared" si="6"/>
        <v>147.95960569767053</v>
      </c>
      <c r="I36" s="291">
        <f t="shared" si="4"/>
        <v>324.57868311089067</v>
      </c>
      <c r="J36" s="291">
        <f>'3.) Preliminary Sizing I'!C74</f>
        <v>187.34687081731897</v>
      </c>
      <c r="K36" s="291">
        <f>'3.) Preliminary Sizing I'!C94</f>
        <v>196.27408469521319</v>
      </c>
      <c r="L36" s="291">
        <f t="shared" si="7"/>
        <v>771.12388284112399</v>
      </c>
      <c r="M36" s="304">
        <f>'3.) Preliminary Sizing I'!$C$52</f>
        <v>0.44629544136967858</v>
      </c>
      <c r="N36" s="93"/>
      <c r="O36" s="118"/>
    </row>
    <row r="37" spans="1:15" x14ac:dyDescent="0.35">
      <c r="A37" s="290">
        <v>4.5</v>
      </c>
      <c r="B37" s="93">
        <f t="shared" si="0"/>
        <v>14764.5</v>
      </c>
      <c r="C37" s="139">
        <f t="shared" si="1"/>
        <v>258.89999999999998</v>
      </c>
      <c r="D37" s="303">
        <f t="shared" si="2"/>
        <v>0.63397973712292621</v>
      </c>
      <c r="E37" s="136">
        <f t="shared" si="3"/>
        <v>57726.62077888479</v>
      </c>
      <c r="F37" s="93">
        <f t="shared" si="8"/>
        <v>1618.1724154977103</v>
      </c>
      <c r="G37" s="34">
        <f t="shared" si="5"/>
        <v>0.92666288722528323</v>
      </c>
      <c r="H37" s="367">
        <f t="shared" si="6"/>
        <v>154.47424989145182</v>
      </c>
      <c r="I37" s="291">
        <f t="shared" si="4"/>
        <v>322.56042903617299</v>
      </c>
      <c r="J37" s="291">
        <f>'3.) Preliminary Sizing I'!C74</f>
        <v>187.34687081731897</v>
      </c>
      <c r="K37" s="291">
        <f>'3.) Preliminary Sizing I'!C94</f>
        <v>196.27408469521319</v>
      </c>
      <c r="L37" s="291">
        <f t="shared" si="7"/>
        <v>722.18297238678952</v>
      </c>
      <c r="M37" s="304">
        <f>'3.) Preliminary Sizing I'!$C$52</f>
        <v>0.44629544136967858</v>
      </c>
      <c r="N37" s="93"/>
      <c r="O37" s="118"/>
    </row>
    <row r="38" spans="1:15" x14ac:dyDescent="0.35">
      <c r="A38" s="290">
        <v>5</v>
      </c>
      <c r="B38" s="93">
        <f t="shared" si="0"/>
        <v>16405</v>
      </c>
      <c r="C38" s="139">
        <f t="shared" si="1"/>
        <v>255.64999999999998</v>
      </c>
      <c r="D38" s="303">
        <f t="shared" si="2"/>
        <v>0.60078171366103017</v>
      </c>
      <c r="E38" s="136">
        <f t="shared" si="3"/>
        <v>54018.11994288049</v>
      </c>
      <c r="F38" s="93">
        <f t="shared" si="8"/>
        <v>1514.2170189284486</v>
      </c>
      <c r="G38" s="34">
        <f t="shared" si="5"/>
        <v>0.88151421115620276</v>
      </c>
      <c r="H38" s="367">
        <f t="shared" si="6"/>
        <v>161.363542701162</v>
      </c>
      <c r="I38" s="291">
        <f t="shared" si="4"/>
        <v>320.52946702292439</v>
      </c>
      <c r="J38" s="291">
        <f>'3.) Preliminary Sizing I'!C74</f>
        <v>187.34687081731897</v>
      </c>
      <c r="K38" s="291">
        <f>'3.) Preliminary Sizing I'!C94</f>
        <v>196.27408469521319</v>
      </c>
      <c r="L38" s="291">
        <f t="shared" si="7"/>
        <v>675.78815279215087</v>
      </c>
      <c r="M38" s="304">
        <f>'3.) Preliminary Sizing I'!$C$52</f>
        <v>0.44629544136967858</v>
      </c>
      <c r="N38" s="93"/>
      <c r="O38" s="118"/>
    </row>
    <row r="39" spans="1:15" x14ac:dyDescent="0.35">
      <c r="A39" s="290">
        <v>5.5</v>
      </c>
      <c r="B39" s="93">
        <f t="shared" si="0"/>
        <v>18045.5</v>
      </c>
      <c r="C39" s="139">
        <f t="shared" si="1"/>
        <v>252.39999999999998</v>
      </c>
      <c r="D39" s="303">
        <f t="shared" si="2"/>
        <v>0.56893044397165604</v>
      </c>
      <c r="E39" s="136">
        <f t="shared" si="3"/>
        <v>50504.93622086104</v>
      </c>
      <c r="F39" s="93">
        <f t="shared" si="8"/>
        <v>1415.7366832905295</v>
      </c>
      <c r="G39" s="34">
        <f t="shared" si="5"/>
        <v>0.83802953546710801</v>
      </c>
      <c r="H39" s="367">
        <f t="shared" si="6"/>
        <v>168.65421123482213</v>
      </c>
      <c r="I39" s="291">
        <f t="shared" si="4"/>
        <v>318.48555395810337</v>
      </c>
      <c r="J39" s="291">
        <f>'3.) Preliminary Sizing I'!C74</f>
        <v>187.34687081731897</v>
      </c>
      <c r="K39" s="291">
        <f>'3.) Preliminary Sizing I'!C94</f>
        <v>196.27408469521319</v>
      </c>
      <c r="L39" s="291">
        <f t="shared" si="7"/>
        <v>631.83682793239177</v>
      </c>
      <c r="M39" s="304">
        <f>'3.) Preliminary Sizing I'!$C$52</f>
        <v>0.44629544136967858</v>
      </c>
      <c r="N39" s="93"/>
      <c r="O39" s="118"/>
    </row>
    <row r="40" spans="1:15" x14ac:dyDescent="0.35">
      <c r="A40" s="290">
        <v>6</v>
      </c>
      <c r="B40" s="93">
        <f t="shared" si="0"/>
        <v>19686</v>
      </c>
      <c r="C40" s="139">
        <f t="shared" si="1"/>
        <v>249.14999999999998</v>
      </c>
      <c r="D40" s="303">
        <f t="shared" si="2"/>
        <v>0.53838758469803505</v>
      </c>
      <c r="E40" s="136">
        <f t="shared" si="3"/>
        <v>47179.100595090968</v>
      </c>
      <c r="F40" s="93">
        <f t="shared" si="8"/>
        <v>1322.5080238698615</v>
      </c>
      <c r="G40" s="34">
        <f t="shared" si="5"/>
        <v>0.79616777787760007</v>
      </c>
      <c r="H40" s="367">
        <f t="shared" si="6"/>
        <v>176.37526870787744</v>
      </c>
      <c r="I40" s="291">
        <f t="shared" si="4"/>
        <v>316.42843887678612</v>
      </c>
      <c r="J40" s="291">
        <f>'3.) Preliminary Sizing I'!C74</f>
        <v>187.34687081731897</v>
      </c>
      <c r="K40" s="291">
        <f>'3.) Preliminary Sizing I'!C94</f>
        <v>196.27408469521319</v>
      </c>
      <c r="L40" s="291">
        <f t="shared" si="7"/>
        <v>590.22930222794128</v>
      </c>
      <c r="M40" s="304">
        <f>'3.) Preliminary Sizing I'!$C$52</f>
        <v>0.44629544136967858</v>
      </c>
      <c r="N40" s="93"/>
      <c r="O40" s="118"/>
    </row>
    <row r="41" spans="1:15" x14ac:dyDescent="0.35">
      <c r="A41" s="290">
        <v>6.5</v>
      </c>
      <c r="B41" s="93">
        <f t="shared" si="0"/>
        <v>21326.5</v>
      </c>
      <c r="C41" s="139">
        <f t="shared" si="1"/>
        <v>245.89999999999998</v>
      </c>
      <c r="D41" s="303">
        <f t="shared" si="2"/>
        <v>0.50911540842761904</v>
      </c>
      <c r="E41" s="136">
        <f t="shared" si="3"/>
        <v>44032.872202847873</v>
      </c>
      <c r="F41" s="93">
        <f t="shared" si="8"/>
        <v>1234.3140515137711</v>
      </c>
      <c r="G41" s="34">
        <f t="shared" si="5"/>
        <v>0.75588835766739371</v>
      </c>
      <c r="H41" s="367">
        <f t="shared" si="6"/>
        <v>184.55824330867082</v>
      </c>
      <c r="I41" s="291">
        <f t="shared" si="4"/>
        <v>314.35786260248045</v>
      </c>
      <c r="J41" s="291">
        <f>'3.) Preliminary Sizing I'!C74</f>
        <v>187.34687081731897</v>
      </c>
      <c r="K41" s="291">
        <f>'3.) Preliminary Sizing I'!C94</f>
        <v>196.27408469521319</v>
      </c>
      <c r="L41" s="291">
        <f t="shared" si="7"/>
        <v>550.86873440913462</v>
      </c>
      <c r="M41" s="304">
        <f>'3.) Preliminary Sizing I'!$C$52</f>
        <v>0.44629544136967858</v>
      </c>
      <c r="N41" s="93"/>
      <c r="O41" s="118"/>
    </row>
    <row r="42" spans="1:15" x14ac:dyDescent="0.35">
      <c r="A42" s="290">
        <v>7</v>
      </c>
      <c r="B42" s="93">
        <f t="shared" si="0"/>
        <v>22967</v>
      </c>
      <c r="C42" s="139">
        <f t="shared" si="1"/>
        <v>242.64999999999998</v>
      </c>
      <c r="D42" s="303">
        <f t="shared" si="2"/>
        <v>0.48107680163851568</v>
      </c>
      <c r="E42" s="136">
        <f t="shared" si="3"/>
        <v>41058.734652827428</v>
      </c>
      <c r="F42" s="93">
        <f t="shared" si="8"/>
        <v>1150.9440693737563</v>
      </c>
      <c r="G42" s="34">
        <f t="shared" si="5"/>
        <v>0.71715119597566479</v>
      </c>
      <c r="H42" s="367">
        <f t="shared" si="6"/>
        <v>193.237433402531</v>
      </c>
      <c r="I42" s="291">
        <f t="shared" si="4"/>
        <v>312.27355736597355</v>
      </c>
      <c r="J42" s="291">
        <f>'3.) Preliminary Sizing I'!C74</f>
        <v>187.34687081731897</v>
      </c>
      <c r="K42" s="291">
        <f>'3.) Preliminary Sizing I'!C94</f>
        <v>196.27408469521319</v>
      </c>
      <c r="L42" s="291">
        <f t="shared" si="7"/>
        <v>513.66109143297456</v>
      </c>
      <c r="M42" s="304">
        <f>'3.) Preliminary Sizing I'!$C$52</f>
        <v>0.44629544136967858</v>
      </c>
      <c r="N42" s="93"/>
      <c r="O42" s="118"/>
    </row>
    <row r="43" spans="1:15" x14ac:dyDescent="0.35">
      <c r="A43" s="290">
        <v>7.5</v>
      </c>
      <c r="B43" s="93">
        <f t="shared" si="0"/>
        <v>24607.5</v>
      </c>
      <c r="C43" s="139">
        <f t="shared" si="1"/>
        <v>239.39999999999998</v>
      </c>
      <c r="D43" s="303">
        <f t="shared" si="2"/>
        <v>0.45423526262594088</v>
      </c>
      <c r="E43" s="136">
        <f t="shared" si="3"/>
        <v>38249.392353824274</v>
      </c>
      <c r="F43" s="93">
        <f t="shared" ref="F43:F54" si="9">CL*M*M/g*gamma/2*E43</f>
        <v>1072.1935699923574</v>
      </c>
      <c r="G43" s="34">
        <f t="shared" si="5"/>
        <v>0.67991671610451287</v>
      </c>
      <c r="H43" s="367">
        <f t="shared" si="6"/>
        <v>202.45019251080731</v>
      </c>
      <c r="I43" s="291">
        <f t="shared" si="4"/>
        <v>310.1752464011272</v>
      </c>
      <c r="J43" s="291">
        <f>'3.) Preliminary Sizing I'!C74</f>
        <v>187.34687081731897</v>
      </c>
      <c r="K43" s="291">
        <f>'3.) Preliminary Sizing I'!C94</f>
        <v>196.27408469521319</v>
      </c>
      <c r="L43" s="291">
        <f t="shared" si="7"/>
        <v>478.51510255347051</v>
      </c>
      <c r="M43" s="304">
        <f>'3.) Preliminary Sizing I'!$C$52</f>
        <v>0.44629544136967858</v>
      </c>
      <c r="N43" s="93"/>
      <c r="O43" s="118"/>
    </row>
    <row r="44" spans="1:15" x14ac:dyDescent="0.35">
      <c r="A44" s="290">
        <v>8</v>
      </c>
      <c r="B44" s="93">
        <f t="shared" si="0"/>
        <v>26248</v>
      </c>
      <c r="C44" s="139">
        <f t="shared" si="1"/>
        <v>236.14999999999998</v>
      </c>
      <c r="D44" s="303">
        <f t="shared" si="2"/>
        <v>0.42855489940822233</v>
      </c>
      <c r="E44" s="136">
        <f t="shared" si="3"/>
        <v>35597.766855809692</v>
      </c>
      <c r="F44" s="93">
        <f t="shared" si="9"/>
        <v>997.86413273752578</v>
      </c>
      <c r="G44" s="34">
        <f t="shared" si="5"/>
        <v>0.64414584382664408</v>
      </c>
      <c r="H44" s="367">
        <f t="shared" si="6"/>
        <v>212.23724800385108</v>
      </c>
      <c r="I44" s="291">
        <f t="shared" si="4"/>
        <v>308.06264351589272</v>
      </c>
      <c r="J44" s="291">
        <f>'3.) Preliminary Sizing I'!C74</f>
        <v>187.34687081731897</v>
      </c>
      <c r="K44" s="291">
        <f>'3.) Preliminary Sizing I'!C94</f>
        <v>196.27408469521319</v>
      </c>
      <c r="L44" s="291">
        <f t="shared" si="7"/>
        <v>445.34221354706563</v>
      </c>
      <c r="M44" s="304">
        <f>'3.) Preliminary Sizing I'!$C$52</f>
        <v>0.44629544136967858</v>
      </c>
      <c r="N44" s="93"/>
      <c r="O44" s="118"/>
    </row>
    <row r="45" spans="1:15" x14ac:dyDescent="0.35">
      <c r="A45" s="290">
        <v>8.5</v>
      </c>
      <c r="B45" s="93">
        <f t="shared" si="0"/>
        <v>27888.5</v>
      </c>
      <c r="C45" s="139">
        <f t="shared" si="1"/>
        <v>232.89999999999998</v>
      </c>
      <c r="D45" s="303">
        <f t="shared" si="2"/>
        <v>0.40400042761187632</v>
      </c>
      <c r="E45" s="136">
        <f t="shared" si="3"/>
        <v>33096.993203529455</v>
      </c>
      <c r="F45" s="93">
        <f t="shared" si="9"/>
        <v>927.76332158795753</v>
      </c>
      <c r="G45" s="34">
        <f t="shared" si="5"/>
        <v>0.60980000769739839</v>
      </c>
      <c r="H45" s="367">
        <f t="shared" si="6"/>
        <v>222.64305803131342</v>
      </c>
      <c r="I45" s="291">
        <f t="shared" si="4"/>
        <v>305.93545263666317</v>
      </c>
      <c r="J45" s="364">
        <f>'3.) Preliminary Sizing I'!C74</f>
        <v>187.34687081731897</v>
      </c>
      <c r="K45" s="364">
        <f>'3.) Preliminary Sizing I'!C94</f>
        <v>196.27408469521319</v>
      </c>
      <c r="L45" s="364">
        <f t="shared" si="7"/>
        <v>414.05654109469657</v>
      </c>
      <c r="M45" s="308">
        <f>'3.) Preliminary Sizing I'!$C$52</f>
        <v>0.44629544136967858</v>
      </c>
      <c r="N45" s="31"/>
      <c r="O45" s="118"/>
    </row>
    <row r="46" spans="1:15" x14ac:dyDescent="0.35">
      <c r="A46" s="307">
        <v>9</v>
      </c>
      <c r="B46" s="145">
        <f t="shared" si="0"/>
        <v>29529</v>
      </c>
      <c r="C46" s="139">
        <f t="shared" si="1"/>
        <v>229.64999999999998</v>
      </c>
      <c r="D46" s="303">
        <f t="shared" si="2"/>
        <v>0.3805371683352628</v>
      </c>
      <c r="E46" s="136">
        <f t="shared" si="3"/>
        <v>30740.416302747541</v>
      </c>
      <c r="F46" s="145">
        <f t="shared" si="9"/>
        <v>861.7045832729093</v>
      </c>
      <c r="G46" s="33">
        <f t="shared" si="5"/>
        <v>0.57684113937124215</v>
      </c>
      <c r="H46" s="368">
        <f t="shared" si="6"/>
        <v>233.71621189385723</v>
      </c>
      <c r="I46" s="364">
        <f t="shared" si="4"/>
        <v>303.79336732390982</v>
      </c>
      <c r="J46" s="364">
        <f>'3.) Preliminary Sizing I'!C74</f>
        <v>187.34687081731897</v>
      </c>
      <c r="K46" s="364">
        <f>'3.) Preliminary Sizing I'!C94</f>
        <v>196.27408469521319</v>
      </c>
      <c r="L46" s="364">
        <f t="shared" si="7"/>
        <v>384.57482732205801</v>
      </c>
      <c r="M46" s="308">
        <f>'3.) Preliminary Sizing I'!$C$52</f>
        <v>0.44629544136967858</v>
      </c>
      <c r="N46" s="145">
        <f>'3.) Preliminary Sizing I'!C33</f>
        <v>636.15</v>
      </c>
      <c r="O46" s="306">
        <v>350</v>
      </c>
    </row>
    <row r="47" spans="1:15" x14ac:dyDescent="0.35">
      <c r="A47" s="290">
        <v>9.5</v>
      </c>
      <c r="B47" s="93">
        <f t="shared" si="0"/>
        <v>31169.5</v>
      </c>
      <c r="C47" s="139">
        <f t="shared" si="1"/>
        <v>226.39999999999998</v>
      </c>
      <c r="D47" s="303">
        <f t="shared" si="2"/>
        <v>0.35813104599029655</v>
      </c>
      <c r="E47" s="136">
        <f t="shared" si="3"/>
        <v>28521.587299265913</v>
      </c>
      <c r="F47" s="145">
        <f t="shared" si="9"/>
        <v>799.50714577014878</v>
      </c>
      <c r="G47" s="33">
        <f t="shared" si="5"/>
        <v>0.54523167392284611</v>
      </c>
      <c r="H47" s="368">
        <f t="shared" si="6"/>
        <v>245.50987985498006</v>
      </c>
      <c r="I47" s="364">
        <f t="shared" si="4"/>
        <v>301.63607025685769</v>
      </c>
      <c r="J47" s="364">
        <f>'3.) Preliminary Sizing I'!C74</f>
        <v>187.34687081731897</v>
      </c>
      <c r="K47" s="364">
        <f>'3.) Preliminary Sizing I'!C94</f>
        <v>196.27408469521319</v>
      </c>
      <c r="L47" s="364">
        <f t="shared" ref="L47:L54" si="10">M47*F47</f>
        <v>356.81639449970049</v>
      </c>
      <c r="M47" s="308">
        <f>'3.) Preliminary Sizing I'!$C$52</f>
        <v>0.44629544136967858</v>
      </c>
      <c r="N47" s="31"/>
      <c r="O47" s="118"/>
    </row>
    <row r="48" spans="1:15" x14ac:dyDescent="0.35">
      <c r="A48" s="290">
        <v>10</v>
      </c>
      <c r="B48" s="93">
        <f t="shared" si="0"/>
        <v>32810</v>
      </c>
      <c r="C48" s="139">
        <f t="shared" si="1"/>
        <v>223.14999999999998</v>
      </c>
      <c r="D48" s="303">
        <f t="shared" si="2"/>
        <v>0.33674858612168423</v>
      </c>
      <c r="E48" s="136">
        <f t="shared" si="3"/>
        <v>26434.259970852028</v>
      </c>
      <c r="F48" s="145">
        <f t="shared" si="9"/>
        <v>740.9959171657307</v>
      </c>
      <c r="G48" s="33">
        <f t="shared" si="5"/>
        <v>0.51493455017289014</v>
      </c>
      <c r="H48" s="368">
        <f t="shared" si="6"/>
        <v>258.08231932114052</v>
      </c>
      <c r="I48" s="364">
        <f t="shared" si="4"/>
        <v>299.46323268474879</v>
      </c>
      <c r="J48" s="364">
        <f>'3.) Preliminary Sizing I'!C74</f>
        <v>187.34687081731897</v>
      </c>
      <c r="K48" s="364">
        <f>'3.) Preliminary Sizing I'!C94</f>
        <v>196.27408469521319</v>
      </c>
      <c r="L48" s="364">
        <f t="shared" si="10"/>
        <v>330.70309990460959</v>
      </c>
      <c r="M48" s="308">
        <f>'3.) Preliminary Sizing I'!$C$52</f>
        <v>0.44629544136967858</v>
      </c>
      <c r="N48" s="93"/>
      <c r="O48" s="118"/>
    </row>
    <row r="49" spans="1:15" x14ac:dyDescent="0.35">
      <c r="A49" s="290">
        <v>10.5</v>
      </c>
      <c r="B49" s="93">
        <f t="shared" si="0"/>
        <v>34450.5</v>
      </c>
      <c r="C49" s="139">
        <f t="shared" si="1"/>
        <v>219.89999999999998</v>
      </c>
      <c r="D49" s="303">
        <f t="shared" si="2"/>
        <v>0.31635691320312492</v>
      </c>
      <c r="E49" s="136">
        <f t="shared" si="3"/>
        <v>24472.387132210195</v>
      </c>
      <c r="F49" s="145">
        <f t="shared" si="9"/>
        <v>686.00138487941285</v>
      </c>
      <c r="G49" s="33">
        <f t="shared" si="5"/>
        <v>0.48591321101872387</v>
      </c>
      <c r="H49" s="368">
        <f t="shared" si="6"/>
        <v>271.49744540804829</v>
      </c>
      <c r="I49" s="364">
        <f t="shared" si="4"/>
        <v>297.2745138420043</v>
      </c>
      <c r="J49" s="364">
        <f>'3.) Preliminary Sizing I'!C74</f>
        <v>187.34687081731897</v>
      </c>
      <c r="K49" s="364">
        <f>'3.) Preliminary Sizing I'!C94</f>
        <v>196.27408469521319</v>
      </c>
      <c r="L49" s="364">
        <f t="shared" si="10"/>
        <v>306.15929084496833</v>
      </c>
      <c r="M49" s="308">
        <f>'3.) Preliminary Sizing I'!$C$52</f>
        <v>0.44629544136967858</v>
      </c>
      <c r="N49" s="93"/>
      <c r="O49" s="118"/>
    </row>
    <row r="50" spans="1:15" ht="13.15" thickBot="1" x14ac:dyDescent="0.4">
      <c r="A50" s="401">
        <v>11</v>
      </c>
      <c r="B50" s="138">
        <f t="shared" si="0"/>
        <v>36091</v>
      </c>
      <c r="C50" s="402">
        <f t="shared" si="1"/>
        <v>216.64999999999998</v>
      </c>
      <c r="D50" s="305">
        <f t="shared" si="2"/>
        <v>0.29692374840989805</v>
      </c>
      <c r="E50" s="138">
        <f t="shared" si="3"/>
        <v>22630.117053135888</v>
      </c>
      <c r="F50" s="138">
        <f t="shared" si="9"/>
        <v>634.35951525961241</v>
      </c>
      <c r="G50" s="137">
        <f t="shared" si="5"/>
        <v>0.45813160377003348</v>
      </c>
      <c r="H50" s="369">
        <f t="shared" si="6"/>
        <v>285.82547519127502</v>
      </c>
      <c r="I50" s="302">
        <f t="shared" si="4"/>
        <v>295.06956032434113</v>
      </c>
      <c r="J50" s="302">
        <f>'3.) Preliminary Sizing I'!C74</f>
        <v>187.34687081731897</v>
      </c>
      <c r="K50" s="302">
        <f>'3.) Preliminary Sizing I'!C94</f>
        <v>196.27408469521319</v>
      </c>
      <c r="L50" s="302">
        <f t="shared" si="10"/>
        <v>283.11175984984408</v>
      </c>
      <c r="M50" s="305">
        <f>'3.) Preliminary Sizing I'!$C$52</f>
        <v>0.44629544136967858</v>
      </c>
      <c r="N50" s="138"/>
      <c r="O50" s="403"/>
    </row>
    <row r="51" spans="1:15" x14ac:dyDescent="0.35">
      <c r="A51" s="316">
        <v>11.5</v>
      </c>
      <c r="B51" s="136">
        <f t="shared" si="0"/>
        <v>37731.5</v>
      </c>
      <c r="C51" s="139">
        <v>216.65</v>
      </c>
      <c r="D51" s="303">
        <f>0.29707*e^(-g/Rconstant/C51*(A51-11)*1000)</f>
        <v>0.27453990979951326</v>
      </c>
      <c r="E51" s="318">
        <f>22632*POWER(euler,-0.157688*(A51-11))</f>
        <v>20916.134232654775</v>
      </c>
      <c r="F51" s="317">
        <f t="shared" si="9"/>
        <v>586.31374914135733</v>
      </c>
      <c r="G51" s="22">
        <f t="shared" si="5"/>
        <v>0.42596989367044474</v>
      </c>
      <c r="H51" s="370">
        <f t="shared" si="6"/>
        <v>307.40595824600217</v>
      </c>
      <c r="I51" s="365">
        <f t="shared" si="4"/>
        <v>295.06956032434113</v>
      </c>
      <c r="J51" s="365">
        <f>'3.) Preliminary Sizing I'!C74</f>
        <v>187.34687081731897</v>
      </c>
      <c r="K51" s="365">
        <f>'3.) Preliminary Sizing I'!C94</f>
        <v>196.27408469521319</v>
      </c>
      <c r="L51" s="365">
        <f t="shared" si="10"/>
        <v>261.6691534541531</v>
      </c>
      <c r="M51" s="314">
        <f>'3.) Preliminary Sizing I'!$C$52</f>
        <v>0.44629544136967858</v>
      </c>
      <c r="N51" s="136"/>
      <c r="O51" s="319"/>
    </row>
    <row r="52" spans="1:15" x14ac:dyDescent="0.35">
      <c r="A52" s="290">
        <v>12</v>
      </c>
      <c r="B52" s="93">
        <f t="shared" si="0"/>
        <v>39372</v>
      </c>
      <c r="C52" s="92">
        <v>216.65</v>
      </c>
      <c r="D52" s="303">
        <f>0.29707*e^(-g/Rconstant/C52*(A52-11)*1000)</f>
        <v>0.2537185244983502</v>
      </c>
      <c r="E52" s="93">
        <f>22632*POWER(euler,-0.157688*(A52-11))</f>
        <v>19330.358396890817</v>
      </c>
      <c r="F52" s="93">
        <f t="shared" si="9"/>
        <v>541.86183631546965</v>
      </c>
      <c r="G52" s="33">
        <f t="shared" si="5"/>
        <v>0.39588491388676561</v>
      </c>
      <c r="H52" s="368">
        <f t="shared" si="6"/>
        <v>330.76704555901551</v>
      </c>
      <c r="I52" s="364">
        <f t="shared" si="4"/>
        <v>295.06956032434113</v>
      </c>
      <c r="J52" s="364">
        <f>'3.) Preliminary Sizing I'!C74</f>
        <v>187.34687081731897</v>
      </c>
      <c r="K52" s="364">
        <f>'3.) Preliminary Sizing I'!C94</f>
        <v>196.27408469521319</v>
      </c>
      <c r="L52" s="364">
        <f t="shared" si="10"/>
        <v>241.83046739979704</v>
      </c>
      <c r="M52" s="308">
        <f>'3.) Preliminary Sizing I'!$C$52</f>
        <v>0.44629544136967858</v>
      </c>
      <c r="N52" s="93"/>
      <c r="O52" s="118"/>
    </row>
    <row r="53" spans="1:15" x14ac:dyDescent="0.35">
      <c r="A53" s="357">
        <v>12.5</v>
      </c>
      <c r="B53" s="312">
        <f t="shared" si="0"/>
        <v>41012.5</v>
      </c>
      <c r="C53" s="313">
        <v>216.65</v>
      </c>
      <c r="D53" s="303">
        <f>0.29707*e^(-g/Rconstant/C53*(A53-11)*1000)</f>
        <v>0.23447625418333271</v>
      </c>
      <c r="E53" s="93">
        <f>22632*POWER(euler,-0.157688*(A53-11))</f>
        <v>17864.809605633342</v>
      </c>
      <c r="F53" s="312">
        <f t="shared" si="9"/>
        <v>500.78008589285861</v>
      </c>
      <c r="G53" s="33">
        <f t="shared" si="5"/>
        <v>0.36792474626008037</v>
      </c>
      <c r="H53" s="368">
        <f t="shared" si="6"/>
        <v>355.90344133891784</v>
      </c>
      <c r="I53" s="364">
        <f t="shared" si="4"/>
        <v>295.06956032434113</v>
      </c>
      <c r="J53" s="364">
        <f>'3.) Preliminary Sizing I'!C74</f>
        <v>187.34687081731897</v>
      </c>
      <c r="K53" s="364">
        <f>'3.) Preliminary Sizing I'!C94</f>
        <v>196.27408469521319</v>
      </c>
      <c r="L53" s="364">
        <f t="shared" si="10"/>
        <v>223.49586946269889</v>
      </c>
      <c r="M53" s="308">
        <f>'3.) Preliminary Sizing I'!$C$52</f>
        <v>0.44629544136967858</v>
      </c>
      <c r="N53" s="93"/>
      <c r="O53" s="118"/>
    </row>
    <row r="54" spans="1:15" ht="13.15" thickBot="1" x14ac:dyDescent="0.4">
      <c r="A54" s="358">
        <v>13</v>
      </c>
      <c r="B54" s="309">
        <f t="shared" si="0"/>
        <v>42653</v>
      </c>
      <c r="C54" s="310">
        <v>216.65</v>
      </c>
      <c r="D54" s="311">
        <f>0.29707*e^(-g/Rconstant/C54*(A54-11)*1000)</f>
        <v>0.21669333717177738</v>
      </c>
      <c r="E54" s="138">
        <f>22632*POWER(euler,-0.157688*(A54-11))</f>
        <v>16510.37273560655</v>
      </c>
      <c r="F54" s="359">
        <f t="shared" si="9"/>
        <v>462.81298593033847</v>
      </c>
      <c r="G54" s="137">
        <f t="shared" si="5"/>
        <v>0.3419393216617086</v>
      </c>
      <c r="H54" s="369">
        <f t="shared" si="6"/>
        <v>382.95005883312666</v>
      </c>
      <c r="I54" s="302">
        <f t="shared" si="4"/>
        <v>295.06956032434113</v>
      </c>
      <c r="J54" s="302">
        <f>'3.) Preliminary Sizing I'!C74</f>
        <v>187.34687081731897</v>
      </c>
      <c r="K54" s="302">
        <f>'3.) Preliminary Sizing I'!C94</f>
        <v>196.27408469521319</v>
      </c>
      <c r="L54" s="302">
        <f t="shared" si="10"/>
        <v>206.55132582739924</v>
      </c>
      <c r="M54" s="305">
        <f>'3.) Preliminary Sizing I'!$C$52</f>
        <v>0.44629544136967858</v>
      </c>
      <c r="N54" s="309"/>
      <c r="O54" s="129"/>
    </row>
    <row r="55" spans="1:15" ht="13.15" thickBot="1" x14ac:dyDescent="0.4">
      <c r="A55" s="360" t="s">
        <v>614</v>
      </c>
      <c r="B55" s="361" t="s">
        <v>559</v>
      </c>
      <c r="C55" s="66"/>
      <c r="D55" s="315"/>
      <c r="E55" s="66"/>
      <c r="F55" s="66"/>
    </row>
    <row r="56" spans="1:15" x14ac:dyDescent="0.35">
      <c r="A56" s="147"/>
      <c r="B56" s="148"/>
      <c r="C56" s="66"/>
      <c r="D56" s="315"/>
      <c r="E56" s="66"/>
    </row>
    <row r="58" spans="1:15" ht="15" x14ac:dyDescent="0.5">
      <c r="A58" t="s">
        <v>172</v>
      </c>
      <c r="B58" t="s">
        <v>47</v>
      </c>
      <c r="C58" s="46">
        <f>'3.) Preliminary Sizing I'!C33</f>
        <v>636.15</v>
      </c>
      <c r="D58" s="19" t="s">
        <v>6</v>
      </c>
      <c r="E58" s="7" t="s">
        <v>580</v>
      </c>
    </row>
    <row r="59" spans="1:15" ht="15" x14ac:dyDescent="0.5">
      <c r="A59" t="s">
        <v>278</v>
      </c>
      <c r="B59" s="12" t="s">
        <v>615</v>
      </c>
      <c r="C59" s="46">
        <f>'3.) Preliminary Sizing I'!C53</f>
        <v>283.91084502732105</v>
      </c>
      <c r="D59" s="19" t="s">
        <v>578</v>
      </c>
      <c r="E59" s="7" t="s">
        <v>226</v>
      </c>
    </row>
    <row r="60" spans="1:15" ht="13.15" x14ac:dyDescent="0.4">
      <c r="A60" s="18" t="s">
        <v>629</v>
      </c>
      <c r="B60" t="s">
        <v>0</v>
      </c>
      <c r="C60" s="46">
        <v>323.60000000000002</v>
      </c>
      <c r="D60" s="19" t="s">
        <v>2</v>
      </c>
      <c r="E60" s="7" t="s">
        <v>634</v>
      </c>
      <c r="H60" s="12"/>
    </row>
    <row r="61" spans="1:15" ht="15" x14ac:dyDescent="0.5">
      <c r="A61" t="s">
        <v>627</v>
      </c>
      <c r="B61" t="s">
        <v>631</v>
      </c>
      <c r="C61" s="300">
        <f>M*C60</f>
        <v>220.04800000000003</v>
      </c>
      <c r="D61" s="12" t="s">
        <v>268</v>
      </c>
      <c r="E61" s="7"/>
      <c r="F61" s="12"/>
    </row>
    <row r="62" spans="1:15" ht="15" x14ac:dyDescent="0.5">
      <c r="A62" t="s">
        <v>616</v>
      </c>
      <c r="B62" s="362" t="s">
        <v>583</v>
      </c>
      <c r="C62" s="81">
        <f>C61*g/($C$59*L_D*propefcruise)</f>
        <v>0.50581686721686892</v>
      </c>
      <c r="D62" s="19"/>
      <c r="E62" s="7"/>
    </row>
    <row r="63" spans="1:15" ht="13.15" x14ac:dyDescent="0.4">
      <c r="A63" t="s">
        <v>623</v>
      </c>
      <c r="B63" s="362" t="s">
        <v>250</v>
      </c>
      <c r="C63" s="81">
        <f>(C62/(Acoef*M^mcoef))^(1/ncoef)</f>
        <v>0.33033234483341251</v>
      </c>
      <c r="D63" s="12"/>
      <c r="E63" s="7"/>
    </row>
    <row r="64" spans="1:15" ht="15" x14ac:dyDescent="0.5">
      <c r="B64" s="362" t="s">
        <v>649</v>
      </c>
      <c r="C64" s="95">
        <f>T0*C63^(1/(g/Rconstant/L-1))</f>
        <v>222.14401990217885</v>
      </c>
      <c r="D64" s="12" t="s">
        <v>17</v>
      </c>
      <c r="E64" s="11"/>
    </row>
    <row r="65" spans="1:20" ht="13.15" x14ac:dyDescent="0.4">
      <c r="A65" t="s">
        <v>624</v>
      </c>
      <c r="B65" s="362" t="s">
        <v>266</v>
      </c>
      <c r="C65" s="95">
        <f>IF(C64 &lt; 216.65,216.65,C64)</f>
        <v>222.14401990217885</v>
      </c>
      <c r="D65" s="12" t="s">
        <v>17</v>
      </c>
      <c r="E65" s="7"/>
    </row>
    <row r="66" spans="1:20" ht="15" x14ac:dyDescent="0.5">
      <c r="A66" t="s">
        <v>325</v>
      </c>
      <c r="B66" s="362" t="s">
        <v>625</v>
      </c>
      <c r="C66" s="14">
        <f>(T0-C65)/L</f>
        <v>10154.766168895556</v>
      </c>
      <c r="D66" s="12" t="s">
        <v>1</v>
      </c>
      <c r="E66" s="7"/>
    </row>
    <row r="67" spans="1:20" ht="15" x14ac:dyDescent="0.5">
      <c r="A67" t="s">
        <v>325</v>
      </c>
      <c r="B67" s="362" t="s">
        <v>625</v>
      </c>
      <c r="C67" s="14">
        <f>C66*3.281</f>
        <v>33317.787800146318</v>
      </c>
      <c r="D67" s="12" t="s">
        <v>626</v>
      </c>
      <c r="E67" s="7"/>
    </row>
    <row r="68" spans="1:20" ht="13.15" x14ac:dyDescent="0.4">
      <c r="A68" s="18" t="s">
        <v>629</v>
      </c>
      <c r="B68" t="s">
        <v>0</v>
      </c>
      <c r="C68" s="300">
        <f>SQRT(gamma*Rconstant*C65)</f>
        <v>298.78746674345666</v>
      </c>
      <c r="D68" t="s">
        <v>2</v>
      </c>
      <c r="E68" s="7"/>
    </row>
    <row r="69" spans="1:20" ht="15" x14ac:dyDescent="0.5">
      <c r="A69" t="s">
        <v>630</v>
      </c>
      <c r="B69" t="s">
        <v>632</v>
      </c>
      <c r="C69" s="300">
        <f>M*C68</f>
        <v>203.17547738555055</v>
      </c>
      <c r="D69" s="12" t="s">
        <v>2</v>
      </c>
      <c r="E69" s="7"/>
    </row>
    <row r="70" spans="1:20" ht="15" x14ac:dyDescent="0.5">
      <c r="A70" t="s">
        <v>616</v>
      </c>
      <c r="B70" s="362" t="s">
        <v>583</v>
      </c>
      <c r="C70" s="81">
        <f>C69*g/($C$59*L_D*propefcruise)</f>
        <v>0.46703257228627826</v>
      </c>
      <c r="D70" s="19"/>
      <c r="E70" s="7"/>
    </row>
    <row r="71" spans="1:20" ht="13.15" x14ac:dyDescent="0.4">
      <c r="A71" t="s">
        <v>623</v>
      </c>
      <c r="B71" s="362" t="s">
        <v>250</v>
      </c>
      <c r="C71" s="40">
        <f>(C70/(Acoef*M^mcoef))^(1/ncoef)</f>
        <v>0.30314035632318248</v>
      </c>
      <c r="D71" s="12"/>
      <c r="E71" s="7"/>
    </row>
    <row r="72" spans="1:20" ht="15" x14ac:dyDescent="0.5">
      <c r="B72" s="362" t="s">
        <v>649</v>
      </c>
      <c r="C72" s="95">
        <f>T0*C71^(1/(g/Rconstant/L-1))</f>
        <v>217.70692694866659</v>
      </c>
      <c r="D72" s="12" t="s">
        <v>17</v>
      </c>
      <c r="E72" s="7"/>
    </row>
    <row r="73" spans="1:20" ht="13.15" x14ac:dyDescent="0.4">
      <c r="A73" t="s">
        <v>624</v>
      </c>
      <c r="B73" s="362" t="s">
        <v>266</v>
      </c>
      <c r="C73" s="95">
        <f>IF(C72 &lt; 216.65,216.65,C72)</f>
        <v>217.70692694866659</v>
      </c>
      <c r="D73" s="12" t="s">
        <v>17</v>
      </c>
      <c r="E73" s="7"/>
    </row>
    <row r="74" spans="1:20" ht="15" x14ac:dyDescent="0.5">
      <c r="A74" t="s">
        <v>325</v>
      </c>
      <c r="B74" s="362" t="s">
        <v>625</v>
      </c>
      <c r="C74" s="14">
        <f>(T0-C73)/L</f>
        <v>10837.395854051289</v>
      </c>
      <c r="D74" s="12" t="s">
        <v>1</v>
      </c>
      <c r="E74" s="7"/>
    </row>
    <row r="75" spans="1:20" ht="15" x14ac:dyDescent="0.5">
      <c r="A75" t="s">
        <v>325</v>
      </c>
      <c r="B75" s="362" t="s">
        <v>625</v>
      </c>
      <c r="C75" s="37">
        <f>C74*3.281</f>
        <v>35557.495797142277</v>
      </c>
      <c r="D75" s="38" t="s">
        <v>626</v>
      </c>
      <c r="E75" s="7"/>
    </row>
    <row r="76" spans="1:20" ht="13.15" x14ac:dyDescent="0.4">
      <c r="A76" s="18" t="s">
        <v>629</v>
      </c>
      <c r="B76" t="s">
        <v>0</v>
      </c>
      <c r="C76" s="300">
        <v>295.10000000000002</v>
      </c>
      <c r="D76" t="s">
        <v>2</v>
      </c>
      <c r="E76" s="7"/>
    </row>
    <row r="77" spans="1:20" ht="15" x14ac:dyDescent="0.5">
      <c r="A77" s="323" t="s">
        <v>628</v>
      </c>
      <c r="B77" s="324" t="s">
        <v>633</v>
      </c>
      <c r="C77" s="400">
        <f>M*C76</f>
        <v>200.66800000000003</v>
      </c>
      <c r="D77" s="381" t="s">
        <v>2</v>
      </c>
      <c r="E77" s="382" t="s">
        <v>636</v>
      </c>
      <c r="F77" s="324"/>
      <c r="G77" s="325"/>
    </row>
    <row r="78" spans="1:20" x14ac:dyDescent="0.35">
      <c r="R78" s="80"/>
      <c r="T78" s="13"/>
    </row>
    <row r="79" spans="1:20" ht="13.15" x14ac:dyDescent="0.4">
      <c r="A79" s="12"/>
      <c r="B79" s="12"/>
      <c r="C79" s="36"/>
      <c r="D79" s="38"/>
      <c r="E79" s="7"/>
      <c r="R79" s="80"/>
      <c r="T79" s="13"/>
    </row>
    <row r="80" spans="1:20" x14ac:dyDescent="0.35">
      <c r="C80" s="81"/>
      <c r="E80" s="82" t="s">
        <v>287</v>
      </c>
    </row>
    <row r="81" spans="1:10" x14ac:dyDescent="0.35">
      <c r="A81" t="s">
        <v>116</v>
      </c>
      <c r="B81" s="14" t="s">
        <v>105</v>
      </c>
      <c r="C81" s="5">
        <v>1852</v>
      </c>
      <c r="D81" t="s">
        <v>106</v>
      </c>
      <c r="E81" s="82" t="s">
        <v>288</v>
      </c>
    </row>
    <row r="82" spans="1:10" ht="13.15" x14ac:dyDescent="0.4">
      <c r="A82" t="s">
        <v>173</v>
      </c>
      <c r="B82" t="s">
        <v>18</v>
      </c>
      <c r="C82" s="297">
        <v>500</v>
      </c>
      <c r="D82" s="19" t="s">
        <v>104</v>
      </c>
      <c r="E82" s="82" t="s">
        <v>560</v>
      </c>
      <c r="J82" s="12"/>
    </row>
    <row r="83" spans="1:10" x14ac:dyDescent="0.35">
      <c r="A83" t="s">
        <v>173</v>
      </c>
      <c r="B83" t="s">
        <v>18</v>
      </c>
      <c r="C83" s="42">
        <f>C82*C81</f>
        <v>926000</v>
      </c>
      <c r="D83" t="s">
        <v>1</v>
      </c>
    </row>
    <row r="84" spans="1:10" ht="15" x14ac:dyDescent="0.5">
      <c r="A84" t="s">
        <v>174</v>
      </c>
      <c r="B84" t="s">
        <v>48</v>
      </c>
      <c r="C84" s="299">
        <v>200</v>
      </c>
      <c r="D84" t="s">
        <v>104</v>
      </c>
      <c r="E84" t="s">
        <v>176</v>
      </c>
      <c r="F84">
        <v>200</v>
      </c>
      <c r="G84" t="s">
        <v>104</v>
      </c>
    </row>
    <row r="85" spans="1:10" ht="15" x14ac:dyDescent="0.5">
      <c r="A85" t="s">
        <v>174</v>
      </c>
      <c r="B85" t="s">
        <v>48</v>
      </c>
      <c r="C85" s="42">
        <f>C84*C81</f>
        <v>370400</v>
      </c>
      <c r="D85" t="s">
        <v>1</v>
      </c>
      <c r="E85" s="11" t="s">
        <v>227</v>
      </c>
    </row>
    <row r="86" spans="1:10" ht="15" x14ac:dyDescent="0.5">
      <c r="A86" s="11" t="s">
        <v>258</v>
      </c>
      <c r="B86" t="s">
        <v>20</v>
      </c>
      <c r="C86" s="35" t="s">
        <v>689</v>
      </c>
      <c r="E86" s="57" t="s">
        <v>19</v>
      </c>
      <c r="F86" s="71" t="s">
        <v>49</v>
      </c>
      <c r="G86" s="72"/>
    </row>
    <row r="87" spans="1:10" ht="13.15" x14ac:dyDescent="0.4">
      <c r="B87" t="s">
        <v>75</v>
      </c>
      <c r="C87" s="88" t="str">
        <f>IF(C86="yes","no","yes")</f>
        <v>yes</v>
      </c>
      <c r="E87" s="26" t="s">
        <v>20</v>
      </c>
      <c r="F87" s="75">
        <f>C85</f>
        <v>370400</v>
      </c>
      <c r="G87" s="76" t="s">
        <v>1</v>
      </c>
    </row>
    <row r="88" spans="1:10" x14ac:dyDescent="0.35">
      <c r="A88" s="16" t="s">
        <v>175</v>
      </c>
      <c r="C88" s="94">
        <v>0.05</v>
      </c>
      <c r="E88" s="69" t="s">
        <v>75</v>
      </c>
      <c r="F88" s="1">
        <f>C83*C88+C85</f>
        <v>416700</v>
      </c>
      <c r="G88" s="21" t="s">
        <v>1</v>
      </c>
    </row>
    <row r="89" spans="1:10" x14ac:dyDescent="0.35">
      <c r="C89" s="9"/>
    </row>
    <row r="90" spans="1:10" ht="15" x14ac:dyDescent="0.5">
      <c r="A90" t="s">
        <v>178</v>
      </c>
      <c r="B90" t="s">
        <v>49</v>
      </c>
      <c r="C90" s="293">
        <f>IF(C86="yes",F87,F88)</f>
        <v>416700</v>
      </c>
      <c r="D90" t="s">
        <v>1</v>
      </c>
      <c r="E90" s="7"/>
    </row>
    <row r="91" spans="1:10" ht="15" x14ac:dyDescent="0.5">
      <c r="A91" t="s">
        <v>561</v>
      </c>
      <c r="B91" t="s">
        <v>260</v>
      </c>
      <c r="C91" s="406">
        <f>210/1000/1000/3600</f>
        <v>5.8333333333333326E-8</v>
      </c>
      <c r="D91" s="19" t="s">
        <v>320</v>
      </c>
      <c r="E91" t="s">
        <v>176</v>
      </c>
      <c r="F91" s="292">
        <v>5.5000000000000003E-8</v>
      </c>
      <c r="G91" s="12" t="s">
        <v>320</v>
      </c>
    </row>
    <row r="92" spans="1:10" ht="13.15" x14ac:dyDescent="0.4">
      <c r="C92" s="36"/>
      <c r="E92" s="11" t="s">
        <v>177</v>
      </c>
      <c r="F92" s="70"/>
    </row>
    <row r="93" spans="1:10" ht="15" x14ac:dyDescent="0.5">
      <c r="A93" t="s">
        <v>179</v>
      </c>
      <c r="B93" t="s">
        <v>68</v>
      </c>
      <c r="C93" s="5">
        <f>(C16*L_D)/C91/g</f>
        <v>26267899.250726324</v>
      </c>
      <c r="D93" t="s">
        <v>1</v>
      </c>
      <c r="E93" s="57" t="s">
        <v>19</v>
      </c>
      <c r="F93" s="71" t="s">
        <v>71</v>
      </c>
      <c r="G93" s="72"/>
      <c r="H93" s="12"/>
    </row>
    <row r="94" spans="1:10" ht="15" x14ac:dyDescent="0.5">
      <c r="A94" t="s">
        <v>180</v>
      </c>
      <c r="B94" t="s">
        <v>69</v>
      </c>
      <c r="C94" s="9">
        <f>POWER(e,-C83/C93)</f>
        <v>0.96536196677710406</v>
      </c>
      <c r="E94" s="26" t="s">
        <v>20</v>
      </c>
      <c r="F94">
        <v>2700</v>
      </c>
      <c r="G94" s="20" t="s">
        <v>21</v>
      </c>
    </row>
    <row r="95" spans="1:10" ht="15" x14ac:dyDescent="0.5">
      <c r="A95" t="s">
        <v>562</v>
      </c>
      <c r="B95" t="s">
        <v>70</v>
      </c>
      <c r="C95" s="9">
        <f>POWER(e,-C90/C93)</f>
        <v>0.98426169332139191</v>
      </c>
      <c r="E95" s="69" t="s">
        <v>75</v>
      </c>
      <c r="F95" s="1">
        <v>1800</v>
      </c>
      <c r="G95" s="21" t="s">
        <v>21</v>
      </c>
    </row>
    <row r="96" spans="1:10" x14ac:dyDescent="0.35">
      <c r="C96" s="9"/>
    </row>
    <row r="97" spans="1:9" ht="15" x14ac:dyDescent="0.5">
      <c r="A97" t="s">
        <v>181</v>
      </c>
      <c r="B97" t="s">
        <v>71</v>
      </c>
      <c r="C97" s="293">
        <f>IF(C86="yes",F94,F95)</f>
        <v>1800</v>
      </c>
      <c r="D97" t="s">
        <v>21</v>
      </c>
      <c r="E97" s="7"/>
    </row>
    <row r="98" spans="1:9" ht="15" x14ac:dyDescent="0.5">
      <c r="A98" t="s">
        <v>563</v>
      </c>
      <c r="B98" t="s">
        <v>72</v>
      </c>
      <c r="C98" s="406">
        <f>C91</f>
        <v>5.8333333333333326E-8</v>
      </c>
      <c r="D98" s="19" t="s">
        <v>320</v>
      </c>
    </row>
    <row r="99" spans="1:9" ht="15" x14ac:dyDescent="0.5">
      <c r="A99" t="s">
        <v>182</v>
      </c>
      <c r="B99" t="s">
        <v>73</v>
      </c>
      <c r="C99" s="5">
        <f>C93/C61</f>
        <v>119373.49692215481</v>
      </c>
      <c r="D99" t="s">
        <v>21</v>
      </c>
    </row>
    <row r="100" spans="1:9" ht="15" x14ac:dyDescent="0.5">
      <c r="A100" t="s">
        <v>183</v>
      </c>
      <c r="B100" t="s">
        <v>74</v>
      </c>
      <c r="C100" s="9">
        <f>POWER(e,-C97/C99)</f>
        <v>0.9850343908120639</v>
      </c>
    </row>
    <row r="101" spans="1:9" ht="15" x14ac:dyDescent="0.5">
      <c r="C101" s="9"/>
      <c r="E101" s="31" t="s">
        <v>22</v>
      </c>
      <c r="F101" s="27" t="s">
        <v>216</v>
      </c>
      <c r="G101" s="28"/>
    </row>
    <row r="102" spans="1:9" ht="13.15" x14ac:dyDescent="0.4">
      <c r="C102" s="89"/>
      <c r="E102" s="31"/>
      <c r="F102" s="296" t="s">
        <v>261</v>
      </c>
      <c r="G102" s="29" t="s">
        <v>267</v>
      </c>
    </row>
    <row r="103" spans="1:9" ht="15" x14ac:dyDescent="0.5">
      <c r="A103" t="s">
        <v>184</v>
      </c>
      <c r="B103" t="s">
        <v>77</v>
      </c>
      <c r="C103" s="36">
        <v>0.99</v>
      </c>
      <c r="D103" s="11" t="s">
        <v>228</v>
      </c>
      <c r="E103" s="85" t="s">
        <v>323</v>
      </c>
      <c r="F103" s="9" t="s">
        <v>265</v>
      </c>
      <c r="G103" s="33">
        <v>0.99</v>
      </c>
    </row>
    <row r="104" spans="1:9" ht="15" x14ac:dyDescent="0.5">
      <c r="A104" t="s">
        <v>185</v>
      </c>
      <c r="B104" t="s">
        <v>76</v>
      </c>
      <c r="C104" s="36">
        <v>0.995</v>
      </c>
      <c r="D104" s="11" t="s">
        <v>229</v>
      </c>
      <c r="E104" s="86" t="s">
        <v>23</v>
      </c>
      <c r="F104" s="9" t="s">
        <v>266</v>
      </c>
      <c r="G104" s="22">
        <v>0.995</v>
      </c>
    </row>
    <row r="105" spans="1:9" ht="15" x14ac:dyDescent="0.5">
      <c r="A105" t="s">
        <v>186</v>
      </c>
      <c r="B105" t="s">
        <v>78</v>
      </c>
      <c r="C105" s="36">
        <v>0.995</v>
      </c>
      <c r="D105" s="11" t="s">
        <v>230</v>
      </c>
      <c r="E105" s="86" t="s">
        <v>24</v>
      </c>
      <c r="F105" s="9" t="s">
        <v>262</v>
      </c>
      <c r="G105" s="22">
        <v>0.995</v>
      </c>
      <c r="I105" s="5"/>
    </row>
    <row r="106" spans="1:9" ht="15" x14ac:dyDescent="0.5">
      <c r="A106" t="s">
        <v>187</v>
      </c>
      <c r="B106" t="s">
        <v>79</v>
      </c>
      <c r="C106" s="36">
        <v>0.98499999999999999</v>
      </c>
      <c r="D106" s="11" t="s">
        <v>231</v>
      </c>
      <c r="E106" s="86" t="s">
        <v>25</v>
      </c>
      <c r="F106" s="9" t="s">
        <v>263</v>
      </c>
      <c r="G106" s="294">
        <v>0.98499999999999999</v>
      </c>
    </row>
    <row r="107" spans="1:9" ht="15" x14ac:dyDescent="0.5">
      <c r="A107" t="s">
        <v>188</v>
      </c>
      <c r="B107" t="s">
        <v>80</v>
      </c>
      <c r="C107" s="36">
        <v>0.98499999999999999</v>
      </c>
      <c r="D107" s="11" t="s">
        <v>232</v>
      </c>
      <c r="E107" s="86" t="s">
        <v>26</v>
      </c>
      <c r="F107" s="9" t="s">
        <v>264</v>
      </c>
      <c r="G107" s="22">
        <v>0.98499999999999999</v>
      </c>
    </row>
    <row r="108" spans="1:9" ht="15" x14ac:dyDescent="0.5">
      <c r="A108" t="s">
        <v>189</v>
      </c>
      <c r="B108" t="s">
        <v>81</v>
      </c>
      <c r="C108" s="36">
        <v>0.995</v>
      </c>
      <c r="D108" s="11" t="s">
        <v>233</v>
      </c>
      <c r="E108" s="87" t="s">
        <v>27</v>
      </c>
      <c r="F108" s="295" t="s">
        <v>254</v>
      </c>
      <c r="G108" s="34">
        <v>0.995</v>
      </c>
    </row>
    <row r="109" spans="1:9" x14ac:dyDescent="0.35">
      <c r="C109" s="9"/>
    </row>
    <row r="110" spans="1:9" ht="15" x14ac:dyDescent="0.5">
      <c r="A110" t="s">
        <v>190</v>
      </c>
      <c r="B110" t="s">
        <v>82</v>
      </c>
      <c r="C110" s="9">
        <f>C105*C106*C94*C107*C108</f>
        <v>0.92727554653200805</v>
      </c>
    </row>
    <row r="111" spans="1:9" ht="15" x14ac:dyDescent="0.5">
      <c r="A111" t="s">
        <v>191</v>
      </c>
      <c r="B111" t="s">
        <v>83</v>
      </c>
      <c r="C111" s="9">
        <f>C106*C95*C100*C107</f>
        <v>0.94066381357000628</v>
      </c>
    </row>
    <row r="112" spans="1:9" ht="15" x14ac:dyDescent="0.5">
      <c r="A112" t="s">
        <v>192</v>
      </c>
      <c r="B112" t="s">
        <v>84</v>
      </c>
      <c r="C112" s="9">
        <f>C110*C111</f>
        <v>0.87225455183101053</v>
      </c>
    </row>
    <row r="113" spans="1:14" ht="15" x14ac:dyDescent="0.5">
      <c r="A113" t="s">
        <v>204</v>
      </c>
      <c r="B113" t="s">
        <v>85</v>
      </c>
      <c r="C113" s="9">
        <f>1-C112</f>
        <v>0.12774544816898947</v>
      </c>
      <c r="E113" s="252"/>
    </row>
    <row r="114" spans="1:14" x14ac:dyDescent="0.35">
      <c r="C114" s="9"/>
    </row>
    <row r="115" spans="1:14" ht="15" x14ac:dyDescent="0.5">
      <c r="A115" t="s">
        <v>193</v>
      </c>
      <c r="B115" t="s">
        <v>86</v>
      </c>
      <c r="C115" s="9">
        <f>F128/F126</f>
        <v>0.5461538461538461</v>
      </c>
      <c r="E115" t="s">
        <v>564</v>
      </c>
    </row>
    <row r="116" spans="1:14" ht="15" x14ac:dyDescent="0.5">
      <c r="A116" t="s">
        <v>193</v>
      </c>
      <c r="B116" t="s">
        <v>86</v>
      </c>
      <c r="C116" s="35">
        <v>0.53500000000000003</v>
      </c>
      <c r="E116" s="12" t="s">
        <v>618</v>
      </c>
    </row>
    <row r="117" spans="1:14" ht="15" x14ac:dyDescent="0.5">
      <c r="A117" t="s">
        <v>193</v>
      </c>
      <c r="B117" t="s">
        <v>86</v>
      </c>
      <c r="C117" s="36">
        <f>'5.1.) System masses'!E47</f>
        <v>0.69857105075645731</v>
      </c>
      <c r="E117" s="7" t="s">
        <v>684</v>
      </c>
      <c r="H117" s="5"/>
      <c r="I117" s="5"/>
    </row>
    <row r="118" spans="1:14" ht="13.15" x14ac:dyDescent="0.4">
      <c r="C118" s="36"/>
    </row>
    <row r="119" spans="1:14" ht="13.15" x14ac:dyDescent="0.4">
      <c r="A119" s="11" t="s">
        <v>194</v>
      </c>
      <c r="B119" t="s">
        <v>195</v>
      </c>
      <c r="C119" s="35" t="s">
        <v>234</v>
      </c>
      <c r="E119" s="7" t="s">
        <v>147</v>
      </c>
    </row>
    <row r="120" spans="1:14" ht="13.15" x14ac:dyDescent="0.4">
      <c r="B120" t="s">
        <v>196</v>
      </c>
      <c r="C120" s="88" t="str">
        <f>IF(C119="yes","no","yes")</f>
        <v>no</v>
      </c>
    </row>
    <row r="121" spans="1:14" ht="15" x14ac:dyDescent="0.5">
      <c r="A121" t="s">
        <v>197</v>
      </c>
      <c r="B121" t="s">
        <v>87</v>
      </c>
      <c r="C121" s="293">
        <v>93</v>
      </c>
      <c r="D121" t="s">
        <v>28</v>
      </c>
      <c r="E121" s="31" t="s">
        <v>88</v>
      </c>
      <c r="F121" s="57"/>
      <c r="G121" s="29" t="s">
        <v>218</v>
      </c>
      <c r="H121" s="29" t="s">
        <v>219</v>
      </c>
    </row>
    <row r="122" spans="1:14" ht="15" x14ac:dyDescent="0.5">
      <c r="A122" t="s">
        <v>198</v>
      </c>
      <c r="B122" t="s">
        <v>89</v>
      </c>
      <c r="C122" s="297">
        <v>180</v>
      </c>
      <c r="E122" s="24" t="s">
        <v>87</v>
      </c>
      <c r="F122" s="1"/>
      <c r="G122" s="54">
        <v>93</v>
      </c>
      <c r="H122" s="49">
        <v>97.5</v>
      </c>
    </row>
    <row r="123" spans="1:14" ht="15" x14ac:dyDescent="0.5">
      <c r="A123" t="s">
        <v>199</v>
      </c>
      <c r="B123" t="s">
        <v>91</v>
      </c>
      <c r="C123" s="297">
        <v>1230</v>
      </c>
      <c r="D123" s="19" t="s">
        <v>28</v>
      </c>
      <c r="H123" s="12"/>
    </row>
    <row r="124" spans="1:14" ht="15" x14ac:dyDescent="0.5">
      <c r="A124" t="s">
        <v>200</v>
      </c>
      <c r="B124" t="s">
        <v>90</v>
      </c>
      <c r="C124" s="37">
        <f>C121*C122+C123</f>
        <v>17970</v>
      </c>
      <c r="D124" s="38" t="s">
        <v>28</v>
      </c>
      <c r="H124" s="12"/>
    </row>
    <row r="125" spans="1:14" ht="13.15" x14ac:dyDescent="0.4">
      <c r="C125" s="5"/>
      <c r="E125" s="372" t="s">
        <v>617</v>
      </c>
      <c r="I125" s="12"/>
    </row>
    <row r="126" spans="1:14" ht="15.4" x14ac:dyDescent="0.5">
      <c r="A126" t="s">
        <v>201</v>
      </c>
      <c r="B126" t="s">
        <v>92</v>
      </c>
      <c r="C126" s="37">
        <f>C124/(1-C113-C117)</f>
        <v>103464.05898558217</v>
      </c>
      <c r="D126" s="38" t="s">
        <v>28</v>
      </c>
      <c r="F126" s="19">
        <v>78000</v>
      </c>
      <c r="G126" s="19" t="s">
        <v>28</v>
      </c>
      <c r="H126" s="82" t="s">
        <v>289</v>
      </c>
      <c r="N126" s="407"/>
    </row>
    <row r="127" spans="1:14" ht="15.4" x14ac:dyDescent="0.5">
      <c r="A127" t="s">
        <v>202</v>
      </c>
      <c r="B127" t="s">
        <v>93</v>
      </c>
      <c r="C127" s="37">
        <f>C126*'3.) Preliminary Sizing I'!C31</f>
        <v>96428.502974562594</v>
      </c>
      <c r="D127" s="38" t="s">
        <v>683</v>
      </c>
      <c r="F127" s="19">
        <v>66000</v>
      </c>
      <c r="G127" s="19" t="s">
        <v>28</v>
      </c>
      <c r="H127" s="82" t="s">
        <v>290</v>
      </c>
      <c r="N127" s="407"/>
    </row>
    <row r="128" spans="1:14" ht="15.4" x14ac:dyDescent="0.5">
      <c r="A128" t="s">
        <v>203</v>
      </c>
      <c r="B128" t="s">
        <v>94</v>
      </c>
      <c r="C128" s="37">
        <f>C126*C117</f>
        <v>72276.996401086217</v>
      </c>
      <c r="D128" s="38" t="s">
        <v>28</v>
      </c>
      <c r="F128" s="19">
        <v>42600</v>
      </c>
      <c r="G128" s="19" t="s">
        <v>28</v>
      </c>
      <c r="N128" s="407"/>
    </row>
    <row r="129" spans="1:14" ht="15.4" x14ac:dyDescent="0.5">
      <c r="A129" t="s">
        <v>205</v>
      </c>
      <c r="B129" t="s">
        <v>107</v>
      </c>
      <c r="C129" s="37">
        <f>C126*C113</f>
        <v>13217.062584495958</v>
      </c>
      <c r="D129" s="38" t="s">
        <v>28</v>
      </c>
      <c r="F129" s="19">
        <v>21760</v>
      </c>
      <c r="G129" s="19" t="s">
        <v>565</v>
      </c>
      <c r="H129" s="109" t="s">
        <v>608</v>
      </c>
      <c r="I129" s="45">
        <f>F126/F130</f>
        <v>636.21533442088094</v>
      </c>
      <c r="J129" s="38" t="s">
        <v>6</v>
      </c>
      <c r="K129" s="7" t="s">
        <v>610</v>
      </c>
      <c r="N129" s="407"/>
    </row>
    <row r="130" spans="1:14" ht="15.4" x14ac:dyDescent="0.5">
      <c r="A130" t="s">
        <v>206</v>
      </c>
      <c r="B130" t="s">
        <v>95</v>
      </c>
      <c r="C130" s="45">
        <f>C126/C58</f>
        <v>162.64097930611047</v>
      </c>
      <c r="D130" s="38" t="s">
        <v>29</v>
      </c>
      <c r="F130" s="19">
        <v>122.6</v>
      </c>
      <c r="G130" s="19" t="s">
        <v>29</v>
      </c>
      <c r="H130" s="109" t="s">
        <v>609</v>
      </c>
      <c r="I130" s="45">
        <f>F132*'3.) Preliminary Sizing I'!C69/F126</f>
        <v>423.12820512820514</v>
      </c>
      <c r="J130" s="38" t="s">
        <v>578</v>
      </c>
      <c r="K130" s="7" t="s">
        <v>610</v>
      </c>
      <c r="N130" s="407"/>
    </row>
    <row r="131" spans="1:14" ht="15.4" x14ac:dyDescent="0.5">
      <c r="A131" s="18" t="s">
        <v>292</v>
      </c>
      <c r="B131" s="18" t="s">
        <v>566</v>
      </c>
      <c r="C131" s="298">
        <f>C126*C59</f>
        <v>29374568.416553225</v>
      </c>
      <c r="D131" s="91" t="s">
        <v>322</v>
      </c>
      <c r="E131" s="11" t="s">
        <v>607</v>
      </c>
      <c r="N131" s="407"/>
    </row>
    <row r="132" spans="1:14" ht="15.4" x14ac:dyDescent="0.5">
      <c r="A132" s="18" t="s">
        <v>291</v>
      </c>
      <c r="B132" t="s">
        <v>567</v>
      </c>
      <c r="C132" s="37">
        <f>C131/'3.) Preliminary Sizing I'!C69</f>
        <v>7343642.1041383063</v>
      </c>
      <c r="D132" s="38" t="s">
        <v>322</v>
      </c>
      <c r="E132" s="11" t="s">
        <v>215</v>
      </c>
      <c r="F132" s="12">
        <f>'3.) Preliminary Sizing I'!C49</f>
        <v>8251000</v>
      </c>
      <c r="G132" s="12" t="s">
        <v>322</v>
      </c>
      <c r="H132" s="12" t="s">
        <v>531</v>
      </c>
      <c r="N132" s="407"/>
    </row>
    <row r="133" spans="1:14" ht="15" x14ac:dyDescent="0.5">
      <c r="A133" s="18" t="s">
        <v>291</v>
      </c>
      <c r="B133" t="s">
        <v>567</v>
      </c>
      <c r="C133" s="5">
        <f>C132*0.2248</f>
        <v>1650850.7450102912</v>
      </c>
      <c r="D133" t="s">
        <v>30</v>
      </c>
      <c r="E133" s="11" t="s">
        <v>215</v>
      </c>
    </row>
    <row r="134" spans="1:14" x14ac:dyDescent="0.35">
      <c r="C134" s="5"/>
    </row>
    <row r="135" spans="1:14" ht="15" x14ac:dyDescent="0.5">
      <c r="A135" s="12" t="s">
        <v>207</v>
      </c>
      <c r="B135" t="s">
        <v>96</v>
      </c>
      <c r="C135" s="5">
        <f>C126*C113</f>
        <v>13217.062584495958</v>
      </c>
      <c r="D135" t="s">
        <v>28</v>
      </c>
      <c r="E135" s="5"/>
    </row>
    <row r="136" spans="1:14" ht="13.15" x14ac:dyDescent="0.4">
      <c r="A136" t="s">
        <v>207</v>
      </c>
      <c r="B136" t="s">
        <v>269</v>
      </c>
      <c r="C136" s="5">
        <f>C126*(1-C103*C105*C112)</f>
        <v>14566.255180692197</v>
      </c>
      <c r="D136" t="s">
        <v>28</v>
      </c>
      <c r="H136" s="11"/>
    </row>
    <row r="137" spans="1:14" ht="15" x14ac:dyDescent="0.5">
      <c r="A137" t="s">
        <v>208</v>
      </c>
      <c r="B137" s="3" t="s">
        <v>97</v>
      </c>
      <c r="C137" s="299">
        <v>830</v>
      </c>
      <c r="D137" s="43" t="s">
        <v>5</v>
      </c>
    </row>
    <row r="138" spans="1:14" ht="15" x14ac:dyDescent="0.5">
      <c r="A138" t="s">
        <v>209</v>
      </c>
      <c r="B138" t="s">
        <v>98</v>
      </c>
      <c r="C138" s="51">
        <f>C135/C137</f>
        <v>15.924171788549346</v>
      </c>
      <c r="D138" s="38" t="s">
        <v>31</v>
      </c>
      <c r="E138" t="s">
        <v>214</v>
      </c>
    </row>
    <row r="139" spans="1:14" x14ac:dyDescent="0.35">
      <c r="C139" s="9"/>
    </row>
    <row r="140" spans="1:14" ht="15" x14ac:dyDescent="0.5">
      <c r="A140" t="s">
        <v>210</v>
      </c>
      <c r="B140" t="s">
        <v>99</v>
      </c>
      <c r="C140" s="297">
        <f>C124</f>
        <v>17970</v>
      </c>
      <c r="D140" s="19" t="s">
        <v>28</v>
      </c>
    </row>
    <row r="141" spans="1:14" ht="15" x14ac:dyDescent="0.5">
      <c r="A141" t="s">
        <v>211</v>
      </c>
      <c r="B141" t="s">
        <v>100</v>
      </c>
      <c r="C141" s="5">
        <f>C128+C140</f>
        <v>90246.996401086217</v>
      </c>
      <c r="D141" t="s">
        <v>28</v>
      </c>
    </row>
    <row r="142" spans="1:14" ht="13.15" x14ac:dyDescent="0.4">
      <c r="C142" s="9"/>
      <c r="G142" s="11"/>
      <c r="H142" s="11"/>
    </row>
    <row r="143" spans="1:14" ht="15" x14ac:dyDescent="0.5">
      <c r="A143" t="s">
        <v>212</v>
      </c>
      <c r="B143" t="s">
        <v>101</v>
      </c>
      <c r="C143" s="5">
        <f>C126*(1-C111)</f>
        <v>6139.162692772371</v>
      </c>
      <c r="D143" t="s">
        <v>28</v>
      </c>
    </row>
    <row r="144" spans="1:14" x14ac:dyDescent="0.35">
      <c r="C144" s="9"/>
    </row>
    <row r="145" spans="1:7" ht="15" x14ac:dyDescent="0.5">
      <c r="A145" t="s">
        <v>213</v>
      </c>
      <c r="B145" t="s">
        <v>32</v>
      </c>
      <c r="C145" s="90" t="s">
        <v>103</v>
      </c>
      <c r="E145" s="17" t="s">
        <v>33</v>
      </c>
      <c r="F145" s="17" t="s">
        <v>270</v>
      </c>
      <c r="G145" s="11"/>
    </row>
    <row r="146" spans="1:7" x14ac:dyDescent="0.35">
      <c r="C146" s="5">
        <f>C127</f>
        <v>96428.502974562594</v>
      </c>
      <c r="D146" t="s">
        <v>28</v>
      </c>
      <c r="E146" s="17" t="s">
        <v>33</v>
      </c>
      <c r="F146" s="5">
        <f>C128+C140+C143</f>
        <v>96386.159093858587</v>
      </c>
      <c r="G146" t="s">
        <v>28</v>
      </c>
    </row>
    <row r="147" spans="1:7" ht="13.15" x14ac:dyDescent="0.4">
      <c r="E147" s="55" t="str">
        <f>IF(C127&gt;C141+C143, "yes","no")</f>
        <v>yes</v>
      </c>
    </row>
    <row r="148" spans="1:7" x14ac:dyDescent="0.35">
      <c r="C148" s="5"/>
      <c r="E148" s="56" t="str">
        <f>IF(E147="yes","Aircraft sizing finished!","Increase value mML/mMTO in table '1.) Preliminary Sizing I' !")</f>
        <v>Aircraft sizing finished!</v>
      </c>
    </row>
    <row r="150" spans="1:7" x14ac:dyDescent="0.35">
      <c r="B150" s="5"/>
    </row>
  </sheetData>
  <phoneticPr fontId="5" type="noConversion"/>
  <dataValidations disablePrompts="1" count="1">
    <dataValidation type="list" allowBlank="1" showInputMessage="1" showErrorMessage="1" sqref="C86 C119" xr:uid="{00000000-0002-0000-0500-000000000000}">
      <formula1>"yes, no"</formula1>
    </dataValidation>
  </dataValidations>
  <pageMargins left="0.75" right="0.5" top="0.77" bottom="0.74" header="0.4921259845" footer="0.4921259845"/>
  <pageSetup paperSize="9" scale="85" orientation="landscape" horizontalDpi="300" verticalDpi="300" r:id="rId1"/>
  <headerFooter alignWithMargins="0">
    <oddHeader>&amp;A</oddHeader>
    <oddFooter>Seite &amp;P</oddFooter>
  </headerFooter>
  <rowBreaks count="2" manualBreakCount="2">
    <brk id="57" max="16383" man="1"/>
    <brk id="109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58"/>
  <sheetViews>
    <sheetView zoomScaleNormal="100" workbookViewId="0">
      <selection activeCell="A2" sqref="A2"/>
    </sheetView>
  </sheetViews>
  <sheetFormatPr baseColWidth="10" defaultColWidth="10.9296875" defaultRowHeight="12.75" x14ac:dyDescent="0.35"/>
  <cols>
    <col min="1" max="1" width="19.06640625" style="408" customWidth="1"/>
    <col min="2" max="2" width="12.33203125" style="408" customWidth="1"/>
    <col min="3" max="3" width="8.796875" style="408" customWidth="1"/>
    <col min="4" max="4" width="9.265625" style="408" customWidth="1"/>
    <col min="5" max="5" width="12.9296875" style="408" customWidth="1"/>
    <col min="6" max="6" width="11.06640625" style="408" customWidth="1"/>
    <col min="7" max="7" width="9.73046875" style="408" customWidth="1"/>
    <col min="8" max="10" width="10.9296875" style="408"/>
    <col min="11" max="11" width="12.33203125" style="408" bestFit="1" customWidth="1"/>
    <col min="12" max="16384" width="10.9296875" style="408"/>
  </cols>
  <sheetData>
    <row r="1" spans="1:7" s="410" customFormat="1" ht="15.5" customHeight="1" x14ac:dyDescent="0.35">
      <c r="A1" s="446" t="s">
        <v>690</v>
      </c>
      <c r="B1" s="446"/>
      <c r="C1" s="408"/>
      <c r="D1" s="409" t="s">
        <v>691</v>
      </c>
      <c r="E1" s="409"/>
      <c r="F1" s="409"/>
      <c r="G1" s="409"/>
    </row>
    <row r="2" spans="1:7" s="410" customFormat="1" ht="15.5" customHeight="1" x14ac:dyDescent="0.35">
      <c r="A2" s="408"/>
      <c r="B2" s="408"/>
      <c r="C2" s="408"/>
      <c r="D2" s="408"/>
      <c r="E2" s="411"/>
      <c r="F2" s="410" t="s">
        <v>692</v>
      </c>
      <c r="G2" s="412" t="s">
        <v>693</v>
      </c>
    </row>
    <row r="3" spans="1:7" s="410" customFormat="1" ht="15.5" customHeight="1" x14ac:dyDescent="0.35">
      <c r="A3" s="413" t="s">
        <v>686</v>
      </c>
      <c r="B3" s="414" t="s">
        <v>694</v>
      </c>
      <c r="C3" s="408"/>
      <c r="D3" s="415">
        <f>E51-F8</f>
        <v>1.0000003385357559E-5</v>
      </c>
      <c r="E3" s="411"/>
      <c r="F3" s="410" t="s">
        <v>695</v>
      </c>
      <c r="G3" s="412">
        <v>1.0000000000000001E-5</v>
      </c>
    </row>
    <row r="4" spans="1:7" s="410" customFormat="1" ht="15.5" customHeight="1" x14ac:dyDescent="0.35">
      <c r="A4" s="416" t="s">
        <v>687</v>
      </c>
      <c r="F4" s="410" t="s">
        <v>696</v>
      </c>
      <c r="G4" s="417" t="s">
        <v>697</v>
      </c>
    </row>
    <row r="5" spans="1:7" s="410" customFormat="1" ht="15.5" customHeight="1" x14ac:dyDescent="0.35">
      <c r="F5" s="418"/>
      <c r="G5" s="411"/>
    </row>
    <row r="6" spans="1:7" ht="15.5" customHeight="1" x14ac:dyDescent="0.35">
      <c r="A6" s="419" t="s">
        <v>728</v>
      </c>
      <c r="E6" s="420" t="s">
        <v>688</v>
      </c>
    </row>
    <row r="7" spans="1:7" ht="15.5" customHeight="1" x14ac:dyDescent="0.35"/>
    <row r="8" spans="1:7" ht="15.5" customHeight="1" x14ac:dyDescent="0.35">
      <c r="A8" s="410" t="s">
        <v>92</v>
      </c>
      <c r="B8" s="421">
        <v>65199.937805395915</v>
      </c>
      <c r="C8" s="410" t="s">
        <v>28</v>
      </c>
      <c r="E8" s="410" t="s">
        <v>713</v>
      </c>
      <c r="F8" s="421">
        <v>103464.05892800614</v>
      </c>
      <c r="G8" s="410" t="s">
        <v>28</v>
      </c>
    </row>
    <row r="9" spans="1:7" ht="15.5" customHeight="1" x14ac:dyDescent="0.35">
      <c r="A9" s="410" t="s">
        <v>701</v>
      </c>
      <c r="B9" s="421">
        <v>18510.969438058732</v>
      </c>
      <c r="C9" s="410" t="s">
        <v>657</v>
      </c>
      <c r="E9" s="410" t="s">
        <v>714</v>
      </c>
      <c r="F9" s="421">
        <f>F8*B13</f>
        <v>29374.568400206765</v>
      </c>
      <c r="G9" s="410" t="s">
        <v>657</v>
      </c>
    </row>
    <row r="10" spans="1:7" ht="15.5" customHeight="1" x14ac:dyDescent="0.35">
      <c r="A10" s="410" t="s">
        <v>698</v>
      </c>
      <c r="B10" s="421">
        <v>102.48092788386589</v>
      </c>
      <c r="C10" s="410" t="s">
        <v>702</v>
      </c>
      <c r="E10" s="410" t="s">
        <v>715</v>
      </c>
      <c r="F10" s="421">
        <f>F8/B12</f>
        <v>162.62427723812246</v>
      </c>
      <c r="G10" s="410" t="s">
        <v>702</v>
      </c>
    </row>
    <row r="11" spans="1:7" ht="15.5" customHeight="1" x14ac:dyDescent="0.35">
      <c r="A11" s="410" t="s">
        <v>699</v>
      </c>
      <c r="B11" s="421">
        <v>4.1527001862197395</v>
      </c>
      <c r="C11" s="410" t="s">
        <v>656</v>
      </c>
      <c r="E11" s="410" t="s">
        <v>716</v>
      </c>
      <c r="F11" s="408">
        <v>1</v>
      </c>
      <c r="G11" s="410" t="s">
        <v>656</v>
      </c>
    </row>
    <row r="12" spans="1:7" ht="15.5" customHeight="1" x14ac:dyDescent="0.35">
      <c r="A12" s="410" t="s">
        <v>587</v>
      </c>
      <c r="B12" s="421">
        <f>B8/B10</f>
        <v>636.21533442088094</v>
      </c>
      <c r="C12" s="410" t="s">
        <v>703</v>
      </c>
    </row>
    <row r="13" spans="1:7" ht="15.5" customHeight="1" x14ac:dyDescent="0.35">
      <c r="A13" s="410" t="s">
        <v>700</v>
      </c>
      <c r="B13" s="421">
        <f>B9/B8</f>
        <v>0.28391084502732106</v>
      </c>
      <c r="C13" s="410" t="s">
        <v>656</v>
      </c>
    </row>
    <row r="14" spans="1:7" ht="15.5" customHeight="1" x14ac:dyDescent="0.35"/>
    <row r="15" spans="1:7" ht="15.5" customHeight="1" x14ac:dyDescent="0.35"/>
    <row r="16" spans="1:7" ht="15.5" customHeight="1" x14ac:dyDescent="0.35">
      <c r="A16" s="420" t="s">
        <v>685</v>
      </c>
      <c r="B16" s="422" t="s">
        <v>704</v>
      </c>
      <c r="C16" s="447" t="s">
        <v>705</v>
      </c>
      <c r="D16" s="447"/>
      <c r="E16" s="423" t="s">
        <v>712</v>
      </c>
      <c r="F16" s="422" t="s">
        <v>717</v>
      </c>
      <c r="G16" s="422" t="s">
        <v>718</v>
      </c>
    </row>
    <row r="17" spans="1:9" ht="15.5" customHeight="1" x14ac:dyDescent="0.35">
      <c r="A17" s="408" t="s">
        <v>389</v>
      </c>
      <c r="B17" s="424">
        <v>9053.8567121530232</v>
      </c>
      <c r="E17" s="425">
        <f>B17</f>
        <v>9053.8567121530232</v>
      </c>
      <c r="F17" s="426">
        <f t="shared" ref="F17:F42" si="0">E17-B17</f>
        <v>0</v>
      </c>
      <c r="G17" s="408">
        <f t="shared" ref="G17:G24" si="1">F17/B17*100</f>
        <v>0</v>
      </c>
      <c r="I17" s="421"/>
    </row>
    <row r="18" spans="1:9" ht="15.5" customHeight="1" x14ac:dyDescent="0.35">
      <c r="A18" s="408" t="s">
        <v>405</v>
      </c>
      <c r="B18" s="427">
        <v>8944.1042507598304</v>
      </c>
      <c r="C18" s="428">
        <f>B18/B10</f>
        <v>87.275793022634687</v>
      </c>
      <c r="D18" s="410" t="s">
        <v>706</v>
      </c>
      <c r="E18" s="425">
        <f>F10*C18</f>
        <v>14193.162760689936</v>
      </c>
      <c r="F18" s="426">
        <f t="shared" si="0"/>
        <v>5249.0585099301061</v>
      </c>
      <c r="G18" s="428">
        <f t="shared" si="1"/>
        <v>58.68735831745456</v>
      </c>
      <c r="I18" s="421"/>
    </row>
    <row r="19" spans="1:9" ht="15.5" customHeight="1" x14ac:dyDescent="0.35">
      <c r="A19" s="408" t="s">
        <v>658</v>
      </c>
      <c r="B19" s="427">
        <v>756.80882121813954</v>
      </c>
      <c r="C19" s="428">
        <f>B19/B18</f>
        <v>8.461538461538462E-2</v>
      </c>
      <c r="D19" s="410" t="s">
        <v>707</v>
      </c>
      <c r="E19" s="425">
        <f>C19*E18</f>
        <v>1200.9599259045331</v>
      </c>
      <c r="F19" s="426">
        <f t="shared" si="0"/>
        <v>444.15110468639352</v>
      </c>
      <c r="G19" s="428">
        <f t="shared" si="1"/>
        <v>58.687358317454539</v>
      </c>
      <c r="I19" s="421"/>
    </row>
    <row r="20" spans="1:9" ht="15.5" customHeight="1" x14ac:dyDescent="0.35">
      <c r="A20" s="408" t="s">
        <v>659</v>
      </c>
      <c r="B20" s="427">
        <v>481.60561350245246</v>
      </c>
      <c r="C20" s="428">
        <f>B20/B18</f>
        <v>5.3846153846153849E-2</v>
      </c>
      <c r="D20" s="410" t="s">
        <v>708</v>
      </c>
      <c r="E20" s="425">
        <f>C20*E18</f>
        <v>764.24722557561199</v>
      </c>
      <c r="F20" s="426">
        <f t="shared" si="0"/>
        <v>282.64161207315954</v>
      </c>
      <c r="G20" s="428">
        <f t="shared" si="1"/>
        <v>58.687358317454553</v>
      </c>
      <c r="I20" s="421"/>
    </row>
    <row r="21" spans="1:9" ht="15.5" customHeight="1" x14ac:dyDescent="0.35">
      <c r="A21" s="408" t="s">
        <v>660</v>
      </c>
      <c r="B21" s="427">
        <v>550.40641543137417</v>
      </c>
      <c r="C21" s="428">
        <f>B21/B8</f>
        <v>8.4418242402958671E-3</v>
      </c>
      <c r="D21" s="410" t="s">
        <v>709</v>
      </c>
      <c r="E21" s="425">
        <f>C21*F8</f>
        <v>873.42540065784226</v>
      </c>
      <c r="F21" s="426">
        <f t="shared" si="0"/>
        <v>323.01898522646809</v>
      </c>
      <c r="G21" s="428">
        <f t="shared" si="1"/>
        <v>58.68735831745456</v>
      </c>
      <c r="I21" s="421"/>
    </row>
    <row r="22" spans="1:9" ht="15.5" customHeight="1" x14ac:dyDescent="0.35">
      <c r="A22" s="408" t="s">
        <v>661</v>
      </c>
      <c r="B22" s="427">
        <v>240.80280675122623</v>
      </c>
      <c r="C22" s="428">
        <f>B22/B8</f>
        <v>3.6932981051294423E-3</v>
      </c>
      <c r="D22" s="410" t="s">
        <v>710</v>
      </c>
      <c r="E22" s="425">
        <f>C22*F8</f>
        <v>382.12361278780605</v>
      </c>
      <c r="F22" s="426">
        <f t="shared" si="0"/>
        <v>141.32080603657982</v>
      </c>
      <c r="G22" s="428">
        <f t="shared" si="1"/>
        <v>58.687358317454574</v>
      </c>
      <c r="I22" s="421"/>
    </row>
    <row r="23" spans="1:9" ht="15.5" customHeight="1" x14ac:dyDescent="0.35">
      <c r="A23" s="408" t="s">
        <v>662</v>
      </c>
      <c r="B23" s="427">
        <v>3440.0400964460882</v>
      </c>
      <c r="C23" s="428">
        <f>B23/B8</f>
        <v>5.2761401501849166E-2</v>
      </c>
      <c r="D23" s="410" t="s">
        <v>711</v>
      </c>
      <c r="E23" s="425">
        <f>F8*C23</f>
        <v>5458.9087541115141</v>
      </c>
      <c r="F23" s="426">
        <f t="shared" si="0"/>
        <v>2018.8686576654259</v>
      </c>
      <c r="G23" s="428">
        <f t="shared" si="1"/>
        <v>58.687358317454574</v>
      </c>
      <c r="I23" s="421"/>
    </row>
    <row r="24" spans="1:9" ht="15.5" customHeight="1" x14ac:dyDescent="0.35">
      <c r="A24" s="408" t="s">
        <v>406</v>
      </c>
      <c r="B24" s="427">
        <v>4457.5742548150392</v>
      </c>
      <c r="C24" s="417" t="s">
        <v>729</v>
      </c>
      <c r="D24" s="410" t="s">
        <v>730</v>
      </c>
      <c r="E24" s="425">
        <f>F9/F11</f>
        <v>29374.568400206765</v>
      </c>
      <c r="F24" s="426">
        <f t="shared" si="0"/>
        <v>24916.994145391727</v>
      </c>
      <c r="G24" s="428">
        <f t="shared" si="1"/>
        <v>558.9810224356122</v>
      </c>
      <c r="I24" s="421"/>
    </row>
    <row r="25" spans="1:9" ht="15.5" customHeight="1" x14ac:dyDescent="0.35">
      <c r="A25" s="408" t="s">
        <v>663</v>
      </c>
      <c r="B25" s="424">
        <v>0</v>
      </c>
      <c r="E25" s="425">
        <f>B25</f>
        <v>0</v>
      </c>
      <c r="F25" s="426">
        <f t="shared" si="0"/>
        <v>0</v>
      </c>
      <c r="G25" s="428"/>
      <c r="I25" s="421"/>
    </row>
    <row r="26" spans="1:9" ht="15.5" customHeight="1" x14ac:dyDescent="0.35">
      <c r="A26" s="408" t="s">
        <v>664</v>
      </c>
      <c r="B26" s="424">
        <v>205.76947073075053</v>
      </c>
      <c r="E26" s="425">
        <f t="shared" ref="E26:E40" si="2">B26</f>
        <v>205.76947073075053</v>
      </c>
      <c r="F26" s="426">
        <f t="shared" si="0"/>
        <v>0</v>
      </c>
      <c r="G26" s="408">
        <f t="shared" ref="G26:G42" si="3">F26/B26*100</f>
        <v>0</v>
      </c>
      <c r="I26" s="421"/>
    </row>
    <row r="27" spans="1:9" ht="15.5" customHeight="1" x14ac:dyDescent="0.35">
      <c r="A27" s="408" t="s">
        <v>665</v>
      </c>
      <c r="B27" s="424">
        <v>535.00062389995139</v>
      </c>
      <c r="E27" s="425">
        <f t="shared" si="2"/>
        <v>535.00062389995139</v>
      </c>
      <c r="F27" s="426">
        <f t="shared" si="0"/>
        <v>0</v>
      </c>
      <c r="G27" s="408">
        <f t="shared" si="3"/>
        <v>0</v>
      </c>
      <c r="I27" s="421"/>
    </row>
    <row r="28" spans="1:9" ht="15.5" customHeight="1" x14ac:dyDescent="0.35">
      <c r="A28" s="408" t="s">
        <v>666</v>
      </c>
      <c r="B28" s="424">
        <v>288.07725902305077</v>
      </c>
      <c r="E28" s="425">
        <f t="shared" si="2"/>
        <v>288.07725902305077</v>
      </c>
      <c r="F28" s="426">
        <f t="shared" si="0"/>
        <v>0</v>
      </c>
      <c r="G28" s="408">
        <f t="shared" si="3"/>
        <v>0</v>
      </c>
      <c r="I28" s="421"/>
    </row>
    <row r="29" spans="1:9" ht="15.5" customHeight="1" x14ac:dyDescent="0.35">
      <c r="A29" s="408" t="s">
        <v>667</v>
      </c>
      <c r="B29" s="424">
        <v>82.307788292300216</v>
      </c>
      <c r="E29" s="425">
        <f t="shared" si="2"/>
        <v>82.307788292300216</v>
      </c>
      <c r="F29" s="426">
        <f t="shared" si="0"/>
        <v>0</v>
      </c>
      <c r="G29" s="408">
        <f t="shared" si="3"/>
        <v>0</v>
      </c>
      <c r="I29" s="421"/>
    </row>
    <row r="30" spans="1:9" ht="15.5" customHeight="1" x14ac:dyDescent="0.35">
      <c r="A30" s="408" t="s">
        <v>668</v>
      </c>
      <c r="B30" s="424">
        <v>1234.6168243845032</v>
      </c>
      <c r="E30" s="425">
        <f t="shared" si="2"/>
        <v>1234.6168243845032</v>
      </c>
      <c r="F30" s="426">
        <f t="shared" si="0"/>
        <v>0</v>
      </c>
      <c r="G30" s="408">
        <f t="shared" si="3"/>
        <v>0</v>
      </c>
      <c r="I30" s="421"/>
    </row>
    <row r="31" spans="1:9" ht="15.5" customHeight="1" x14ac:dyDescent="0.35">
      <c r="A31" s="408" t="s">
        <v>669</v>
      </c>
      <c r="B31" s="424">
        <v>658.46230633840173</v>
      </c>
      <c r="E31" s="425">
        <f t="shared" si="2"/>
        <v>658.46230633840173</v>
      </c>
      <c r="F31" s="426">
        <f t="shared" si="0"/>
        <v>0</v>
      </c>
      <c r="G31" s="408">
        <f t="shared" si="3"/>
        <v>0</v>
      </c>
      <c r="I31" s="421"/>
    </row>
    <row r="32" spans="1:9" ht="15.5" customHeight="1" x14ac:dyDescent="0.35">
      <c r="A32" s="408" t="s">
        <v>670</v>
      </c>
      <c r="B32" s="424">
        <v>823.07788292300211</v>
      </c>
      <c r="E32" s="425">
        <f t="shared" si="2"/>
        <v>823.07788292300211</v>
      </c>
      <c r="F32" s="426">
        <f t="shared" si="0"/>
        <v>0</v>
      </c>
      <c r="G32" s="408">
        <f t="shared" si="3"/>
        <v>0</v>
      </c>
      <c r="I32" s="421"/>
    </row>
    <row r="33" spans="1:9" ht="15.5" customHeight="1" x14ac:dyDescent="0.35">
      <c r="A33" s="408" t="s">
        <v>671</v>
      </c>
      <c r="B33" s="424">
        <v>288.07725902305077</v>
      </c>
      <c r="E33" s="425">
        <f t="shared" si="2"/>
        <v>288.07725902305077</v>
      </c>
      <c r="F33" s="426">
        <f t="shared" si="0"/>
        <v>0</v>
      </c>
      <c r="G33" s="408">
        <f t="shared" si="3"/>
        <v>0</v>
      </c>
      <c r="I33" s="421"/>
    </row>
    <row r="34" spans="1:9" ht="15.5" customHeight="1" x14ac:dyDescent="0.35">
      <c r="A34" s="408" t="s">
        <v>672</v>
      </c>
      <c r="B34" s="424">
        <v>205.76947073075053</v>
      </c>
      <c r="E34" s="425">
        <f t="shared" si="2"/>
        <v>205.76947073075053</v>
      </c>
      <c r="F34" s="426">
        <f t="shared" si="0"/>
        <v>0</v>
      </c>
      <c r="G34" s="408">
        <f t="shared" si="3"/>
        <v>0</v>
      </c>
      <c r="I34" s="421"/>
    </row>
    <row r="35" spans="1:9" ht="15.5" customHeight="1" x14ac:dyDescent="0.35">
      <c r="A35" s="408" t="s">
        <v>673</v>
      </c>
      <c r="B35" s="424">
        <v>576.15451804610154</v>
      </c>
      <c r="E35" s="425">
        <f t="shared" si="2"/>
        <v>576.15451804610154</v>
      </c>
      <c r="F35" s="426">
        <f t="shared" si="0"/>
        <v>0</v>
      </c>
      <c r="G35" s="408">
        <f t="shared" si="3"/>
        <v>0</v>
      </c>
      <c r="I35" s="421"/>
    </row>
    <row r="36" spans="1:9" ht="15.5" customHeight="1" x14ac:dyDescent="0.35">
      <c r="A36" s="408" t="s">
        <v>674</v>
      </c>
      <c r="B36" s="424">
        <v>205.76947073075053</v>
      </c>
      <c r="E36" s="425">
        <f t="shared" si="2"/>
        <v>205.76947073075053</v>
      </c>
      <c r="F36" s="426">
        <f t="shared" si="0"/>
        <v>0</v>
      </c>
      <c r="G36" s="408">
        <f t="shared" si="3"/>
        <v>0</v>
      </c>
      <c r="I36" s="421"/>
    </row>
    <row r="37" spans="1:9" ht="15.5" customHeight="1" x14ac:dyDescent="0.35">
      <c r="A37" s="408" t="s">
        <v>675</v>
      </c>
      <c r="B37" s="424">
        <v>4115.3894146150105</v>
      </c>
      <c r="E37" s="425">
        <f t="shared" si="2"/>
        <v>4115.3894146150105</v>
      </c>
      <c r="F37" s="426">
        <f t="shared" si="0"/>
        <v>0</v>
      </c>
      <c r="G37" s="408">
        <f t="shared" si="3"/>
        <v>0</v>
      </c>
      <c r="I37" s="421"/>
    </row>
    <row r="38" spans="1:9" ht="15.5" customHeight="1" x14ac:dyDescent="0.35">
      <c r="A38" s="408" t="s">
        <v>676</v>
      </c>
      <c r="B38" s="424">
        <v>205.76947073075053</v>
      </c>
      <c r="E38" s="425">
        <f t="shared" si="2"/>
        <v>205.76947073075053</v>
      </c>
      <c r="F38" s="426">
        <f t="shared" si="0"/>
        <v>0</v>
      </c>
      <c r="G38" s="408">
        <f t="shared" si="3"/>
        <v>0</v>
      </c>
      <c r="I38" s="421"/>
    </row>
    <row r="39" spans="1:9" ht="15.5" customHeight="1" x14ac:dyDescent="0.35">
      <c r="A39" s="408" t="s">
        <v>677</v>
      </c>
      <c r="B39" s="424">
        <v>8.2307788292300224</v>
      </c>
      <c r="E39" s="425">
        <f t="shared" si="2"/>
        <v>8.2307788292300224</v>
      </c>
      <c r="F39" s="426">
        <f t="shared" si="0"/>
        <v>0</v>
      </c>
      <c r="G39" s="408">
        <f t="shared" si="3"/>
        <v>0</v>
      </c>
      <c r="I39" s="421"/>
    </row>
    <row r="40" spans="1:9" ht="15.5" customHeight="1" x14ac:dyDescent="0.35">
      <c r="A40" s="408" t="s">
        <v>678</v>
      </c>
      <c r="B40" s="424">
        <v>617.30841219225158</v>
      </c>
      <c r="E40" s="425">
        <f t="shared" si="2"/>
        <v>617.30841219225158</v>
      </c>
      <c r="F40" s="426">
        <f t="shared" si="0"/>
        <v>0</v>
      </c>
      <c r="G40" s="408">
        <f t="shared" si="3"/>
        <v>0</v>
      </c>
      <c r="I40" s="421"/>
    </row>
    <row r="41" spans="1:9" ht="15.5" customHeight="1" x14ac:dyDescent="0.35">
      <c r="A41" s="408" t="s">
        <v>679</v>
      </c>
      <c r="B41" s="426">
        <v>34485.340088809469</v>
      </c>
      <c r="C41" s="426"/>
      <c r="D41" s="426"/>
      <c r="E41" s="425">
        <f>SUM(E17:E40)</f>
        <v>71351.033742576881</v>
      </c>
      <c r="F41" s="426">
        <f t="shared" si="0"/>
        <v>36865.693653767412</v>
      </c>
      <c r="G41" s="428">
        <f t="shared" si="3"/>
        <v>106.9025085988071</v>
      </c>
      <c r="I41" s="421"/>
    </row>
    <row r="42" spans="1:9" ht="15.5" customHeight="1" x14ac:dyDescent="0.35">
      <c r="A42" s="422" t="s">
        <v>720</v>
      </c>
      <c r="B42" s="429">
        <v>0.56349308456000313</v>
      </c>
      <c r="C42" s="429"/>
      <c r="D42" s="429"/>
      <c r="E42" s="430">
        <f>E41/F8</f>
        <v>0.68962144421789395</v>
      </c>
      <c r="F42" s="429">
        <f t="shared" si="0"/>
        <v>0.12612835965789082</v>
      </c>
      <c r="G42" s="429">
        <f t="shared" si="3"/>
        <v>22.383302140500383</v>
      </c>
      <c r="I42" s="421"/>
    </row>
    <row r="43" spans="1:9" ht="15.5" customHeight="1" x14ac:dyDescent="0.35">
      <c r="B43" s="421"/>
      <c r="E43" s="431"/>
      <c r="F43" s="426"/>
      <c r="G43" s="428"/>
      <c r="I43" s="421"/>
    </row>
    <row r="44" spans="1:9" ht="15.5" customHeight="1" x14ac:dyDescent="0.35">
      <c r="A44" s="408" t="s">
        <v>680</v>
      </c>
      <c r="B44" s="424">
        <v>411.53894146150105</v>
      </c>
      <c r="E44" s="425">
        <f>B44</f>
        <v>411.53894146150105</v>
      </c>
      <c r="F44" s="426">
        <f>E44-B44</f>
        <v>0</v>
      </c>
      <c r="G44" s="426">
        <f t="shared" ref="G44:G51" si="4">F44/B44*100</f>
        <v>0</v>
      </c>
      <c r="I44" s="421"/>
    </row>
    <row r="45" spans="1:9" ht="15.5" customHeight="1" x14ac:dyDescent="0.35">
      <c r="A45" s="408" t="s">
        <v>681</v>
      </c>
      <c r="B45" s="424">
        <v>514.42367682687632</v>
      </c>
      <c r="E45" s="425">
        <f>B45</f>
        <v>514.42367682687632</v>
      </c>
      <c r="F45" s="426">
        <f>E45-B45</f>
        <v>0</v>
      </c>
      <c r="G45" s="426">
        <f t="shared" si="4"/>
        <v>0</v>
      </c>
      <c r="I45" s="421"/>
    </row>
    <row r="46" spans="1:9" ht="15.5" customHeight="1" x14ac:dyDescent="0.35">
      <c r="A46" s="408" t="s">
        <v>679</v>
      </c>
      <c r="B46" s="426">
        <v>35411.30270709785</v>
      </c>
      <c r="C46" s="426"/>
      <c r="D46" s="426"/>
      <c r="E46" s="425">
        <f>SUM(E44:E45)+E41</f>
        <v>72276.996360865262</v>
      </c>
      <c r="F46" s="426">
        <f>E46-B46</f>
        <v>36865.693653767412</v>
      </c>
      <c r="G46" s="428">
        <f t="shared" si="4"/>
        <v>104.10713765234635</v>
      </c>
      <c r="I46" s="421"/>
    </row>
    <row r="47" spans="1:9" ht="15.5" customHeight="1" x14ac:dyDescent="0.35">
      <c r="A47" s="422" t="s">
        <v>721</v>
      </c>
      <c r="B47" s="429">
        <v>0.57862338429382809</v>
      </c>
      <c r="C47" s="432"/>
      <c r="D47" s="432"/>
      <c r="E47" s="430">
        <f>E46/$F8</f>
        <v>0.69857105075645731</v>
      </c>
      <c r="F47" s="429">
        <f>E47-B47</f>
        <v>0.11994766646262922</v>
      </c>
      <c r="G47" s="429">
        <f t="shared" si="4"/>
        <v>20.72983389861049</v>
      </c>
      <c r="I47" s="421"/>
    </row>
    <row r="48" spans="1:9" ht="15.5" customHeight="1" x14ac:dyDescent="0.35">
      <c r="B48" s="421"/>
      <c r="C48" s="421"/>
      <c r="D48" s="421"/>
      <c r="E48" s="433"/>
      <c r="F48" s="426"/>
      <c r="G48" s="428"/>
      <c r="I48" s="421"/>
    </row>
    <row r="49" spans="1:9" ht="15.5" customHeight="1" x14ac:dyDescent="0.35">
      <c r="A49" s="408" t="s">
        <v>200</v>
      </c>
      <c r="B49" s="434">
        <v>17970</v>
      </c>
      <c r="E49" s="425">
        <v>17970</v>
      </c>
      <c r="F49" s="426">
        <f>E49-B49</f>
        <v>0</v>
      </c>
      <c r="G49" s="426">
        <f t="shared" si="4"/>
        <v>0</v>
      </c>
      <c r="I49" s="421"/>
    </row>
    <row r="50" spans="1:9" ht="15.5" customHeight="1" x14ac:dyDescent="0.35">
      <c r="A50" s="408" t="s">
        <v>682</v>
      </c>
      <c r="B50" s="435">
        <v>7817.9224299528823</v>
      </c>
      <c r="E50" s="425">
        <f>'5.) Preliminary Sizing II'!C113*F8</f>
        <v>13217.062577140881</v>
      </c>
      <c r="F50" s="426">
        <f>E50-B50</f>
        <v>5399.140147187999</v>
      </c>
      <c r="G50" s="428">
        <f t="shared" si="4"/>
        <v>69.061060602267176</v>
      </c>
      <c r="I50" s="421"/>
    </row>
    <row r="51" spans="1:9" ht="15.5" customHeight="1" x14ac:dyDescent="0.35">
      <c r="A51" s="420" t="s">
        <v>679</v>
      </c>
      <c r="B51" s="436">
        <v>61199.225137050729</v>
      </c>
      <c r="C51" s="436"/>
      <c r="D51" s="436"/>
      <c r="E51" s="437">
        <f>E46+SUM(E49:E50)</f>
        <v>103464.05893800614</v>
      </c>
      <c r="F51" s="436">
        <f>E51-B51</f>
        <v>42264.833800955414</v>
      </c>
      <c r="G51" s="429">
        <f t="shared" si="4"/>
        <v>69.061060342360108</v>
      </c>
      <c r="I51" s="421"/>
    </row>
    <row r="52" spans="1:9" ht="15.5" customHeight="1" x14ac:dyDescent="0.35">
      <c r="A52" s="410" t="s">
        <v>719</v>
      </c>
      <c r="B52" s="428">
        <v>1.0000000016340083</v>
      </c>
      <c r="C52" s="428"/>
      <c r="D52" s="428"/>
      <c r="E52" s="438">
        <f>E51/F8</f>
        <v>1.000000000096652</v>
      </c>
      <c r="F52" s="428">
        <f>E52-B52</f>
        <v>-1.537356242309329E-9</v>
      </c>
      <c r="G52" s="428"/>
    </row>
    <row r="53" spans="1:9" ht="15.5" customHeight="1" x14ac:dyDescent="0.35"/>
    <row r="54" spans="1:9" ht="15.5" customHeight="1" x14ac:dyDescent="0.35"/>
    <row r="55" spans="1:9" ht="15.5" customHeight="1" x14ac:dyDescent="0.35"/>
    <row r="56" spans="1:9" ht="15.5" customHeight="1" x14ac:dyDescent="0.35"/>
    <row r="57" spans="1:9" ht="15.5" customHeight="1" x14ac:dyDescent="0.35"/>
    <row r="58" spans="1:9" ht="15.5" customHeight="1" x14ac:dyDescent="0.35"/>
  </sheetData>
  <mergeCells count="2">
    <mergeCell ref="A1:B1"/>
    <mergeCell ref="C16:D16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baseColWidth="10" defaultColWidth="11.46484375" defaultRowHeight="12.75" x14ac:dyDescent="0.3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baseColWidth="10" defaultColWidth="11.46484375" defaultRowHeight="12.75" x14ac:dyDescent="0.3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6" baseType="variant">
      <vt:variant>
        <vt:lpstr>Arbeitsblätter</vt:lpstr>
      </vt:variant>
      <vt:variant>
        <vt:i4>22</vt:i4>
      </vt:variant>
      <vt:variant>
        <vt:lpstr>Diagramme</vt:lpstr>
      </vt:variant>
      <vt:variant>
        <vt:i4>1</vt:i4>
      </vt:variant>
      <vt:variant>
        <vt:lpstr>Benannte Bereiche</vt:lpstr>
      </vt:variant>
      <vt:variant>
        <vt:i4>20</vt:i4>
      </vt:variant>
    </vt:vector>
  </HeadingPairs>
  <TitlesOfParts>
    <vt:vector size="43" baseType="lpstr">
      <vt:lpstr>Abstract</vt:lpstr>
      <vt:lpstr>1.) Parameters-Overview</vt:lpstr>
      <vt:lpstr>2.) Parameters-Statistics</vt:lpstr>
      <vt:lpstr>3.) Preliminary Sizing I</vt:lpstr>
      <vt:lpstr>4.) Max. Glide Ratio in Cruise</vt:lpstr>
      <vt:lpstr>5.) Preliminary Sizing II</vt:lpstr>
      <vt:lpstr>5.1.) System masses</vt:lpstr>
      <vt:lpstr>Tabelle5</vt:lpstr>
      <vt:lpstr>Tabelle6</vt:lpstr>
      <vt:lpstr>Tabelle7</vt:lpstr>
      <vt:lpstr>Tabelle8</vt:lpstr>
      <vt:lpstr>Tabelle9</vt:lpstr>
      <vt:lpstr>Tabelle10</vt:lpstr>
      <vt:lpstr>Tabelle11</vt:lpstr>
      <vt:lpstr>Tabelle12</vt:lpstr>
      <vt:lpstr>Tabelle13</vt:lpstr>
      <vt:lpstr>Tabelle14</vt:lpstr>
      <vt:lpstr>Tabelle15</vt:lpstr>
      <vt:lpstr>Tabelle16</vt:lpstr>
      <vt:lpstr>7.) Propeller Efficiency</vt:lpstr>
      <vt:lpstr>8.) Power variation with alt.</vt:lpstr>
      <vt:lpstr>(c)</vt:lpstr>
      <vt:lpstr>6.) Matching Chart</vt:lpstr>
      <vt:lpstr>Acoef</vt:lpstr>
      <vt:lpstr>CL</vt:lpstr>
      <vt:lpstr>CL_m</vt:lpstr>
      <vt:lpstr>e</vt:lpstr>
      <vt:lpstr>euler</vt:lpstr>
      <vt:lpstr>g</vt:lpstr>
      <vt:lpstr>gamma</vt:lpstr>
      <vt:lpstr>L</vt:lpstr>
      <vt:lpstr>L_D</vt:lpstr>
      <vt:lpstr>L_D_max</vt:lpstr>
      <vt:lpstr>M</vt:lpstr>
      <vt:lpstr>mcoef</vt:lpstr>
      <vt:lpstr>ncoef</vt:lpstr>
      <vt:lpstr>p0</vt:lpstr>
      <vt:lpstr>propefcruise</vt:lpstr>
      <vt:lpstr>Rconstant</vt:lpstr>
      <vt:lpstr>T0</vt:lpstr>
      <vt:lpstr>Xn</vt:lpstr>
      <vt:lpstr>YA</vt:lpstr>
      <vt:lpstr>ρ0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Dieter Scholz</dc:creator>
  <cp:lastModifiedBy>Scholz, Dieter</cp:lastModifiedBy>
  <cp:lastPrinted>2006-03-12T23:14:33Z</cp:lastPrinted>
  <dcterms:created xsi:type="dcterms:W3CDTF">1998-10-31T17:05:42Z</dcterms:created>
  <dcterms:modified xsi:type="dcterms:W3CDTF">2023-11-04T11:03:02Z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2023-11-04T11:03:02Z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2c6cac8d-ab61-47b3-8209-4df2e46aefbc</vt:lpwstr>
  </property>
  <property fmtid="{D5CDD505-2E9C-101B-9397-08002B2CF9AE}" pid="7" name="MSIP_Label_defa4170-0d19-0005-0004-bc88714345d2_ActionId">
    <vt:lpwstr>3edaf159-806a-4418-983e-4d8e8e6cce00</vt:lpwstr>
  </property>
  <property fmtid="{D5CDD505-2E9C-101B-9397-08002B2CF9AE}" pid="8" name="MSIP_Label_defa4170-0d19-0005-0004-bc88714345d2_ContentBits">
    <vt:lpwstr>0</vt:lpwstr>
  </property>
</Properties>
</file>