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drawings/drawing2.xml" ContentType="application/vnd.openxmlformats-officedocument.drawing+xml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Dateien\HAW\Arbeiten\Albrecht\2023-11-03_Final\Excel_Sheets\"/>
    </mc:Choice>
  </mc:AlternateContent>
  <xr:revisionPtr revIDLastSave="0" documentId="13_ncr:1_{78668BCA-1532-40CC-A4B2-342A8E1D961A}" xr6:coauthVersionLast="47" xr6:coauthVersionMax="47" xr10:uidLastSave="{00000000-0000-0000-0000-000000000000}"/>
  <bookViews>
    <workbookView xWindow="-120" yWindow="-120" windowWidth="19440" windowHeight="14880" xr2:uid="{00000000-000D-0000-FFFF-FFFF00000000}"/>
  </bookViews>
  <sheets>
    <sheet name="1.) Dimensionierung" sheetId="2" r:id="rId1"/>
    <sheet name="2.) max. Gleitzahl im Reiseflug" sheetId="17" r:id="rId2"/>
    <sheet name="3.) Dimensionierung" sheetId="3" r:id="rId3"/>
    <sheet name="Entwurfsdiagramm" sheetId="4" r:id="rId4"/>
    <sheet name="Tabelle5" sheetId="5" state="hidden" r:id="rId5"/>
    <sheet name="Tabelle6" sheetId="6" state="hidden" r:id="rId6"/>
    <sheet name="Tabelle7" sheetId="7" state="hidden" r:id="rId7"/>
    <sheet name="Tabelle8" sheetId="8" state="hidden" r:id="rId8"/>
    <sheet name="Tabelle9" sheetId="9" state="hidden" r:id="rId9"/>
    <sheet name="Tabelle10" sheetId="10" state="hidden" r:id="rId10"/>
    <sheet name="Tabelle11" sheetId="11" state="hidden" r:id="rId11"/>
    <sheet name="Tabelle12" sheetId="12" state="hidden" r:id="rId12"/>
    <sheet name="Tabelle13" sheetId="13" state="hidden" r:id="rId13"/>
    <sheet name="Tabelle14" sheetId="14" state="hidden" r:id="rId14"/>
    <sheet name="Tabelle15" sheetId="15" state="hidden" r:id="rId15"/>
    <sheet name="Tabelle16" sheetId="16" state="hidden" r:id="rId16"/>
    <sheet name="(c)" sheetId="19" r:id="rId17"/>
  </sheets>
  <externalReferences>
    <externalReference r:id="rId18"/>
    <externalReference r:id="rId19"/>
  </externalReferences>
  <definedNames>
    <definedName name="A" localSheetId="16">[1]Calculations!$C$72</definedName>
    <definedName name="a">'3.) Dimensionierung'!$C$51</definedName>
    <definedName name="A_calcualted">[1]Calculations!$C$64</definedName>
    <definedName name="a_e">[1]Calculations!$C$129</definedName>
    <definedName name="A_given">[1]Calculations!$C$15</definedName>
    <definedName name="A_new">[1]Calculations!$C$100</definedName>
    <definedName name="A_wave">[1]Calculations!$C$28</definedName>
    <definedName name="aa">[1]Calculations!$C$62</definedName>
    <definedName name="b">[1]Calculations!$C$73</definedName>
    <definedName name="b_calcualted">[1]Calculations!$C$65</definedName>
    <definedName name="b_e">[1]Calculations!$C$125</definedName>
    <definedName name="b_given">[1]Calculations!$C$14</definedName>
    <definedName name="b_new">[1]Calculations!$C$99</definedName>
    <definedName name="b_ref">[1]Calculations!$C$87</definedName>
    <definedName name="b_s">[1]Calculations!$C$78</definedName>
    <definedName name="B_wave">[1]Calculations!$C$29</definedName>
    <definedName name="BPR" localSheetId="16">'[2]3.) Dimensionierung'!$C$6</definedName>
    <definedName name="BPR">'3.) Dimensionierung'!$C$6</definedName>
    <definedName name="bs_tr">[1]Calculations!$C$80</definedName>
    <definedName name="C_D">[1]Calculations!$C$141</definedName>
    <definedName name="C_D_0_W">[1]Calculations!$C$118</definedName>
    <definedName name="C_D_i">[1]Calculations!$C$139</definedName>
    <definedName name="c_e">[1]Calculations!$C$126</definedName>
    <definedName name="C_f_laminar">[1]Calculations!$C$115</definedName>
    <definedName name="C_f_turbulent">[1]Calculations!$C$116</definedName>
    <definedName name="C_f_W">[1]Calculations!$C$117</definedName>
    <definedName name="C_L">[1]Calculations!$C$138</definedName>
    <definedName name="C_L_md">[1]Calculations!#REF!</definedName>
    <definedName name="c_MAC">[1]Calculations!$C$113</definedName>
    <definedName name="c_r">[1]Calculations!$C$75</definedName>
    <definedName name="c_r_new">[1]Calculations!$C$102</definedName>
    <definedName name="CL" localSheetId="16">'[2]3.) Dimensionierung'!$G$8</definedName>
    <definedName name="CL">'3.) Dimensionierung'!$G$8</definedName>
    <definedName name="CL_m">'3.) Dimensionierung'!$C$11</definedName>
    <definedName name="D">[1]Calculations!$C$143</definedName>
    <definedName name="d_F">[1]Calculations!$C$21</definedName>
    <definedName name="Delta_C_D_W">[1]Calculations!$C$123</definedName>
    <definedName name="Delta_lambda">[1]Calculations!$C$132</definedName>
    <definedName name="e" localSheetId="16">[1]Calculations!$C$137</definedName>
    <definedName name="e">'3.) Dimensionierung'!$C$18</definedName>
    <definedName name="e_theo">[1]Calculations!$C$134</definedName>
    <definedName name="f_lambda_Delta_lambda">[1]Calculations!$C$133</definedName>
    <definedName name="FF_W">[1]Calculations!$C$107</definedName>
    <definedName name="g" localSheetId="16">[1]Calculations!$C$8</definedName>
    <definedName name="g">'3.) Dimensionierung'!$C$16</definedName>
    <definedName name="gamma" localSheetId="16">'[2]3.) Dimensionierung'!$C$15</definedName>
    <definedName name="gamma">'3.) Dimensionierung'!$C$15</definedName>
    <definedName name="H">[1]Calculations!$C$32</definedName>
    <definedName name="H_opt">[1]Calculations!#REF!</definedName>
    <definedName name="k_e_f">[1]Calculations!$C$131</definedName>
    <definedName name="k_e_M">[1]Calculations!$C$130</definedName>
    <definedName name="k_laminar">[1]Calculations!$C$33</definedName>
    <definedName name="k_t_c">[1]Calculations!$C$18</definedName>
    <definedName name="L_D" localSheetId="16">'[2]3.) Dimensionierung'!$G$9</definedName>
    <definedName name="L_D">'3.) Dimensionierung'!$G$9</definedName>
    <definedName name="L_D_max" localSheetId="16">'[2]3.) Dimensionierung'!$C$7</definedName>
    <definedName name="L_D_max">'3.) Dimensionierung'!$C$7</definedName>
    <definedName name="lambda">[1]Calculations!$C$19</definedName>
    <definedName name="M" localSheetId="16">[1]Calculations!$C$30</definedName>
    <definedName name="M">'3.) Dimensionierung'!$C$12</definedName>
    <definedName name="M_0">[1]Calculations!$C$128</definedName>
    <definedName name="M_comp">[1]Calculations!$C$127</definedName>
    <definedName name="M_crit">[1]Calculations!$C$122</definedName>
    <definedName name="M_crit_fix">[1]Calculations!$C$27</definedName>
    <definedName name="M_crit_variable">[1]Calculations!$C$121</definedName>
    <definedName name="M_DD">[1]Calculations!$C$120</definedName>
    <definedName name="m_MPL">[1]Calculations!$C$82</definedName>
    <definedName name="m_MTO">[1]Calculations!$C$22</definedName>
    <definedName name="m_MTO_new">[1]Calculations!$C$97</definedName>
    <definedName name="m_MTO_S_W">[1]Calculations!$C$25</definedName>
    <definedName name="m_MZF">[1]Calculations!$C$24</definedName>
    <definedName name="m_OE">[1]Calculations!$C$23</definedName>
    <definedName name="m_W">[1]Calculations!$C$26</definedName>
    <definedName name="m_W_new">[1]Calculations!$C$105</definedName>
    <definedName name="method">[1]Calculations!$C$12</definedName>
    <definedName name="mu">[1]Calculations!$C$59</definedName>
    <definedName name="n_lim">[1]Calculations!$C$83</definedName>
    <definedName name="nu">[1]Calculations!$C$61</definedName>
    <definedName name="p0" localSheetId="16">'[2]3.) Dimensionierung'!$C$17</definedName>
    <definedName name="p0">'3.) Dimensionierung'!$C$17</definedName>
    <definedName name="phi_25">[1]Calculations!$C$20</definedName>
    <definedName name="phi_50">[1]Calculations!$C$74</definedName>
    <definedName name="PP">[1]Calculations!$C$136</definedName>
    <definedName name="Q">[1]Calculations!$C$34</definedName>
    <definedName name="QQ">[1]Calculations!$C$135</definedName>
    <definedName name="Re">[1]Calculations!$C$114</definedName>
    <definedName name="rho">[1]Calculations!$C$60</definedName>
    <definedName name="rho_0">[1]Calculations!$C$7</definedName>
    <definedName name="rho_H">[1]Calculations!#REF!</definedName>
    <definedName name="S_exp">[1]Calculations!$C$108</definedName>
    <definedName name="S_ref">[1]Calculations!$C$111</definedName>
    <definedName name="S_W">[1]Calculations!$C$71</definedName>
    <definedName name="S_W_new">[1]Calculations!$C$98</definedName>
    <definedName name="S_wet_W">[1]Calculations!$C$110</definedName>
    <definedName name="T">[1]Calculations!$C$58</definedName>
    <definedName name="T_0">[1]Calculations!$C$6</definedName>
    <definedName name="t_c">[1]Calculations!$C$16</definedName>
    <definedName name="t_c_r">[1]Calculations!$C$67</definedName>
    <definedName name="t_c_rep">[1]Calculations!$C$95</definedName>
    <definedName name="t_c_t">[1]Calculations!$C$66</definedName>
    <definedName name="t_r">[1]Calculations!$C$79</definedName>
    <definedName name="tau">[1]Calculations!$C$109</definedName>
    <definedName name="V">[1]Calculations!$C$112</definedName>
    <definedName name="V_CR" localSheetId="16">'[2]3.) Dimensionierung'!$C$52</definedName>
    <definedName name="V_CR">'3.) Dimensionierung'!$C$52</definedName>
    <definedName name="version">[1]Calculations!$C$13</definedName>
    <definedName name="x_t">[1]Calculations!$C$17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4" i="3" l="1"/>
  <c r="C71" i="3" s="1"/>
  <c r="C31" i="2"/>
  <c r="C25" i="17"/>
  <c r="C18" i="17"/>
  <c r="C21" i="17" s="1"/>
  <c r="C29" i="2"/>
  <c r="C32" i="2"/>
  <c r="C33" i="2" s="1"/>
  <c r="C26" i="2"/>
  <c r="C90" i="3"/>
  <c r="C56" i="3"/>
  <c r="F61" i="3" s="1"/>
  <c r="C63" i="3" s="1"/>
  <c r="G7" i="3"/>
  <c r="C8" i="17"/>
  <c r="C12" i="2"/>
  <c r="C59" i="2"/>
  <c r="C16" i="2"/>
  <c r="C17" i="2" s="1"/>
  <c r="C19" i="2"/>
  <c r="C21" i="2"/>
  <c r="C22" i="2"/>
  <c r="C28" i="2"/>
  <c r="C38" i="2"/>
  <c r="C70" i="2"/>
  <c r="C71" i="2"/>
  <c r="C76" i="2"/>
  <c r="J6" i="3"/>
  <c r="B22" i="3"/>
  <c r="C22" i="3"/>
  <c r="E22" i="3"/>
  <c r="B23" i="3"/>
  <c r="C23" i="3"/>
  <c r="E23" i="3"/>
  <c r="B24" i="3"/>
  <c r="C24" i="3"/>
  <c r="E24" i="3"/>
  <c r="B25" i="3"/>
  <c r="C25" i="3"/>
  <c r="E25" i="3"/>
  <c r="B26" i="3"/>
  <c r="C26" i="3"/>
  <c r="E26" i="3"/>
  <c r="B27" i="3"/>
  <c r="C27" i="3"/>
  <c r="E27" i="3"/>
  <c r="B28" i="3"/>
  <c r="C28" i="3"/>
  <c r="E28" i="3"/>
  <c r="B29" i="3"/>
  <c r="C29" i="3"/>
  <c r="E29" i="3"/>
  <c r="B30" i="3"/>
  <c r="C30" i="3"/>
  <c r="E30" i="3"/>
  <c r="B31" i="3"/>
  <c r="C31" i="3"/>
  <c r="E31" i="3"/>
  <c r="B32" i="3"/>
  <c r="C32" i="3"/>
  <c r="E32" i="3"/>
  <c r="B33" i="3"/>
  <c r="C33" i="3"/>
  <c r="E33" i="3"/>
  <c r="B34" i="3"/>
  <c r="C34" i="3"/>
  <c r="E34" i="3"/>
  <c r="B35" i="3"/>
  <c r="C35" i="3"/>
  <c r="E35" i="3"/>
  <c r="B36" i="3"/>
  <c r="C36" i="3"/>
  <c r="E36" i="3"/>
  <c r="B37" i="3"/>
  <c r="C37" i="3"/>
  <c r="E37" i="3"/>
  <c r="C58" i="3"/>
  <c r="F60" i="3"/>
  <c r="C60" i="3"/>
  <c r="C70" i="3"/>
  <c r="C93" i="3"/>
  <c r="C94" i="3"/>
  <c r="C97" i="3" s="1"/>
  <c r="C112" i="3" s="1"/>
  <c r="C7" i="3"/>
  <c r="G9" i="3" s="1"/>
  <c r="C20" i="17"/>
  <c r="C8" i="3"/>
  <c r="C10" i="3"/>
  <c r="C11" i="3" s="1"/>
  <c r="G8" i="3" s="1"/>
  <c r="D35" i="3" l="1"/>
  <c r="J35" i="3" s="1"/>
  <c r="D33" i="3"/>
  <c r="J33" i="3" s="1"/>
  <c r="D25" i="3"/>
  <c r="J25" i="3" s="1"/>
  <c r="D24" i="3"/>
  <c r="J24" i="3" s="1"/>
  <c r="D37" i="3"/>
  <c r="J37" i="3" s="1"/>
  <c r="D29" i="3"/>
  <c r="J29" i="3" s="1"/>
  <c r="F38" i="3"/>
  <c r="F39" i="3" s="1"/>
  <c r="C43" i="3"/>
  <c r="D34" i="3"/>
  <c r="J34" i="3" s="1"/>
  <c r="F36" i="3"/>
  <c r="F34" i="3"/>
  <c r="D30" i="3"/>
  <c r="J30" i="3" s="1"/>
  <c r="D22" i="3"/>
  <c r="J22" i="3" s="1"/>
  <c r="D31" i="3"/>
  <c r="J31" i="3" s="1"/>
  <c r="D36" i="3"/>
  <c r="J36" i="3" s="1"/>
  <c r="D28" i="3"/>
  <c r="J28" i="3" s="1"/>
  <c r="D23" i="3"/>
  <c r="J23" i="3" s="1"/>
  <c r="C30" i="2"/>
  <c r="D26" i="3"/>
  <c r="J26" i="3" s="1"/>
  <c r="F35" i="3"/>
  <c r="F27" i="3"/>
  <c r="D27" i="3"/>
  <c r="J27" i="3" s="1"/>
  <c r="F23" i="3"/>
  <c r="D32" i="3"/>
  <c r="J32" i="3" s="1"/>
  <c r="F28" i="3"/>
  <c r="F25" i="3"/>
  <c r="F22" i="3"/>
  <c r="F37" i="3"/>
  <c r="F24" i="3"/>
  <c r="F30" i="3"/>
  <c r="F31" i="3"/>
  <c r="F29" i="3"/>
  <c r="F26" i="3"/>
  <c r="F32" i="3"/>
  <c r="F33" i="3"/>
  <c r="C40" i="2" l="1"/>
  <c r="C41" i="2" s="1"/>
  <c r="C65" i="2"/>
  <c r="C42" i="2" l="1"/>
  <c r="C49" i="2"/>
  <c r="C67" i="2"/>
  <c r="C72" i="2" s="1"/>
  <c r="C73" i="2" s="1"/>
  <c r="C77" i="2" s="1"/>
  <c r="H28" i="3" l="1"/>
  <c r="H22" i="3"/>
  <c r="H24" i="3"/>
  <c r="H33" i="3"/>
  <c r="H25" i="3"/>
  <c r="H26" i="3"/>
  <c r="H32" i="3"/>
  <c r="H30" i="3"/>
  <c r="H29" i="3"/>
  <c r="H23" i="3"/>
  <c r="H31" i="3"/>
  <c r="H36" i="3"/>
  <c r="H37" i="3"/>
  <c r="H35" i="3"/>
  <c r="H27" i="3"/>
  <c r="H34" i="3"/>
  <c r="C51" i="2"/>
  <c r="C53" i="2" s="1"/>
  <c r="C55" i="2"/>
  <c r="C60" i="2" s="1"/>
  <c r="C43" i="2"/>
  <c r="C44" i="3" s="1"/>
  <c r="I23" i="3"/>
  <c r="I22" i="3"/>
  <c r="I31" i="3"/>
  <c r="I29" i="3"/>
  <c r="I36" i="3"/>
  <c r="I27" i="3"/>
  <c r="I24" i="3"/>
  <c r="I28" i="3"/>
  <c r="I26" i="3"/>
  <c r="I32" i="3"/>
  <c r="I25" i="3"/>
  <c r="I35" i="3"/>
  <c r="I30" i="3"/>
  <c r="I34" i="3"/>
  <c r="I37" i="3"/>
  <c r="I33" i="3"/>
  <c r="C45" i="3" l="1"/>
  <c r="C47" i="3" s="1"/>
  <c r="C88" i="3"/>
  <c r="G30" i="3"/>
  <c r="G35" i="3"/>
  <c r="G24" i="3"/>
  <c r="G22" i="3"/>
  <c r="G27" i="3"/>
  <c r="G28" i="3"/>
  <c r="G33" i="3"/>
  <c r="G34" i="3"/>
  <c r="G23" i="3"/>
  <c r="G36" i="3"/>
  <c r="G37" i="3"/>
  <c r="G32" i="3"/>
  <c r="G26" i="3"/>
  <c r="G29" i="3"/>
  <c r="G31" i="3"/>
  <c r="G25" i="3"/>
  <c r="C48" i="3" l="1"/>
  <c r="C49" i="3"/>
  <c r="C50" i="3" s="1"/>
  <c r="C51" i="3" s="1"/>
  <c r="C52" i="3" s="1"/>
  <c r="C66" i="3" l="1"/>
  <c r="F52" i="3"/>
  <c r="H52" i="3" s="1"/>
  <c r="C72" i="3" l="1"/>
  <c r="C73" i="3" s="1"/>
  <c r="C67" i="3"/>
  <c r="C83" i="3" s="1"/>
  <c r="C68" i="3"/>
  <c r="C84" i="3" s="1"/>
  <c r="C85" i="3" l="1"/>
  <c r="C86" i="3" s="1"/>
  <c r="C99" i="3" s="1"/>
  <c r="C103" i="3" l="1"/>
  <c r="C108" i="3"/>
  <c r="C110" i="3" s="1"/>
  <c r="C101" i="3"/>
  <c r="C102" i="3"/>
  <c r="C116" i="3"/>
  <c r="C100" i="3"/>
  <c r="C104" i="3"/>
  <c r="C105" i="3" s="1"/>
  <c r="C106" i="3" s="1"/>
  <c r="C119" i="3" l="1"/>
  <c r="C114" i="3"/>
  <c r="F119" i="3" s="1"/>
  <c r="C113" i="3"/>
  <c r="E120" i="3" s="1"/>
  <c r="E121" i="3" s="1"/>
</calcChain>
</file>

<file path=xl/sharedStrings.xml><?xml version="1.0" encoding="utf-8"?>
<sst xmlns="http://schemas.openxmlformats.org/spreadsheetml/2006/main" count="485" uniqueCount="340">
  <si>
    <r>
      <t>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 xml:space="preserve"> / T</t>
    </r>
    <r>
      <rPr>
        <vertAlign val="subscript"/>
        <sz val="10"/>
        <rFont val="Arial"/>
        <family val="2"/>
      </rPr>
      <t>TO</t>
    </r>
  </si>
  <si>
    <t>BPR</t>
  </si>
  <si>
    <t>a</t>
  </si>
  <si>
    <t>m</t>
  </si>
  <si>
    <t>m/s</t>
  </si>
  <si>
    <t>kt / m/s</t>
  </si>
  <si>
    <t>kt</t>
  </si>
  <si>
    <t>kg/m³</t>
  </si>
  <si>
    <t>kg/m²</t>
  </si>
  <si>
    <t>m³/kg</t>
  </si>
  <si>
    <t>2. Segment</t>
  </si>
  <si>
    <t>A</t>
  </si>
  <si>
    <t>Parameter</t>
  </si>
  <si>
    <r>
      <t>C</t>
    </r>
    <r>
      <rPr>
        <vertAlign val="subscript"/>
        <sz val="10"/>
        <rFont val="Arial"/>
        <family val="2"/>
      </rPr>
      <t>L</t>
    </r>
  </si>
  <si>
    <t>g</t>
  </si>
  <si>
    <t>m/s²</t>
  </si>
  <si>
    <t>Pa</t>
  </si>
  <si>
    <t>Flughöhe</t>
  </si>
  <si>
    <t>h [km]</t>
  </si>
  <si>
    <t>h [ft]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</si>
  <si>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</t>
    </r>
  </si>
  <si>
    <t>p(h) [Pa]</t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</si>
  <si>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[kg/m²]</t>
    </r>
  </si>
  <si>
    <t>Gl.(5.27)</t>
  </si>
  <si>
    <t>Gl. (5.32/5.33)</t>
  </si>
  <si>
    <t>Gl. (5.34)</t>
  </si>
  <si>
    <t>Wiederholung</t>
  </si>
  <si>
    <t>K</t>
  </si>
  <si>
    <t>R</t>
  </si>
  <si>
    <t>kg/N/s</t>
  </si>
  <si>
    <t>FAR Part 121</t>
  </si>
  <si>
    <t>domestic</t>
  </si>
  <si>
    <t>s</t>
  </si>
  <si>
    <t>Phase</t>
  </si>
  <si>
    <t>transport jet</t>
  </si>
  <si>
    <t>business jet</t>
  </si>
  <si>
    <t>engine start</t>
  </si>
  <si>
    <t>taxi</t>
  </si>
  <si>
    <t>take-off</t>
  </si>
  <si>
    <t>climb</t>
  </si>
  <si>
    <t>descent</t>
  </si>
  <si>
    <t>landing</t>
  </si>
  <si>
    <t>kg</t>
  </si>
  <si>
    <t>m²</t>
  </si>
  <si>
    <t>N</t>
  </si>
  <si>
    <t>nach Loftin</t>
  </si>
  <si>
    <r>
      <t>alle</t>
    </r>
    <r>
      <rPr>
        <sz val="10"/>
        <rFont val="Arial"/>
        <family val="2"/>
      </rPr>
      <t xml:space="preserve"> Triebwerke zusammen</t>
    </r>
  </si>
  <si>
    <r>
      <t>ein</t>
    </r>
    <r>
      <rPr>
        <sz val="10"/>
        <rFont val="Arial"/>
        <family val="2"/>
      </rPr>
      <t xml:space="preserve"> Triebwerk</t>
    </r>
  </si>
  <si>
    <t>lb</t>
  </si>
  <si>
    <t>m³</t>
  </si>
  <si>
    <t>check:</t>
  </si>
  <si>
    <t>?</t>
  </si>
  <si>
    <t>&gt;</t>
  </si>
  <si>
    <t>1m=3,281 ft</t>
  </si>
  <si>
    <r>
      <t>C</t>
    </r>
    <r>
      <rPr>
        <vertAlign val="subscript"/>
        <sz val="10"/>
        <rFont val="Arial"/>
        <family val="2"/>
      </rPr>
      <t>D,0</t>
    </r>
  </si>
  <si>
    <r>
      <t>M</t>
    </r>
    <r>
      <rPr>
        <vertAlign val="subscript"/>
        <sz val="10"/>
        <rFont val="Arial"/>
        <family val="2"/>
      </rPr>
      <t>CR</t>
    </r>
  </si>
  <si>
    <r>
      <t>p</t>
    </r>
    <r>
      <rPr>
        <vertAlign val="subscript"/>
        <sz val="10"/>
        <rFont val="Arial"/>
        <family val="2"/>
      </rPr>
      <t>0</t>
    </r>
  </si>
  <si>
    <t>Durchstarten (Missed Approach)</t>
  </si>
  <si>
    <t>Start (Take-Off)</t>
  </si>
  <si>
    <t>Landung (Landing)</t>
  </si>
  <si>
    <t>Anflug (Approach)</t>
  </si>
  <si>
    <r>
      <t>k</t>
    </r>
    <r>
      <rPr>
        <vertAlign val="subscript"/>
        <sz val="10"/>
        <rFont val="Arial"/>
        <family val="2"/>
      </rPr>
      <t>APP</t>
    </r>
  </si>
  <si>
    <r>
      <t>s</t>
    </r>
    <r>
      <rPr>
        <vertAlign val="subscript"/>
        <sz val="10"/>
        <rFont val="Arial"/>
        <family val="2"/>
      </rPr>
      <t>LFL</t>
    </r>
  </si>
  <si>
    <r>
      <t>V</t>
    </r>
    <r>
      <rPr>
        <vertAlign val="subscript"/>
        <sz val="10"/>
        <rFont val="Arial"/>
        <family val="2"/>
      </rPr>
      <t>APP</t>
    </r>
  </si>
  <si>
    <t>m/s -&gt; kt</t>
  </si>
  <si>
    <r>
      <t>k</t>
    </r>
    <r>
      <rPr>
        <vertAlign val="subscript"/>
        <sz val="10"/>
        <rFont val="Arial"/>
        <family val="2"/>
      </rPr>
      <t>L</t>
    </r>
  </si>
  <si>
    <r>
      <t>C</t>
    </r>
    <r>
      <rPr>
        <vertAlign val="subscript"/>
        <sz val="10"/>
        <rFont val="Arial"/>
        <family val="2"/>
      </rPr>
      <t>L,max,L</t>
    </r>
  </si>
  <si>
    <r>
      <t>k</t>
    </r>
    <r>
      <rPr>
        <vertAlign val="subscript"/>
        <sz val="10"/>
        <rFont val="Arial"/>
        <family val="2"/>
      </rPr>
      <t>TO</t>
    </r>
  </si>
  <si>
    <r>
      <t>C</t>
    </r>
    <r>
      <rPr>
        <vertAlign val="subscript"/>
        <sz val="10"/>
        <rFont val="Arial"/>
        <family val="2"/>
      </rPr>
      <t>L,max,TO</t>
    </r>
  </si>
  <si>
    <r>
      <t>s</t>
    </r>
    <r>
      <rPr>
        <vertAlign val="subscript"/>
        <sz val="10"/>
        <rFont val="Arial"/>
        <family val="2"/>
      </rPr>
      <t>TOFL</t>
    </r>
  </si>
  <si>
    <r>
      <t>n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</si>
  <si>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D,P</t>
    </r>
  </si>
  <si>
    <r>
      <t>sin(</t>
    </r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>)</t>
    </r>
  </si>
  <si>
    <t>Berechnungen zu den Flugphasen Anflug, Landung, Start, 2. Segment und Durchstarten</t>
  </si>
  <si>
    <t>Berechnungen zu Reiseflug, Entwurfsdiagramm, Kraftstoffmasse, Betriebsleermasse</t>
  </si>
  <si>
    <r>
      <t>und den Flugzeugparametern: 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L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OE</t>
    </r>
    <r>
      <rPr>
        <b/>
        <sz val="10"/>
        <rFont val="Arial"/>
        <family val="2"/>
      </rPr>
      <t>, S</t>
    </r>
    <r>
      <rPr>
        <b/>
        <vertAlign val="subscript"/>
        <sz val="10"/>
        <rFont val="Arial"/>
        <family val="2"/>
      </rPr>
      <t>W</t>
    </r>
    <r>
      <rPr>
        <b/>
        <sz val="10"/>
        <rFont val="Arial"/>
        <family val="2"/>
      </rPr>
      <t>, T</t>
    </r>
    <r>
      <rPr>
        <b/>
        <vertAlign val="subscript"/>
        <sz val="10"/>
        <rFont val="Arial"/>
        <family val="2"/>
      </rPr>
      <t>TO</t>
    </r>
    <r>
      <rPr>
        <b/>
        <sz val="10"/>
        <rFont val="Arial"/>
        <family val="2"/>
      </rPr>
      <t>, ...</t>
    </r>
  </si>
  <si>
    <r>
      <t>T</t>
    </r>
    <r>
      <rPr>
        <vertAlign val="subscript"/>
        <sz val="10"/>
        <rFont val="Arial"/>
        <family val="2"/>
      </rPr>
      <t>Stratosphäre</t>
    </r>
  </si>
  <si>
    <r>
      <t>T</t>
    </r>
    <r>
      <rPr>
        <vertAlign val="subscript"/>
        <sz val="10"/>
        <rFont val="Arial"/>
        <family val="2"/>
      </rPr>
      <t>Troposphäre</t>
    </r>
  </si>
  <si>
    <r>
      <t>V</t>
    </r>
    <r>
      <rPr>
        <vertAlign val="subscript"/>
        <sz val="10"/>
        <rFont val="Arial"/>
        <family val="2"/>
      </rPr>
      <t>CR</t>
    </r>
  </si>
  <si>
    <t>für den Plot</t>
  </si>
  <si>
    <t>aus Teil 1</t>
  </si>
  <si>
    <t>Hinweise:</t>
  </si>
  <si>
    <t>Konstanten</t>
  </si>
  <si>
    <t>Wert</t>
  </si>
  <si>
    <r>
      <t>h</t>
    </r>
    <r>
      <rPr>
        <vertAlign val="subscript"/>
        <sz val="10"/>
        <rFont val="Arial"/>
        <family val="2"/>
      </rPr>
      <t>CR</t>
    </r>
  </si>
  <si>
    <r>
      <t>(T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)</t>
    </r>
    <r>
      <rPr>
        <vertAlign val="subscript"/>
        <sz val="10"/>
        <rFont val="Arial"/>
        <family val="2"/>
      </rPr>
      <t>CR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</si>
  <si>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</si>
  <si>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T(h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)</t>
    </r>
  </si>
  <si>
    <r>
      <t>s</t>
    </r>
    <r>
      <rPr>
        <vertAlign val="subscript"/>
        <sz val="10"/>
        <rFont val="Arial"/>
        <family val="2"/>
      </rPr>
      <t>to_alternate</t>
    </r>
  </si>
  <si>
    <r>
      <t>s</t>
    </r>
    <r>
      <rPr>
        <vertAlign val="subscript"/>
        <sz val="10"/>
        <rFont val="Arial"/>
        <family val="2"/>
      </rPr>
      <t>res</t>
    </r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</si>
  <si>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(m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*g)</t>
    </r>
  </si>
  <si>
    <t>oder</t>
  </si>
  <si>
    <t>&lt;&lt;&lt;&lt; Auswahl treffen gemäß Aufgabenstellung</t>
  </si>
  <si>
    <t>&lt;&lt;&lt;&lt; Werte</t>
  </si>
  <si>
    <t>&lt;&lt;&lt;&lt; kopieren</t>
  </si>
  <si>
    <t>&lt;&lt;&lt;&lt; aus</t>
  </si>
  <si>
    <t>&lt;&lt;&lt;&lt; Tabelle</t>
  </si>
  <si>
    <t>&lt;&lt;&lt;&lt; rechts</t>
  </si>
  <si>
    <t>&lt;&lt;&lt;&lt;</t>
  </si>
  <si>
    <t>nach Statistik (falls gegeben)</t>
  </si>
  <si>
    <r>
      <t>M</t>
    </r>
    <r>
      <rPr>
        <vertAlign val="subscript"/>
        <sz val="10"/>
        <rFont val="Arial"/>
        <family val="2"/>
      </rPr>
      <t>ff</t>
    </r>
    <r>
      <rPr>
        <sz val="10"/>
        <rFont val="Arial"/>
        <family val="2"/>
      </rPr>
      <t xml:space="preserve"> nach Flugphase [Roskam]</t>
    </r>
  </si>
  <si>
    <t>(aus Teil 1)</t>
  </si>
  <si>
    <t>Gegeben: Sicherheitslandestrecke</t>
  </si>
  <si>
    <t>ja</t>
  </si>
  <si>
    <t>Gegeben: Anfluggeschwindigkeit</t>
  </si>
  <si>
    <r>
      <t xml:space="preserve">(m/s²) </t>
    </r>
    <r>
      <rPr>
        <vertAlign val="superscript"/>
        <sz val="10"/>
        <rFont val="Arial"/>
        <family val="2"/>
      </rPr>
      <t>0.5</t>
    </r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</si>
  <si>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</t>
    </r>
  </si>
  <si>
    <t xml:space="preserve">   Zwischenwerte, Konstanten, ... sind schwarz gezeigt!</t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</si>
  <si>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</si>
  <si>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m </t>
    </r>
    <r>
      <rPr>
        <vertAlign val="subscript"/>
        <sz val="10"/>
        <rFont val="Arial"/>
        <family val="2"/>
      </rPr>
      <t>TO</t>
    </r>
  </si>
  <si>
    <r>
      <t xml:space="preserve">m 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</si>
  <si>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 xml:space="preserve">   </t>
    </r>
    <r>
      <rPr>
        <b/>
        <sz val="10"/>
        <rFont val="Arial"/>
        <family val="2"/>
      </rPr>
      <t>Ergebnisse</t>
    </r>
    <r>
      <rPr>
        <sz val="10"/>
        <rFont val="Arial"/>
        <family val="2"/>
      </rPr>
      <t xml:space="preserve"> sind </t>
    </r>
    <r>
      <rPr>
        <b/>
        <sz val="10"/>
        <color indexed="10"/>
        <rFont val="Arial"/>
        <family val="2"/>
      </rPr>
      <t>rot</t>
    </r>
    <r>
      <rPr>
        <sz val="10"/>
        <rFont val="Arial"/>
        <family val="2"/>
      </rPr>
      <t xml:space="preserve"> gezeigt. Diese Felder NICHT verändern!</t>
    </r>
  </si>
  <si>
    <r>
      <t>0,8 * C</t>
    </r>
    <r>
      <rPr>
        <vertAlign val="subscript"/>
        <sz val="10"/>
        <rFont val="Arial"/>
        <family val="2"/>
      </rPr>
      <t>L,max,L</t>
    </r>
  </si>
  <si>
    <t>Berechnung der Gleitzahl</t>
  </si>
  <si>
    <r>
      <t>C</t>
    </r>
    <r>
      <rPr>
        <vertAlign val="subscript"/>
        <sz val="10"/>
        <rFont val="Arial"/>
        <family val="2"/>
      </rPr>
      <t>L,TO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</si>
  <si>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D,flap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</si>
  <si>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D,slat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</si>
  <si>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D,gear</t>
    </r>
  </si>
  <si>
    <r>
      <t>E</t>
    </r>
    <r>
      <rPr>
        <vertAlign val="subscript"/>
        <sz val="10"/>
        <rFont val="Arial"/>
        <family val="2"/>
      </rPr>
      <t>TO</t>
    </r>
  </si>
  <si>
    <t>Berechnung des Schub-Gewichts-Verhältnis</t>
  </si>
  <si>
    <r>
      <t>C</t>
    </r>
    <r>
      <rPr>
        <vertAlign val="subscript"/>
        <sz val="10"/>
        <rFont val="Arial"/>
        <family val="2"/>
      </rPr>
      <t>L,L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</si>
  <si>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Durchstarten)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</si>
  <si>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2. Segment)</t>
    </r>
  </si>
  <si>
    <r>
      <t>E</t>
    </r>
    <r>
      <rPr>
        <vertAlign val="subscript"/>
        <sz val="10"/>
        <rFont val="Arial"/>
        <family val="2"/>
      </rPr>
      <t>L</t>
    </r>
  </si>
  <si>
    <t>FAR Part 25</t>
  </si>
  <si>
    <t>1.)  Aus der Theorie</t>
  </si>
  <si>
    <r>
      <t>k</t>
    </r>
    <r>
      <rPr>
        <vertAlign val="subscript"/>
        <sz val="10"/>
        <rFont val="Arial"/>
        <family val="2"/>
      </rPr>
      <t>E</t>
    </r>
  </si>
  <si>
    <t>2.) Nach RAYMER</t>
  </si>
  <si>
    <t>3.) Aus eigener Statistik</t>
  </si>
  <si>
    <r>
      <t>Abschätzung der maximalen Gleitzahl im Reiseflug, E</t>
    </r>
    <r>
      <rPr>
        <b/>
        <vertAlign val="subscript"/>
        <sz val="10"/>
        <rFont val="Arial"/>
        <family val="2"/>
      </rPr>
      <t>max</t>
    </r>
  </si>
  <si>
    <r>
      <t>k</t>
    </r>
    <r>
      <rPr>
        <vertAlign val="subscript"/>
        <sz val="10"/>
        <rFont val="Arial"/>
        <family val="2"/>
      </rPr>
      <t xml:space="preserve">E    </t>
    </r>
    <r>
      <rPr>
        <sz val="10"/>
        <rFont val="Arial"/>
        <family val="2"/>
      </rPr>
      <t>gewählt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</si>
  <si>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</si>
  <si>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= 6,0 ... 6,2</t>
    </r>
  </si>
  <si>
    <r>
      <t>E</t>
    </r>
    <r>
      <rPr>
        <vertAlign val="subscript"/>
        <sz val="10"/>
        <rFont val="Arial"/>
        <family val="2"/>
      </rPr>
      <t>max</t>
    </r>
  </si>
  <si>
    <r>
      <t>Abschätzung des Parameters k</t>
    </r>
    <r>
      <rPr>
        <b/>
        <vertAlign val="subscript"/>
        <sz val="10"/>
        <rFont val="Arial"/>
        <family val="2"/>
      </rPr>
      <t>E</t>
    </r>
    <r>
      <rPr>
        <b/>
        <sz val="10"/>
        <rFont val="Arial"/>
        <family val="2"/>
      </rPr>
      <t xml:space="preserve"> mit 1.), 2.) oder 3.)</t>
    </r>
  </si>
  <si>
    <t>1.) Dimensionierung</t>
  </si>
  <si>
    <t>2.) max. Gleitzahl im Reiseflug</t>
  </si>
  <si>
    <r>
      <t>E</t>
    </r>
    <r>
      <rPr>
        <vertAlign val="subscript"/>
        <sz val="10"/>
        <rFont val="Arial"/>
        <family val="2"/>
      </rPr>
      <t xml:space="preserve">max </t>
    </r>
    <r>
      <rPr>
        <sz val="10"/>
        <rFont val="Arial"/>
        <family val="2"/>
      </rPr>
      <t>gewählt</t>
    </r>
  </si>
  <si>
    <t>E</t>
  </si>
  <si>
    <t>(aus Teil 2)</t>
  </si>
  <si>
    <r>
      <t>SFC</t>
    </r>
    <r>
      <rPr>
        <vertAlign val="subscript"/>
        <sz val="10"/>
        <rFont val="Arial"/>
        <family val="2"/>
      </rPr>
      <t>CR</t>
    </r>
  </si>
  <si>
    <r>
      <t>B</t>
    </r>
    <r>
      <rPr>
        <vertAlign val="subscript"/>
        <sz val="10"/>
        <rFont val="Arial"/>
        <family val="2"/>
      </rPr>
      <t>s</t>
    </r>
  </si>
  <si>
    <r>
      <t>M</t>
    </r>
    <r>
      <rPr>
        <vertAlign val="subscript"/>
        <sz val="10"/>
        <rFont val="Arial"/>
        <family val="2"/>
      </rPr>
      <t>ff,CR</t>
    </r>
  </si>
  <si>
    <r>
      <t>M</t>
    </r>
    <r>
      <rPr>
        <vertAlign val="subscript"/>
        <sz val="10"/>
        <rFont val="Arial"/>
        <family val="2"/>
      </rPr>
      <t>ff,RES</t>
    </r>
  </si>
  <si>
    <r>
      <t>t</t>
    </r>
    <r>
      <rPr>
        <vertAlign val="subscript"/>
        <sz val="10"/>
        <rFont val="Arial"/>
        <family val="2"/>
      </rPr>
      <t>loiter</t>
    </r>
  </si>
  <si>
    <r>
      <t>SFC</t>
    </r>
    <r>
      <rPr>
        <vertAlign val="subscript"/>
        <sz val="10"/>
        <rFont val="Arial"/>
        <family val="2"/>
      </rPr>
      <t>loiter</t>
    </r>
  </si>
  <si>
    <r>
      <t>B</t>
    </r>
    <r>
      <rPr>
        <vertAlign val="subscript"/>
        <sz val="10"/>
        <rFont val="Arial"/>
        <family val="2"/>
      </rPr>
      <t>t</t>
    </r>
  </si>
  <si>
    <r>
      <t>M</t>
    </r>
    <r>
      <rPr>
        <vertAlign val="subscript"/>
        <sz val="10"/>
        <rFont val="Arial"/>
        <family val="2"/>
      </rPr>
      <t>ff,loiter</t>
    </r>
  </si>
  <si>
    <t>international</t>
  </si>
  <si>
    <r>
      <t>M</t>
    </r>
    <r>
      <rPr>
        <vertAlign val="subscript"/>
        <sz val="10"/>
        <rFont val="Arial"/>
        <family val="2"/>
      </rPr>
      <t>ff,taxi</t>
    </r>
  </si>
  <si>
    <r>
      <t>M</t>
    </r>
    <r>
      <rPr>
        <vertAlign val="subscript"/>
        <sz val="10"/>
        <rFont val="Arial"/>
        <family val="2"/>
      </rPr>
      <t>ff,engine</t>
    </r>
  </si>
  <si>
    <r>
      <t>M</t>
    </r>
    <r>
      <rPr>
        <vertAlign val="subscript"/>
        <sz val="10"/>
        <rFont val="Arial"/>
        <family val="2"/>
      </rPr>
      <t>ff,TO</t>
    </r>
  </si>
  <si>
    <r>
      <t>M</t>
    </r>
    <r>
      <rPr>
        <vertAlign val="subscript"/>
        <sz val="10"/>
        <rFont val="Arial"/>
        <family val="2"/>
      </rPr>
      <t>ff,CLB</t>
    </r>
  </si>
  <si>
    <r>
      <t>M</t>
    </r>
    <r>
      <rPr>
        <vertAlign val="subscript"/>
        <sz val="10"/>
        <rFont val="Arial"/>
        <family val="2"/>
      </rPr>
      <t>ff,DES</t>
    </r>
  </si>
  <si>
    <r>
      <t>M</t>
    </r>
    <r>
      <rPr>
        <vertAlign val="subscript"/>
        <sz val="10"/>
        <rFont val="Arial"/>
        <family val="2"/>
      </rPr>
      <t>ff,L</t>
    </r>
  </si>
  <si>
    <r>
      <t>M</t>
    </r>
    <r>
      <rPr>
        <vertAlign val="subscript"/>
        <sz val="10"/>
        <rFont val="Arial"/>
        <family val="2"/>
      </rPr>
      <t>ff,std</t>
    </r>
  </si>
  <si>
    <r>
      <t>M</t>
    </r>
    <r>
      <rPr>
        <vertAlign val="subscript"/>
        <sz val="10"/>
        <rFont val="Arial"/>
        <family val="2"/>
      </rPr>
      <t>ff,res</t>
    </r>
  </si>
  <si>
    <r>
      <t>M</t>
    </r>
    <r>
      <rPr>
        <vertAlign val="subscript"/>
        <sz val="10"/>
        <rFont val="Arial"/>
        <family val="2"/>
      </rPr>
      <t>ff</t>
    </r>
  </si>
  <si>
    <r>
      <t>m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</si>
  <si>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OE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</si>
  <si>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t>Kurz- und Mittelstrecke</t>
  </si>
  <si>
    <t>Langstrecke</t>
  </si>
  <si>
    <r>
      <t>m</t>
    </r>
    <r>
      <rPr>
        <vertAlign val="subscript"/>
        <sz val="10"/>
        <rFont val="Arial"/>
        <family val="2"/>
      </rPr>
      <t>PAX</t>
    </r>
  </si>
  <si>
    <t>in kg</t>
  </si>
  <si>
    <r>
      <t>n</t>
    </r>
    <r>
      <rPr>
        <vertAlign val="subscript"/>
        <sz val="10"/>
        <rFont val="Arial"/>
        <family val="2"/>
      </rPr>
      <t>PAX</t>
    </r>
  </si>
  <si>
    <r>
      <t>m</t>
    </r>
    <r>
      <rPr>
        <vertAlign val="subscript"/>
        <sz val="10"/>
        <rFont val="Arial"/>
        <family val="2"/>
      </rPr>
      <t>PL</t>
    </r>
  </si>
  <si>
    <r>
      <t>m</t>
    </r>
    <r>
      <rPr>
        <vertAlign val="subscript"/>
        <sz val="10"/>
        <rFont val="Arial"/>
        <family val="2"/>
      </rPr>
      <t>cargo</t>
    </r>
  </si>
  <si>
    <r>
      <t>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</si>
  <si>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ML</t>
    </r>
  </si>
  <si>
    <r>
      <t>m</t>
    </r>
    <r>
      <rPr>
        <vertAlign val="subscript"/>
        <sz val="10"/>
        <rFont val="Arial"/>
        <family val="2"/>
      </rPr>
      <t>OE</t>
    </r>
  </si>
  <si>
    <r>
      <t>S</t>
    </r>
    <r>
      <rPr>
        <vertAlign val="subscript"/>
        <sz val="10"/>
        <rFont val="Arial"/>
        <family val="2"/>
      </rPr>
      <t>w</t>
    </r>
  </si>
  <si>
    <r>
      <t>T</t>
    </r>
    <r>
      <rPr>
        <vertAlign val="subscript"/>
        <sz val="10"/>
        <rFont val="Arial"/>
        <family val="2"/>
      </rPr>
      <t>TO</t>
    </r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</si>
  <si>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n</t>
    </r>
    <r>
      <rPr>
        <vertAlign val="subscript"/>
        <sz val="10"/>
        <rFont val="Arial"/>
        <family val="2"/>
      </rPr>
      <t>E</t>
    </r>
  </si>
  <si>
    <r>
      <t>m</t>
    </r>
    <r>
      <rPr>
        <vertAlign val="subscript"/>
        <sz val="10"/>
        <rFont val="Arial"/>
        <family val="2"/>
      </rPr>
      <t>F,erf</t>
    </r>
  </si>
  <si>
    <r>
      <t xml:space="preserve">r </t>
    </r>
    <r>
      <rPr>
        <vertAlign val="subscript"/>
        <sz val="10"/>
        <rFont val="Arial"/>
        <family val="2"/>
      </rPr>
      <t>F</t>
    </r>
  </si>
  <si>
    <r>
      <t>V</t>
    </r>
    <r>
      <rPr>
        <vertAlign val="subscript"/>
        <sz val="10"/>
        <rFont val="Arial"/>
        <family val="2"/>
      </rPr>
      <t>F,erf</t>
    </r>
  </si>
  <si>
    <r>
      <t>m</t>
    </r>
    <r>
      <rPr>
        <vertAlign val="subscript"/>
        <sz val="10"/>
        <rFont val="Arial"/>
        <family val="2"/>
      </rPr>
      <t>MPL</t>
    </r>
  </si>
  <si>
    <r>
      <t>m</t>
    </r>
    <r>
      <rPr>
        <vertAlign val="subscript"/>
        <sz val="10"/>
        <rFont val="Arial"/>
        <family val="2"/>
      </rPr>
      <t>MZF</t>
    </r>
  </si>
  <si>
    <r>
      <t>m</t>
    </r>
    <r>
      <rPr>
        <vertAlign val="subscript"/>
        <sz val="10"/>
        <rFont val="Arial"/>
        <family val="2"/>
      </rPr>
      <t>F,res</t>
    </r>
  </si>
  <si>
    <r>
      <t xml:space="preserve">   </t>
    </r>
    <r>
      <rPr>
        <b/>
        <sz val="10"/>
        <rFont val="Arial"/>
        <family val="2"/>
      </rPr>
      <t>Erfahrungswerte</t>
    </r>
    <r>
      <rPr>
        <sz val="10"/>
        <rFont val="Arial"/>
        <family val="2"/>
      </rPr>
      <t xml:space="preserve"> sind </t>
    </r>
    <r>
      <rPr>
        <sz val="10"/>
        <color indexed="12"/>
        <rFont val="Arial"/>
        <family val="2"/>
      </rPr>
      <t>leicht blau</t>
    </r>
    <r>
      <rPr>
        <sz val="10"/>
        <rFont val="Arial"/>
        <family val="2"/>
      </rPr>
      <t xml:space="preserve"> gedruckte Werte. Felder normal NICHT ändern!</t>
    </r>
  </si>
  <si>
    <r>
      <t xml:space="preserve">   </t>
    </r>
    <r>
      <rPr>
        <b/>
        <sz val="10"/>
        <rFont val="Arial"/>
        <family val="2"/>
      </rPr>
      <t>Eingabewerte</t>
    </r>
    <r>
      <rPr>
        <sz val="10"/>
        <rFont val="Arial"/>
        <family val="2"/>
      </rPr>
      <t xml:space="preserve"> sind </t>
    </r>
    <r>
      <rPr>
        <b/>
        <sz val="10"/>
        <color indexed="12"/>
        <rFont val="Arial"/>
        <family val="2"/>
      </rPr>
      <t>fett blau</t>
    </r>
    <r>
      <rPr>
        <sz val="10"/>
        <rFont val="Arial"/>
        <family val="2"/>
      </rPr>
      <t xml:space="preserve"> gedruckte Werte.</t>
    </r>
  </si>
  <si>
    <r>
      <t xml:space="preserve">   "</t>
    </r>
    <r>
      <rPr>
        <b/>
        <sz val="10"/>
        <rFont val="Arial"/>
        <family val="2"/>
      </rPr>
      <t>&lt;&lt;&lt;&lt;</t>
    </r>
    <r>
      <rPr>
        <sz val="10"/>
        <rFont val="Arial"/>
        <family val="2"/>
      </rPr>
      <t xml:space="preserve">" </t>
    </r>
    <r>
      <rPr>
        <sz val="10"/>
        <rFont val="Arial"/>
        <family val="2"/>
      </rPr>
      <t>zeigt besondere Eingaben oder Eingriffe des Anwenders.</t>
    </r>
  </si>
  <si>
    <t>3.) Dimensionierung</t>
  </si>
  <si>
    <t>Faktor</t>
  </si>
  <si>
    <t>Sicherheitslandestrecke</t>
  </si>
  <si>
    <t>Anfluggeschwindigkeit</t>
  </si>
  <si>
    <t>Dichteverhältnis</t>
  </si>
  <si>
    <t>max. Auftriebsbeiwert, Landung</t>
  </si>
  <si>
    <t>Massenverhältnis, Landung-Start</t>
  </si>
  <si>
    <t>Flächebelastung bei Landemasse</t>
  </si>
  <si>
    <t>Flächebelastung bei Startmasse</t>
  </si>
  <si>
    <t>Sicherheitsstartstrecke</t>
  </si>
  <si>
    <r>
      <t>Erfahrungswert für C</t>
    </r>
    <r>
      <rPr>
        <vertAlign val="subscript"/>
        <sz val="10"/>
        <rFont val="Arial"/>
        <family val="2"/>
      </rPr>
      <t>L,max,TO</t>
    </r>
  </si>
  <si>
    <t>max. Auftriebsbeiwert, Start</t>
  </si>
  <si>
    <t>Geradensteigung</t>
  </si>
  <si>
    <t>Schub-Gewichtsverhältnis</t>
  </si>
  <si>
    <t>Streckung</t>
  </si>
  <si>
    <t>Auftriebsbeiwert, Start</t>
  </si>
  <si>
    <t>Nullwiderstandsbeiwert, clean</t>
  </si>
  <si>
    <t>Nullwiderstandsbeiwert, durch Flaps</t>
  </si>
  <si>
    <t>Nullwiderstandsbeiwert, durch Slats</t>
  </si>
  <si>
    <t>Profilwiderstandsbeiwert</t>
  </si>
  <si>
    <t>e</t>
  </si>
  <si>
    <t>Oswald-Faktor; mit Klappenausschlag</t>
  </si>
  <si>
    <t>Gleitzahl in Startkonfiguration</t>
  </si>
  <si>
    <t>Gleitzahl in Landekonfiguration</t>
  </si>
  <si>
    <t>Anzahl der Triebwerke</t>
  </si>
  <si>
    <t>Steiggradient</t>
  </si>
  <si>
    <t>Auftriebsbeiwert, Landung</t>
  </si>
  <si>
    <t>Nullwiderstandsbeiwert, durch Fahrwerk</t>
  </si>
  <si>
    <r>
      <t>Oswald-Faktor für k</t>
    </r>
    <r>
      <rPr>
        <vertAlign val="subscript"/>
        <sz val="10"/>
        <rFont val="Arial"/>
        <family val="2"/>
      </rPr>
      <t>E</t>
    </r>
  </si>
  <si>
    <t>äquivalenter Oberflächenwiderstandbeiwert</t>
  </si>
  <si>
    <t>Oberflächenverhältnis</t>
  </si>
  <si>
    <t>max. Gleitzahl</t>
  </si>
  <si>
    <t>Nebenstromverhältnis</t>
  </si>
  <si>
    <t>Oswald-Faktor, clean</t>
  </si>
  <si>
    <t>Nullwiderstandsbeiwert</t>
  </si>
  <si>
    <r>
      <t>Auftriebsbeiw. bei E</t>
    </r>
    <r>
      <rPr>
        <vertAlign val="subscript"/>
        <sz val="10"/>
        <rFont val="Arial"/>
        <family val="2"/>
      </rPr>
      <t>max</t>
    </r>
  </si>
  <si>
    <t>Machzahl, Reiseflug</t>
  </si>
  <si>
    <t>Flächenbelastung</t>
  </si>
  <si>
    <t>Schubverhältnis</t>
  </si>
  <si>
    <t>Reiseflughöhe</t>
  </si>
  <si>
    <t>Temperatur, Troposphäre</t>
  </si>
  <si>
    <r>
      <t>Temperatur, h</t>
    </r>
    <r>
      <rPr>
        <vertAlign val="subscript"/>
        <sz val="10"/>
        <rFont val="Arial"/>
        <family val="2"/>
      </rPr>
      <t>CR</t>
    </r>
  </si>
  <si>
    <t>Reisefluggeschwindigkeit</t>
  </si>
  <si>
    <t>Auslegungsreichweite</t>
  </si>
  <si>
    <t>Flugstrecke zum Ausweichplatz</t>
  </si>
  <si>
    <t>Spez.Kraftstoffverbrauch, Reise</t>
  </si>
  <si>
    <t>Breguet-Faktor, Reichweite</t>
  </si>
  <si>
    <t>Fuel-Fraction, Reiseflug</t>
  </si>
  <si>
    <t>Flugzeit im Warteflug</t>
  </si>
  <si>
    <t>Breguet-Faktor, Flugzeit</t>
  </si>
  <si>
    <t>Fuel-Fraction, Warteflug</t>
  </si>
  <si>
    <t>Fuel-Fraction, Triebwerksstart</t>
  </si>
  <si>
    <t>Fuel-Fraction, Rollen</t>
  </si>
  <si>
    <t>Fuel-Fraction, Start</t>
  </si>
  <si>
    <t>Fuel-Fraction, Steigflug</t>
  </si>
  <si>
    <t>Fuel-Fraction, Sinkflug</t>
  </si>
  <si>
    <t>Fuel-Fraction, Landung</t>
  </si>
  <si>
    <t>Fuel-Fraction, Standardflug</t>
  </si>
  <si>
    <t>Fuel-Fraction, gesamt</t>
  </si>
  <si>
    <t>Kraftstoffmassenanteil</t>
  </si>
  <si>
    <t>Frachtmasse</t>
  </si>
  <si>
    <t>Nutzlast</t>
  </si>
  <si>
    <t>maximale Abflugmasse</t>
  </si>
  <si>
    <t>maximale Landemasse</t>
  </si>
  <si>
    <t>Betriebsleermasse</t>
  </si>
  <si>
    <t>Flügelfläche</t>
  </si>
  <si>
    <t>Startschub</t>
  </si>
  <si>
    <t>Startschub EINES Triebwerks</t>
  </si>
  <si>
    <t>Kraftstoffmasse, erforderlich</t>
  </si>
  <si>
    <t>Kraftstoffdichte</t>
  </si>
  <si>
    <t>Kraftstoffvolumen, erforderlich</t>
  </si>
  <si>
    <t>max. Nutzlast</t>
  </si>
  <si>
    <t>max. Leertankmasse</t>
  </si>
  <si>
    <r>
      <t>m</t>
    </r>
    <r>
      <rPr>
        <vertAlign val="subscript"/>
        <sz val="10"/>
        <rFont val="Arial"/>
        <family val="2"/>
      </rPr>
      <t xml:space="preserve">ML          </t>
    </r>
  </si>
  <si>
    <t>Überprüfung der Annahmen:</t>
  </si>
  <si>
    <t>Kurz- / Mittelstr.</t>
  </si>
  <si>
    <t>Fuel-Fraction, Reserveflugstr.</t>
  </si>
  <si>
    <t>max. Gleitzahl, Reiseflug</t>
  </si>
  <si>
    <r>
      <t>Schallgeschwindigkeit, h</t>
    </r>
    <r>
      <rPr>
        <vertAlign val="subscript"/>
        <sz val="10"/>
        <rFont val="Arial"/>
        <family val="2"/>
      </rPr>
      <t>CR</t>
    </r>
  </si>
  <si>
    <t>NM</t>
  </si>
  <si>
    <t>Umrechnungsfaktor</t>
  </si>
  <si>
    <t>NM -&gt; m</t>
  </si>
  <si>
    <t>m/NM</t>
  </si>
  <si>
    <t>Fuel-Fraction, alle Reserven</t>
  </si>
  <si>
    <t>Spez.Kraftstoffverbr., Warteflug</t>
  </si>
  <si>
    <t>Betriebsleermasenverhältnis</t>
  </si>
  <si>
    <t>Anzahl der Passagiere</t>
  </si>
  <si>
    <r>
      <t>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=</t>
    </r>
  </si>
  <si>
    <t>f(BPR,h)</t>
  </si>
  <si>
    <t>Jet, Theorie, Optimum:</t>
  </si>
  <si>
    <t>Isentropenexponent, Luft</t>
  </si>
  <si>
    <t>Erdbeschleunigung</t>
  </si>
  <si>
    <t>Luftdruck, ISA, Standard</t>
  </si>
  <si>
    <t>Eulersche Zahl</t>
  </si>
  <si>
    <t xml:space="preserve">   Autor:</t>
  </si>
  <si>
    <t xml:space="preserve">   Prof. Dr.-Ing. Dieter Scholz, MSME</t>
  </si>
  <si>
    <t xml:space="preserve">   HAW Hamburg</t>
  </si>
  <si>
    <r>
      <t xml:space="preserve">   </t>
    </r>
    <r>
      <rPr>
        <u/>
        <sz val="10"/>
        <color indexed="12"/>
        <rFont val="Arial"/>
        <family val="2"/>
      </rPr>
      <t>http://www.ProfScholz.de</t>
    </r>
  </si>
  <si>
    <t xml:space="preserve">   Beispieldaten: Siehe Klausur SS05</t>
  </si>
  <si>
    <t>typischer Wert:</t>
  </si>
  <si>
    <t>Kraftstoffmasse, alle Reserven</t>
  </si>
  <si>
    <t>Masse: Passagier mit Gepäck</t>
  </si>
  <si>
    <t>Kraftstoffmasse für Standardflug</t>
  </si>
  <si>
    <r>
      <t>m</t>
    </r>
    <r>
      <rPr>
        <vertAlign val="subscript"/>
        <sz val="10"/>
        <rFont val="Arial"/>
        <family val="2"/>
      </rPr>
      <t>F</t>
    </r>
  </si>
  <si>
    <t>(später zu vergleichen mit der Tankgeometrie)</t>
  </si>
  <si>
    <t>m -&gt; ft</t>
  </si>
  <si>
    <t>m/ft</t>
  </si>
  <si>
    <t>ft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</si>
  <si>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 bei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 xml:space="preserve">W </t>
    </r>
    <r>
      <rPr>
        <sz val="10"/>
        <rFont val="Arial"/>
        <family val="2"/>
      </rPr>
      <t>der Landung</t>
    </r>
  </si>
  <si>
    <t>&lt;&lt;&lt;&lt; Entwurfspunkt aus Entwurfsdiagramm ablesen.</t>
  </si>
  <si>
    <r>
      <t xml:space="preserve">&lt;&lt;&lt;&lt; </t>
    </r>
    <r>
      <rPr>
        <sz val="10"/>
        <rFont val="Arial"/>
        <family val="2"/>
      </rPr>
      <t>Die angegebenen Daten sind dann richtig, wenn Start und Landung gleichzeitig dimensionierend sind.</t>
    </r>
  </si>
  <si>
    <t>Reservezeit:</t>
  </si>
  <si>
    <t>Reserveflugstrecke:</t>
  </si>
  <si>
    <t>Kraftstoffreserve auf Langstrecke</t>
  </si>
  <si>
    <t>Reserveflugstrecke</t>
  </si>
  <si>
    <r>
      <t>Abfrage</t>
    </r>
    <r>
      <rPr>
        <sz val="10"/>
        <rFont val="Arial"/>
        <family val="2"/>
      </rPr>
      <t>: FAR Part121-Reserves?</t>
    </r>
  </si>
  <si>
    <r>
      <t>Abfrage</t>
    </r>
    <r>
      <rPr>
        <sz val="10"/>
        <rFont val="Arial"/>
        <family val="2"/>
      </rPr>
      <t>: Flugzeugtyp</t>
    </r>
  </si>
  <si>
    <t>Starttemperatur über ISA (288,15K)</t>
  </si>
  <si>
    <r>
      <t>Abfrage</t>
    </r>
    <r>
      <rPr>
        <sz val="10"/>
        <rFont val="Arial"/>
        <family val="2"/>
      </rPr>
      <t>: Zulassungsbasis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</si>
  <si>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L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</si>
  <si>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TO</t>
    </r>
  </si>
  <si>
    <t>m²/kg</t>
  </si>
  <si>
    <t>Leertankmasse</t>
  </si>
  <si>
    <r>
      <t>m</t>
    </r>
    <r>
      <rPr>
        <vertAlign val="subscript"/>
        <sz val="10"/>
        <rFont val="Arial"/>
        <family val="2"/>
      </rPr>
      <t>ZF</t>
    </r>
  </si>
  <si>
    <r>
      <t>m</t>
    </r>
    <r>
      <rPr>
        <vertAlign val="subscript"/>
        <sz val="10"/>
        <rFont val="Arial"/>
        <family val="2"/>
      </rPr>
      <t>ZF</t>
    </r>
    <r>
      <rPr>
        <sz val="10"/>
        <rFont val="Arial"/>
        <family val="2"/>
      </rPr>
      <t xml:space="preserve"> + m</t>
    </r>
    <r>
      <rPr>
        <vertAlign val="subscript"/>
        <sz val="10"/>
        <rFont val="Arial"/>
        <family val="2"/>
      </rPr>
      <t>F,res</t>
    </r>
  </si>
  <si>
    <r>
      <t>C</t>
    </r>
    <r>
      <rPr>
        <vertAlign val="subscript"/>
        <sz val="10"/>
        <rFont val="Arial"/>
        <family val="2"/>
      </rPr>
      <t>L</t>
    </r>
    <r>
      <rPr>
        <sz val="10"/>
        <rFont val="Arial"/>
        <family val="2"/>
      </rPr>
      <t>/C</t>
    </r>
    <r>
      <rPr>
        <vertAlign val="subscript"/>
        <sz val="10"/>
        <rFont val="Arial"/>
        <family val="2"/>
      </rPr>
      <t>L,md</t>
    </r>
  </si>
  <si>
    <r>
      <t>C</t>
    </r>
    <r>
      <rPr>
        <vertAlign val="subscript"/>
        <sz val="10"/>
        <rFont val="Arial"/>
        <family val="2"/>
      </rPr>
      <t>L,md</t>
    </r>
  </si>
  <si>
    <t>CS-25</t>
  </si>
  <si>
    <r>
      <t>C</t>
    </r>
    <r>
      <rPr>
        <vertAlign val="subscript"/>
        <sz val="10"/>
        <rFont val="Arial"/>
        <family val="2"/>
      </rPr>
      <t>f,quer</t>
    </r>
  </si>
  <si>
    <r>
      <t>V/V</t>
    </r>
    <r>
      <rPr>
        <vertAlign val="subscript"/>
        <sz val="10"/>
        <rFont val="Arial"/>
        <family val="2"/>
      </rPr>
      <t>md</t>
    </r>
  </si>
  <si>
    <t>nein</t>
  </si>
  <si>
    <t>Flugdauer [min]:</t>
  </si>
  <si>
    <t>in h:</t>
  </si>
  <si>
    <t>Missed Approach</t>
  </si>
  <si>
    <t>Cruise</t>
  </si>
  <si>
    <t>Landing</t>
  </si>
  <si>
    <t>Take off</t>
  </si>
  <si>
    <t>Massen Referenzflugzeug WV012</t>
  </si>
  <si>
    <r>
      <t>Maximum Ramp Mass (m</t>
    </r>
    <r>
      <rPr>
        <vertAlign val="subscript"/>
        <sz val="10"/>
        <rFont val="Arial"/>
        <family val="2"/>
      </rPr>
      <t>MR</t>
    </r>
    <r>
      <rPr>
        <sz val="10"/>
        <rFont val="Arial"/>
        <family val="2"/>
      </rPr>
      <t>)</t>
    </r>
  </si>
  <si>
    <r>
      <t>Maximum Take-Off Mass (m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)</t>
    </r>
  </si>
  <si>
    <r>
      <t>Maximum Landning Mass (m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>)</t>
    </r>
  </si>
  <si>
    <r>
      <t>Maximum Zero Fuel Mass (m</t>
    </r>
    <r>
      <rPr>
        <vertAlign val="subscript"/>
        <sz val="10"/>
        <rFont val="Arial"/>
        <family val="2"/>
      </rPr>
      <t>MZF</t>
    </r>
    <r>
      <rPr>
        <sz val="10"/>
        <rFont val="Arial"/>
        <family val="2"/>
      </rPr>
      <t>)</t>
    </r>
  </si>
  <si>
    <r>
      <t>Wing surface (S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>)</t>
    </r>
  </si>
  <si>
    <r>
      <t>m</t>
    </r>
    <r>
      <rPr>
        <vertAlign val="superscript"/>
        <sz val="10"/>
        <rFont val="Arial"/>
        <family val="2"/>
      </rPr>
      <t>2</t>
    </r>
  </si>
  <si>
    <t>Copyright © 2023</t>
  </si>
  <si>
    <t>Tobias Albrecht</t>
  </si>
  <si>
    <t>The spreadsheet for the Project (Master studies)</t>
  </si>
  <si>
    <t>"Design of a Modern Passenger Aircraft with Diesel Engine and Propeller"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</si>
  <si>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</si>
  <si>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</si>
  <si>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</si>
  <si>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</si>
  <si>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</si>
  <si>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</si>
  <si>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</si>
  <si>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</si>
  <si>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This file is stored here:</t>
  </si>
  <si>
    <t>https://doi.org/10.7910/DVN/VQCSCF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</si>
</sst>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"/>
    <numFmt numFmtId="167" formatCode="0.0000000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4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vertAlign val="superscript"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1"/>
      <color rgb="FF202122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</cellStyleXfs>
  <cellXfs count="127">
    <xf numFmtId="0" fontId="0" fillId="0" borderId="0" xfId="0"/>
    <xf numFmtId="0" fontId="0" fillId="0" borderId="1" xfId="0" applyBorder="1"/>
    <xf numFmtId="0" fontId="5" fillId="0" borderId="0" xfId="0" applyFont="1"/>
    <xf numFmtId="0" fontId="0" fillId="0" borderId="1" xfId="0" applyBorder="1" applyAlignment="1">
      <alignment horizontal="right"/>
    </xf>
    <xf numFmtId="0" fontId="6" fillId="0" borderId="0" xfId="0" applyFont="1"/>
    <xf numFmtId="2" fontId="0" fillId="0" borderId="0" xfId="0" applyNumberFormat="1"/>
    <xf numFmtId="1" fontId="0" fillId="0" borderId="0" xfId="0" applyNumberFormat="1"/>
    <xf numFmtId="1" fontId="0" fillId="0" borderId="1" xfId="0" applyNumberFormat="1" applyBorder="1"/>
    <xf numFmtId="0" fontId="0" fillId="0" borderId="1" xfId="0" applyBorder="1" applyAlignment="1">
      <alignment horizontal="left"/>
    </xf>
    <xf numFmtId="0" fontId="2" fillId="0" borderId="0" xfId="0" applyFont="1"/>
    <xf numFmtId="0" fontId="8" fillId="0" borderId="0" xfId="0" applyFont="1"/>
    <xf numFmtId="165" fontId="0" fillId="0" borderId="0" xfId="0" applyNumberFormat="1"/>
    <xf numFmtId="166" fontId="0" fillId="0" borderId="0" xfId="0" applyNumberFormat="1"/>
    <xf numFmtId="0" fontId="9" fillId="0" borderId="0" xfId="0" applyFont="1"/>
    <xf numFmtId="0" fontId="3" fillId="0" borderId="0" xfId="0" applyFont="1"/>
    <xf numFmtId="0" fontId="0" fillId="0" borderId="0" xfId="0" quotePrefix="1"/>
    <xf numFmtId="165" fontId="3" fillId="0" borderId="0" xfId="0" applyNumberFormat="1" applyFont="1"/>
    <xf numFmtId="1" fontId="3" fillId="0" borderId="0" xfId="0" applyNumberFormat="1" applyFont="1"/>
    <xf numFmtId="165" fontId="7" fillId="0" borderId="0" xfId="0" applyNumberFormat="1" applyFont="1"/>
    <xf numFmtId="9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/>
    <xf numFmtId="0" fontId="10" fillId="0" borderId="0" xfId="0" applyFont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2" xfId="0" applyBorder="1"/>
    <xf numFmtId="1" fontId="0" fillId="0" borderId="3" xfId="0" applyNumberFormat="1" applyBorder="1"/>
    <xf numFmtId="0" fontId="0" fillId="0" borderId="4" xfId="0" applyBorder="1" applyAlignment="1">
      <alignment horizontal="right"/>
    </xf>
    <xf numFmtId="165" fontId="0" fillId="0" borderId="5" xfId="0" applyNumberFormat="1" applyBorder="1"/>
    <xf numFmtId="0" fontId="0" fillId="0" borderId="5" xfId="0" applyBorder="1"/>
    <xf numFmtId="0" fontId="0" fillId="0" borderId="4" xfId="0" applyBorder="1"/>
    <xf numFmtId="2" fontId="0" fillId="0" borderId="5" xfId="0" applyNumberFormat="1" applyBorder="1"/>
    <xf numFmtId="0" fontId="9" fillId="0" borderId="6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0" fillId="0" borderId="6" xfId="0" applyBorder="1"/>
    <xf numFmtId="0" fontId="0" fillId="0" borderId="9" xfId="0" applyBorder="1" applyAlignment="1">
      <alignment horizontal="right"/>
    </xf>
    <xf numFmtId="0" fontId="0" fillId="0" borderId="10" xfId="0" applyBorder="1"/>
    <xf numFmtId="11" fontId="10" fillId="0" borderId="0" xfId="0" applyNumberFormat="1" applyFont="1"/>
    <xf numFmtId="1" fontId="10" fillId="0" borderId="0" xfId="0" applyNumberFormat="1" applyFont="1"/>
    <xf numFmtId="0" fontId="0" fillId="0" borderId="6" xfId="0" applyBorder="1" applyAlignment="1">
      <alignment horizontal="centerContinuous"/>
    </xf>
    <xf numFmtId="0" fontId="0" fillId="0" borderId="7" xfId="0" applyBorder="1" applyAlignment="1">
      <alignment horizontal="centerContinuous"/>
    </xf>
    <xf numFmtId="0" fontId="0" fillId="0" borderId="7" xfId="0" applyBorder="1" applyAlignment="1">
      <alignment horizontal="right"/>
    </xf>
    <xf numFmtId="165" fontId="0" fillId="0" borderId="11" xfId="0" applyNumberFormat="1" applyBorder="1"/>
    <xf numFmtId="165" fontId="0" fillId="0" borderId="3" xfId="0" applyNumberFormat="1" applyBorder="1"/>
    <xf numFmtId="165" fontId="0" fillId="0" borderId="2" xfId="0" applyNumberFormat="1" applyBorder="1"/>
    <xf numFmtId="0" fontId="0" fillId="0" borderId="8" xfId="0" applyBorder="1"/>
    <xf numFmtId="0" fontId="0" fillId="0" borderId="12" xfId="0" applyBorder="1"/>
    <xf numFmtId="0" fontId="0" fillId="0" borderId="8" xfId="0" applyBorder="1" applyAlignment="1">
      <alignment horizontal="right"/>
    </xf>
    <xf numFmtId="165" fontId="0" fillId="0" borderId="12" xfId="0" applyNumberFormat="1" applyBorder="1"/>
    <xf numFmtId="165" fontId="0" fillId="0" borderId="4" xfId="0" applyNumberFormat="1" applyBorder="1"/>
    <xf numFmtId="165" fontId="10" fillId="0" borderId="0" xfId="0" applyNumberFormat="1" applyFont="1"/>
    <xf numFmtId="165" fontId="10" fillId="0" borderId="0" xfId="0" applyNumberFormat="1" applyFont="1" applyAlignment="1">
      <alignment horizontal="right"/>
    </xf>
    <xf numFmtId="1" fontId="13" fillId="0" borderId="0" xfId="0" applyNumberFormat="1" applyFont="1"/>
    <xf numFmtId="0" fontId="13" fillId="0" borderId="0" xfId="0" applyFont="1"/>
    <xf numFmtId="2" fontId="10" fillId="0" borderId="0" xfId="0" applyNumberFormat="1" applyFont="1"/>
    <xf numFmtId="165" fontId="13" fillId="0" borderId="0" xfId="0" applyNumberFormat="1" applyFont="1"/>
    <xf numFmtId="167" fontId="13" fillId="0" borderId="0" xfId="0" applyNumberFormat="1" applyFont="1"/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2" fontId="0" fillId="0" borderId="14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left"/>
    </xf>
    <xf numFmtId="0" fontId="0" fillId="0" borderId="4" xfId="0" applyBorder="1" applyAlignment="1">
      <alignment horizontal="left"/>
    </xf>
    <xf numFmtId="2" fontId="3" fillId="0" borderId="0" xfId="0" applyNumberFormat="1" applyFont="1"/>
    <xf numFmtId="0" fontId="9" fillId="0" borderId="15" xfId="0" applyFont="1" applyBorder="1" applyAlignment="1">
      <alignment horizontal="right"/>
    </xf>
    <xf numFmtId="1" fontId="13" fillId="0" borderId="0" xfId="0" applyNumberFormat="1" applyFont="1" applyAlignment="1">
      <alignment horizontal="right"/>
    </xf>
    <xf numFmtId="1" fontId="7" fillId="0" borderId="0" xfId="0" applyNumberFormat="1" applyFont="1"/>
    <xf numFmtId="0" fontId="11" fillId="0" borderId="0" xfId="0" applyFont="1"/>
    <xf numFmtId="166" fontId="7" fillId="0" borderId="0" xfId="0" applyNumberFormat="1" applyFont="1"/>
    <xf numFmtId="166" fontId="13" fillId="0" borderId="0" xfId="0" applyNumberFormat="1" applyFont="1"/>
    <xf numFmtId="166" fontId="10" fillId="0" borderId="0" xfId="0" applyNumberFormat="1" applyFont="1"/>
    <xf numFmtId="165" fontId="11" fillId="0" borderId="0" xfId="0" applyNumberFormat="1" applyFont="1"/>
    <xf numFmtId="0" fontId="6" fillId="0" borderId="4" xfId="0" applyFont="1" applyBorder="1" applyAlignment="1">
      <alignment horizontal="right"/>
    </xf>
    <xf numFmtId="0" fontId="11" fillId="0" borderId="2" xfId="0" applyFont="1" applyBorder="1"/>
    <xf numFmtId="0" fontId="16" fillId="0" borderId="0" xfId="0" applyFont="1"/>
    <xf numFmtId="2" fontId="13" fillId="0" borderId="0" xfId="0" applyNumberFormat="1" applyFont="1"/>
    <xf numFmtId="0" fontId="10" fillId="0" borderId="0" xfId="0" applyFont="1" applyAlignment="1">
      <alignment horizontal="right"/>
    </xf>
    <xf numFmtId="2" fontId="7" fillId="0" borderId="0" xfId="0" applyNumberFormat="1" applyFont="1"/>
    <xf numFmtId="166" fontId="7" fillId="0" borderId="0" xfId="0" applyNumberFormat="1" applyFont="1" applyAlignment="1">
      <alignment horizontal="right"/>
    </xf>
    <xf numFmtId="166" fontId="11" fillId="0" borderId="2" xfId="0" applyNumberFormat="1" applyFont="1" applyBorder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15" xfId="0" applyBorder="1"/>
    <xf numFmtId="0" fontId="0" fillId="0" borderId="16" xfId="0" applyBorder="1"/>
    <xf numFmtId="0" fontId="9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7" fillId="0" borderId="21" xfId="0" applyFont="1" applyBorder="1"/>
    <xf numFmtId="0" fontId="0" fillId="0" borderId="22" xfId="0" applyBorder="1"/>
    <xf numFmtId="0" fontId="0" fillId="0" borderId="23" xfId="0" applyBorder="1"/>
    <xf numFmtId="0" fontId="0" fillId="0" borderId="0" xfId="0" applyAlignment="1">
      <alignment horizontal="right"/>
    </xf>
    <xf numFmtId="0" fontId="0" fillId="0" borderId="17" xfId="0" applyBorder="1"/>
    <xf numFmtId="0" fontId="9" fillId="0" borderId="19" xfId="0" applyFont="1" applyBorder="1"/>
    <xf numFmtId="0" fontId="0" fillId="0" borderId="21" xfId="0" applyBorder="1"/>
    <xf numFmtId="0" fontId="0" fillId="0" borderId="9" xfId="0" applyBorder="1"/>
    <xf numFmtId="165" fontId="0" fillId="0" borderId="1" xfId="0" applyNumberFormat="1" applyBorder="1"/>
    <xf numFmtId="1" fontId="0" fillId="0" borderId="2" xfId="0" applyNumberFormat="1" applyBorder="1"/>
    <xf numFmtId="0" fontId="17" fillId="0" borderId="19" xfId="1" applyBorder="1" applyAlignment="1" applyProtection="1"/>
    <xf numFmtId="11" fontId="7" fillId="0" borderId="0" xfId="0" applyNumberFormat="1" applyFont="1"/>
    <xf numFmtId="0" fontId="0" fillId="0" borderId="6" xfId="0" applyBorder="1" applyAlignment="1">
      <alignment horizontal="right"/>
    </xf>
    <xf numFmtId="0" fontId="0" fillId="0" borderId="7" xfId="0" applyBorder="1"/>
    <xf numFmtId="165" fontId="11" fillId="0" borderId="2" xfId="0" applyNumberFormat="1" applyFont="1" applyBorder="1"/>
    <xf numFmtId="165" fontId="7" fillId="0" borderId="2" xfId="0" applyNumberFormat="1" applyFont="1" applyBorder="1"/>
    <xf numFmtId="165" fontId="9" fillId="0" borderId="3" xfId="0" applyNumberFormat="1" applyFont="1" applyBorder="1"/>
    <xf numFmtId="1" fontId="7" fillId="0" borderId="0" xfId="0" applyNumberFormat="1" applyFont="1" applyAlignment="1">
      <alignment horizontal="right"/>
    </xf>
    <xf numFmtId="9" fontId="11" fillId="0" borderId="0" xfId="0" applyNumberFormat="1" applyFont="1"/>
    <xf numFmtId="0" fontId="0" fillId="0" borderId="14" xfId="0" applyBorder="1"/>
    <xf numFmtId="0" fontId="0" fillId="0" borderId="11" xfId="0" applyBorder="1"/>
    <xf numFmtId="0" fontId="3" fillId="0" borderId="7" xfId="0" applyFont="1" applyBorder="1" applyAlignment="1">
      <alignment horizontal="right"/>
    </xf>
    <xf numFmtId="0" fontId="18" fillId="0" borderId="0" xfId="0" applyFont="1"/>
    <xf numFmtId="0" fontId="17" fillId="0" borderId="0" xfId="1" applyAlignment="1" applyProtection="1"/>
    <xf numFmtId="164" fontId="10" fillId="0" borderId="0" xfId="0" applyNumberFormat="1" applyFont="1"/>
    <xf numFmtId="0" fontId="3" fillId="0" borderId="8" xfId="0" applyFont="1" applyBorder="1" applyAlignment="1">
      <alignment horizontal="left"/>
    </xf>
    <xf numFmtId="2" fontId="11" fillId="0" borderId="0" xfId="0" applyNumberFormat="1" applyFont="1"/>
    <xf numFmtId="0" fontId="17" fillId="0" borderId="0" xfId="1" applyFill="1" applyAlignment="1" applyProtection="1"/>
    <xf numFmtId="0" fontId="19" fillId="0" borderId="0" xfId="0" applyFont="1"/>
    <xf numFmtId="0" fontId="3" fillId="0" borderId="0" xfId="0" applyFont="1" applyAlignment="1">
      <alignment horizontal="right"/>
    </xf>
    <xf numFmtId="0" fontId="20" fillId="2" borderId="0" xfId="2" applyFont="1" applyFill="1"/>
    <xf numFmtId="0" fontId="1" fillId="2" borderId="0" xfId="2" applyFill="1"/>
    <xf numFmtId="0" fontId="1" fillId="0" borderId="0" xfId="3"/>
    <xf numFmtId="0" fontId="21" fillId="2" borderId="0" xfId="2" applyFont="1" applyFill="1"/>
    <xf numFmtId="0" fontId="22" fillId="2" borderId="0" xfId="2" applyFont="1" applyFill="1"/>
    <xf numFmtId="0" fontId="24" fillId="2" borderId="0" xfId="4" applyFont="1" applyFill="1" applyAlignment="1" applyProtection="1"/>
    <xf numFmtId="0" fontId="24" fillId="2" borderId="0" xfId="5" applyFont="1" applyFill="1"/>
  </cellXfs>
  <cellStyles count="6">
    <cellStyle name="Hyperlink 2" xfId="4" xr:uid="{907D63A9-A722-4AA3-A257-A2655FC4967B}"/>
    <cellStyle name="Hyperlink 3" xfId="5" xr:uid="{4A5DE0E0-652E-4BD1-BC95-574D2B1B25E9}"/>
    <cellStyle name="Link" xfId="1" builtinId="8"/>
    <cellStyle name="Normal 3" xfId="3" xr:uid="{B028AFC1-B19A-4649-B23C-1CFF9A7D0F31}"/>
    <cellStyle name="Standard" xfId="0" builtinId="0"/>
    <cellStyle name="Standard 2" xfId="2" xr:uid="{CE5DE822-5E3A-4207-8AD0-C440D24AC807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4.xml"/><Relationship Id="rId23" Type="http://schemas.openxmlformats.org/officeDocument/2006/relationships/calcChain" Target="calcChain.xml"/><Relationship Id="rId10" Type="http://schemas.openxmlformats.org/officeDocument/2006/relationships/worksheet" Target="worksheets/sheet9.xml"/><Relationship Id="rId19" Type="http://schemas.openxmlformats.org/officeDocument/2006/relationships/externalLink" Target="externalLinks/externalLink2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Matching</a:t>
            </a:r>
            <a:r>
              <a:rPr lang="en-US" baseline="0"/>
              <a:t> Chart</a:t>
            </a:r>
          </a:p>
        </c:rich>
      </c:tx>
      <c:layout>
        <c:manualLayout>
          <c:xMode val="edge"/>
          <c:yMode val="edge"/>
          <c:x val="0.42187504949186527"/>
          <c:y val="2.02019594953257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250000000000003E-2"/>
          <c:y val="0.11279461279461279"/>
          <c:w val="0.76875000000000004"/>
          <c:h val="0.77777777777777779"/>
        </c:manualLayout>
      </c:layout>
      <c:scatterChart>
        <c:scatterStyle val="lineMarker"/>
        <c:varyColors val="0"/>
        <c:ser>
          <c:idx val="0"/>
          <c:order val="0"/>
          <c:tx>
            <c:strRef>
              <c:f>'3.) Dimensionierung'!$G$20</c:f>
              <c:strCache>
                <c:ptCount val="1"/>
                <c:pt idx="0">
                  <c:v>2. Segment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'3.) Dimensionierung'!$F$30:$F$39</c:f>
              <c:numCache>
                <c:formatCode>0</c:formatCode>
                <c:ptCount val="10"/>
                <c:pt idx="0">
                  <c:v>1055.2524794460799</c:v>
                </c:pt>
                <c:pt idx="1">
                  <c:v>911.25038111349158</c:v>
                </c:pt>
                <c:pt idx="2">
                  <c:v>783.59056912520964</c:v>
                </c:pt>
                <c:pt idx="3">
                  <c:v>670.81474269348087</c:v>
                </c:pt>
                <c:pt idx="4">
                  <c:v>572.65532205613408</c:v>
                </c:pt>
                <c:pt idx="5">
                  <c:v>489.10833238059706</c:v>
                </c:pt>
                <c:pt idx="6">
                  <c:v>417.75034927673056</c:v>
                </c:pt>
                <c:pt idx="7">
                  <c:v>356.80306951923313</c:v>
                </c:pt>
                <c:pt idx="8">
                  <c:v>636.21533442088094</c:v>
                </c:pt>
                <c:pt idx="9">
                  <c:v>636.31533442088096</c:v>
                </c:pt>
              </c:numCache>
            </c:numRef>
          </c:xVal>
          <c:yVal>
            <c:numRef>
              <c:f>'3.) Dimensionierung'!$G$30:$G$39</c:f>
              <c:numCache>
                <c:formatCode>0.000</c:formatCode>
                <c:ptCount val="10"/>
                <c:pt idx="0">
                  <c:v>0.27099969035967408</c:v>
                </c:pt>
                <c:pt idx="1">
                  <c:v>0.27099969035967408</c:v>
                </c:pt>
                <c:pt idx="2">
                  <c:v>0.27099969035967408</c:v>
                </c:pt>
                <c:pt idx="3">
                  <c:v>0.27099969035967408</c:v>
                </c:pt>
                <c:pt idx="4">
                  <c:v>0.27099969035967408</c:v>
                </c:pt>
                <c:pt idx="5">
                  <c:v>0.27099969035967408</c:v>
                </c:pt>
                <c:pt idx="6">
                  <c:v>0.27099969035967408</c:v>
                </c:pt>
                <c:pt idx="7">
                  <c:v>0.27099969035967408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2C-4E25-8C83-E19EF33B384F}"/>
            </c:ext>
          </c:extLst>
        </c:ser>
        <c:ser>
          <c:idx val="1"/>
          <c:order val="1"/>
          <c:tx>
            <c:strRef>
              <c:f>'3.) Dimensionierung'!$H$20</c:f>
              <c:strCache>
                <c:ptCount val="1"/>
                <c:pt idx="0">
                  <c:v>Missed Approach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'3.) Dimensionierung'!$F$30:$F$39</c:f>
              <c:numCache>
                <c:formatCode>0</c:formatCode>
                <c:ptCount val="10"/>
                <c:pt idx="0">
                  <c:v>1055.2524794460799</c:v>
                </c:pt>
                <c:pt idx="1">
                  <c:v>911.25038111349158</c:v>
                </c:pt>
                <c:pt idx="2">
                  <c:v>783.59056912520964</c:v>
                </c:pt>
                <c:pt idx="3">
                  <c:v>670.81474269348087</c:v>
                </c:pt>
                <c:pt idx="4">
                  <c:v>572.65532205613408</c:v>
                </c:pt>
                <c:pt idx="5">
                  <c:v>489.10833238059706</c:v>
                </c:pt>
                <c:pt idx="6">
                  <c:v>417.75034927673056</c:v>
                </c:pt>
                <c:pt idx="7">
                  <c:v>356.80306951923313</c:v>
                </c:pt>
                <c:pt idx="8">
                  <c:v>636.21533442088094</c:v>
                </c:pt>
                <c:pt idx="9">
                  <c:v>636.31533442088096</c:v>
                </c:pt>
              </c:numCache>
            </c:numRef>
          </c:xVal>
          <c:yVal>
            <c:numRef>
              <c:f>'3.) Dimensionierung'!$H$30:$H$39</c:f>
              <c:numCache>
                <c:formatCode>0.000</c:formatCode>
                <c:ptCount val="10"/>
                <c:pt idx="0">
                  <c:v>0.24832910914659534</c:v>
                </c:pt>
                <c:pt idx="1">
                  <c:v>0.24832910914659534</c:v>
                </c:pt>
                <c:pt idx="2">
                  <c:v>0.24832910914659534</c:v>
                </c:pt>
                <c:pt idx="3">
                  <c:v>0.24832910914659534</c:v>
                </c:pt>
                <c:pt idx="4">
                  <c:v>0.24832910914659534</c:v>
                </c:pt>
                <c:pt idx="5">
                  <c:v>0.24832910914659534</c:v>
                </c:pt>
                <c:pt idx="6">
                  <c:v>0.24832910914659534</c:v>
                </c:pt>
                <c:pt idx="7">
                  <c:v>0.24832910914659534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02C-4E25-8C83-E19EF33B384F}"/>
            </c:ext>
          </c:extLst>
        </c:ser>
        <c:ser>
          <c:idx val="2"/>
          <c:order val="2"/>
          <c:tx>
            <c:strRef>
              <c:f>'3.) Dimensionierung'!$I$20</c:f>
              <c:strCache>
                <c:ptCount val="1"/>
                <c:pt idx="0">
                  <c:v>Take off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triangle"/>
            <c:size val="9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'3.) Dimensionierung'!$F$30:$F$39</c:f>
              <c:numCache>
                <c:formatCode>0</c:formatCode>
                <c:ptCount val="10"/>
                <c:pt idx="0">
                  <c:v>1055.2524794460799</c:v>
                </c:pt>
                <c:pt idx="1">
                  <c:v>911.25038111349158</c:v>
                </c:pt>
                <c:pt idx="2">
                  <c:v>783.59056912520964</c:v>
                </c:pt>
                <c:pt idx="3">
                  <c:v>670.81474269348087</c:v>
                </c:pt>
                <c:pt idx="4">
                  <c:v>572.65532205613408</c:v>
                </c:pt>
                <c:pt idx="5">
                  <c:v>489.10833238059706</c:v>
                </c:pt>
                <c:pt idx="6">
                  <c:v>417.75034927673056</c:v>
                </c:pt>
                <c:pt idx="7">
                  <c:v>356.80306951923313</c:v>
                </c:pt>
                <c:pt idx="8">
                  <c:v>636.21533442088094</c:v>
                </c:pt>
                <c:pt idx="9">
                  <c:v>636.31533442088096</c:v>
                </c:pt>
              </c:numCache>
            </c:numRef>
          </c:xVal>
          <c:yVal>
            <c:numRef>
              <c:f>'3.) Dimensionierung'!$I$30:$I$39</c:f>
              <c:numCache>
                <c:formatCode>0.00</c:formatCode>
                <c:ptCount val="10"/>
                <c:pt idx="0">
                  <c:v>0.45400686743853058</c:v>
                </c:pt>
                <c:pt idx="1">
                  <c:v>0.39205208141152059</c:v>
                </c:pt>
                <c:pt idx="2">
                  <c:v>0.33712832385824287</c:v>
                </c:pt>
                <c:pt idx="3">
                  <c:v>0.28860818230127927</c:v>
                </c:pt>
                <c:pt idx="4">
                  <c:v>0.24637653448128474</c:v>
                </c:pt>
                <c:pt idx="5">
                  <c:v>0.21043167028497373</c:v>
                </c:pt>
                <c:pt idx="6">
                  <c:v>0.17973094699198153</c:v>
                </c:pt>
                <c:pt idx="7">
                  <c:v>0.15350927578005896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02C-4E25-8C83-E19EF33B384F}"/>
            </c:ext>
          </c:extLst>
        </c:ser>
        <c:ser>
          <c:idx val="3"/>
          <c:order val="3"/>
          <c:tx>
            <c:strRef>
              <c:f>'3.) Dimensionierung'!$J$20</c:f>
              <c:strCache>
                <c:ptCount val="1"/>
                <c:pt idx="0">
                  <c:v>Cruise</c:v>
                </c:pt>
              </c:strCache>
            </c:strRef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x"/>
            <c:size val="9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'3.) Dimensionierung'!$F$30:$F$39</c:f>
              <c:numCache>
                <c:formatCode>0</c:formatCode>
                <c:ptCount val="10"/>
                <c:pt idx="0">
                  <c:v>1055.2524794460799</c:v>
                </c:pt>
                <c:pt idx="1">
                  <c:v>911.25038111349158</c:v>
                </c:pt>
                <c:pt idx="2">
                  <c:v>783.59056912520964</c:v>
                </c:pt>
                <c:pt idx="3">
                  <c:v>670.81474269348087</c:v>
                </c:pt>
                <c:pt idx="4">
                  <c:v>572.65532205613408</c:v>
                </c:pt>
                <c:pt idx="5">
                  <c:v>489.10833238059706</c:v>
                </c:pt>
                <c:pt idx="6">
                  <c:v>417.75034927673056</c:v>
                </c:pt>
                <c:pt idx="7">
                  <c:v>356.80306951923313</c:v>
                </c:pt>
                <c:pt idx="8">
                  <c:v>636.21533442088094</c:v>
                </c:pt>
                <c:pt idx="9">
                  <c:v>636.31533442088096</c:v>
                </c:pt>
              </c:numCache>
            </c:numRef>
          </c:xVal>
          <c:yVal>
            <c:numRef>
              <c:f>'3.) Dimensionierung'!$J$30:$J$39</c:f>
              <c:numCache>
                <c:formatCode>0.00</c:formatCode>
                <c:ptCount val="10"/>
                <c:pt idx="0">
                  <c:v>0.17767466102685428</c:v>
                </c:pt>
                <c:pt idx="1">
                  <c:v>0.19812564596449775</c:v>
                </c:pt>
                <c:pt idx="2">
                  <c:v>0.22389698462141697</c:v>
                </c:pt>
                <c:pt idx="3">
                  <c:v>0.25737526030294305</c:v>
                </c:pt>
                <c:pt idx="4">
                  <c:v>0.30262543538288439</c:v>
                </c:pt>
                <c:pt idx="5">
                  <c:v>0.36718099664676307</c:v>
                </c:pt>
                <c:pt idx="6">
                  <c:v>0.46674661960380059</c:v>
                </c:pt>
                <c:pt idx="7">
                  <c:v>0.6403985189816862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02C-4E25-8C83-E19EF33B384F}"/>
            </c:ext>
          </c:extLst>
        </c:ser>
        <c:ser>
          <c:idx val="4"/>
          <c:order val="4"/>
          <c:tx>
            <c:strRef>
              <c:f>'3.) Dimensionierung'!$K$20</c:f>
              <c:strCache>
                <c:ptCount val="1"/>
                <c:pt idx="0">
                  <c:v>Landing</c:v>
                </c:pt>
              </c:strCache>
            </c:strRef>
          </c:tx>
          <c:spPr>
            <a:ln w="38100">
              <a:solidFill>
                <a:srgbClr val="800080"/>
              </a:solidFill>
              <a:prstDash val="solid"/>
            </a:ln>
          </c:spPr>
          <c:marker>
            <c:symbol val="star"/>
            <c:size val="9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'3.) Dimensionierung'!$F$30:$F$39</c:f>
              <c:numCache>
                <c:formatCode>0</c:formatCode>
                <c:ptCount val="10"/>
                <c:pt idx="0">
                  <c:v>1055.2524794460799</c:v>
                </c:pt>
                <c:pt idx="1">
                  <c:v>911.25038111349158</c:v>
                </c:pt>
                <c:pt idx="2">
                  <c:v>783.59056912520964</c:v>
                </c:pt>
                <c:pt idx="3">
                  <c:v>670.81474269348087</c:v>
                </c:pt>
                <c:pt idx="4">
                  <c:v>572.65532205613408</c:v>
                </c:pt>
                <c:pt idx="5">
                  <c:v>489.10833238059706</c:v>
                </c:pt>
                <c:pt idx="6">
                  <c:v>417.75034927673056</c:v>
                </c:pt>
                <c:pt idx="7">
                  <c:v>356.80306951923313</c:v>
                </c:pt>
                <c:pt idx="8">
                  <c:v>636.21533442088094</c:v>
                </c:pt>
                <c:pt idx="9">
                  <c:v>636.31533442088096</c:v>
                </c:pt>
              </c:numCache>
            </c:numRef>
          </c:xVal>
          <c:yVal>
            <c:numRef>
              <c:f>'3.) Dimensionierung'!$K$30:$K$39</c:f>
              <c:numCache>
                <c:formatCode>General</c:formatCode>
                <c:ptCount val="10"/>
                <c:pt idx="8">
                  <c:v>0</c:v>
                </c:pt>
                <c:pt idx="9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02C-4E25-8C83-E19EF33B3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22912"/>
        <c:axId val="1"/>
      </c:scatterChart>
      <c:valAx>
        <c:axId val="1563229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Wing</a:t>
                </a:r>
                <a:r>
                  <a:rPr lang="en-US" baseline="0"/>
                  <a:t> loading</a:t>
                </a:r>
                <a:r>
                  <a:rPr lang="en-US"/>
                  <a:t> in kg/m²</a:t>
                </a:r>
              </a:p>
            </c:rich>
          </c:tx>
          <c:layout>
            <c:manualLayout>
              <c:xMode val="edge"/>
              <c:yMode val="edge"/>
              <c:x val="0.3760416228635215"/>
              <c:y val="0.942761114763243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Thrust</a:t>
                </a:r>
                <a:r>
                  <a:rPr lang="en-US" baseline="0"/>
                  <a:t> </a:t>
                </a:r>
                <a:r>
                  <a:rPr lang="en-US"/>
                  <a:t>to weight ratio</a:t>
                </a:r>
              </a:p>
            </c:rich>
          </c:tx>
          <c:layout>
            <c:manualLayout>
              <c:xMode val="edge"/>
              <c:yMode val="edge"/>
              <c:x val="1.1458411268799401E-2"/>
              <c:y val="0.36026969177552504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32291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4552492505907624"/>
          <c:y val="0.24636428187220238"/>
          <c:w val="0.14592031386443949"/>
          <c:h val="0.118110262665422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60" workbookViewId="0"/>
  </sheetViews>
  <pageMargins left="0.78740157499999996" right="0.78740157499999996" top="0.984251969" bottom="0.984251969" header="0.4921259845" footer="0.4921259845"/>
  <pageSetup paperSize="9" orientation="landscape" horizontalDpi="96" verticalDpi="96" r:id="rId1"/>
  <headerFooter alignWithMargins="0"/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6" Type="http://schemas.openxmlformats.org/officeDocument/2006/relationships/image" Target="../media/image14.emf"/><Relationship Id="rId5" Type="http://schemas.openxmlformats.org/officeDocument/2006/relationships/image" Target="../media/image13.emf"/><Relationship Id="rId4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4763</xdr:colOff>
          <xdr:row>16</xdr:row>
          <xdr:rowOff>0</xdr:rowOff>
        </xdr:from>
        <xdr:to>
          <xdr:col>5</xdr:col>
          <xdr:colOff>481013</xdr:colOff>
          <xdr:row>17</xdr:row>
          <xdr:rowOff>80963</xdr:rowOff>
        </xdr:to>
        <xdr:sp macro="" textlink="">
          <xdr:nvSpPr>
            <xdr:cNvPr id="2049" name="Bild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4763</xdr:colOff>
          <xdr:row>29</xdr:row>
          <xdr:rowOff>80963</xdr:rowOff>
        </xdr:from>
        <xdr:to>
          <xdr:col>6</xdr:col>
          <xdr:colOff>361950</xdr:colOff>
          <xdr:row>31</xdr:row>
          <xdr:rowOff>19050</xdr:rowOff>
        </xdr:to>
        <xdr:sp macro="" textlink="">
          <xdr:nvSpPr>
            <xdr:cNvPr id="2050" name="Bild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4763</xdr:colOff>
          <xdr:row>31</xdr:row>
          <xdr:rowOff>61913</xdr:rowOff>
        </xdr:from>
        <xdr:to>
          <xdr:col>5</xdr:col>
          <xdr:colOff>490538</xdr:colOff>
          <xdr:row>34</xdr:row>
          <xdr:rowOff>42863</xdr:rowOff>
        </xdr:to>
        <xdr:sp macro="" textlink="">
          <xdr:nvSpPr>
            <xdr:cNvPr id="2051" name="Bild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14288</xdr:colOff>
          <xdr:row>40</xdr:row>
          <xdr:rowOff>57150</xdr:rowOff>
        </xdr:from>
        <xdr:to>
          <xdr:col>7</xdr:col>
          <xdr:colOff>185738</xdr:colOff>
          <xdr:row>43</xdr:row>
          <xdr:rowOff>4763</xdr:rowOff>
        </xdr:to>
        <xdr:sp macro="" textlink="">
          <xdr:nvSpPr>
            <xdr:cNvPr id="2052" name="Bild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14288</xdr:colOff>
          <xdr:row>57</xdr:row>
          <xdr:rowOff>0</xdr:rowOff>
        </xdr:from>
        <xdr:to>
          <xdr:col>6</xdr:col>
          <xdr:colOff>366713</xdr:colOff>
          <xdr:row>60</xdr:row>
          <xdr:rowOff>14288</xdr:rowOff>
        </xdr:to>
        <xdr:sp macro="" textlink="">
          <xdr:nvSpPr>
            <xdr:cNvPr id="2053" name="Bild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4763</xdr:colOff>
          <xdr:row>76</xdr:row>
          <xdr:rowOff>52388</xdr:rowOff>
        </xdr:from>
        <xdr:to>
          <xdr:col>7</xdr:col>
          <xdr:colOff>166688</xdr:colOff>
          <xdr:row>79</xdr:row>
          <xdr:rowOff>71438</xdr:rowOff>
        </xdr:to>
        <xdr:sp macro="" textlink="">
          <xdr:nvSpPr>
            <xdr:cNvPr id="2054" name="Bild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18</xdr:row>
          <xdr:rowOff>61913</xdr:rowOff>
        </xdr:from>
        <xdr:to>
          <xdr:col>5</xdr:col>
          <xdr:colOff>476250</xdr:colOff>
          <xdr:row>21</xdr:row>
          <xdr:rowOff>80963</xdr:rowOff>
        </xdr:to>
        <xdr:sp macro="" textlink="">
          <xdr:nvSpPr>
            <xdr:cNvPr id="2055" name="Bild 1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4763</xdr:colOff>
          <xdr:row>27</xdr:row>
          <xdr:rowOff>100013</xdr:rowOff>
        </xdr:from>
        <xdr:to>
          <xdr:col>5</xdr:col>
          <xdr:colOff>309563</xdr:colOff>
          <xdr:row>29</xdr:row>
          <xdr:rowOff>19050</xdr:rowOff>
        </xdr:to>
        <xdr:sp macro="" textlink="">
          <xdr:nvSpPr>
            <xdr:cNvPr id="2062" name="Object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539750</xdr:colOff>
      <xdr:row>17</xdr:row>
      <xdr:rowOff>57150</xdr:rowOff>
    </xdr:from>
    <xdr:to>
      <xdr:col>3</xdr:col>
      <xdr:colOff>539750</xdr:colOff>
      <xdr:row>19</xdr:row>
      <xdr:rowOff>69850</xdr:rowOff>
    </xdr:to>
    <xdr:sp macro="" textlink="">
      <xdr:nvSpPr>
        <xdr:cNvPr id="3613" name="Line 11">
          <a:extLst>
            <a:ext uri="{FF2B5EF4-FFF2-40B4-BE49-F238E27FC236}">
              <a16:creationId xmlns:a16="http://schemas.microsoft.com/office/drawing/2014/main" id="{00000000-0008-0000-0200-00001D0E0000}"/>
            </a:ext>
          </a:extLst>
        </xdr:cNvPr>
        <xdr:cNvSpPr>
          <a:spLocks noChangeShapeType="1"/>
        </xdr:cNvSpPr>
      </xdr:nvSpPr>
      <xdr:spPr bwMode="auto">
        <a:xfrm>
          <a:off x="4483100" y="3130550"/>
          <a:ext cx="0" cy="33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482600</xdr:colOff>
      <xdr:row>17</xdr:row>
      <xdr:rowOff>69850</xdr:rowOff>
    </xdr:from>
    <xdr:to>
      <xdr:col>5</xdr:col>
      <xdr:colOff>673100</xdr:colOff>
      <xdr:row>19</xdr:row>
      <xdr:rowOff>69850</xdr:rowOff>
    </xdr:to>
    <xdr:sp macro="" textlink="">
      <xdr:nvSpPr>
        <xdr:cNvPr id="3614" name="Line 12">
          <a:extLst>
            <a:ext uri="{FF2B5EF4-FFF2-40B4-BE49-F238E27FC236}">
              <a16:creationId xmlns:a16="http://schemas.microsoft.com/office/drawing/2014/main" id="{00000000-0008-0000-0200-00001E0E0000}"/>
            </a:ext>
          </a:extLst>
        </xdr:cNvPr>
        <xdr:cNvSpPr>
          <a:spLocks noChangeShapeType="1"/>
        </xdr:cNvSpPr>
      </xdr:nvSpPr>
      <xdr:spPr bwMode="auto">
        <a:xfrm flipH="1">
          <a:off x="6508750" y="3143250"/>
          <a:ext cx="190500" cy="317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6350</xdr:colOff>
      <xdr:row>60</xdr:row>
      <xdr:rowOff>6350</xdr:rowOff>
    </xdr:from>
    <xdr:to>
      <xdr:col>5</xdr:col>
      <xdr:colOff>438150</xdr:colOff>
      <xdr:row>61</xdr:row>
      <xdr:rowOff>101600</xdr:rowOff>
    </xdr:to>
    <xdr:sp macro="" textlink="">
      <xdr:nvSpPr>
        <xdr:cNvPr id="3615" name="Line 16">
          <a:extLst>
            <a:ext uri="{FF2B5EF4-FFF2-40B4-BE49-F238E27FC236}">
              <a16:creationId xmlns:a16="http://schemas.microsoft.com/office/drawing/2014/main" id="{00000000-0008-0000-0200-00001F0E0000}"/>
            </a:ext>
          </a:extLst>
        </xdr:cNvPr>
        <xdr:cNvSpPr>
          <a:spLocks noChangeShapeType="1"/>
        </xdr:cNvSpPr>
      </xdr:nvSpPr>
      <xdr:spPr bwMode="auto">
        <a:xfrm flipH="1">
          <a:off x="3949700" y="10477500"/>
          <a:ext cx="2514600" cy="254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12700</xdr:colOff>
      <xdr:row>67</xdr:row>
      <xdr:rowOff>6350</xdr:rowOff>
    </xdr:from>
    <xdr:to>
      <xdr:col>5</xdr:col>
      <xdr:colOff>495300</xdr:colOff>
      <xdr:row>69</xdr:row>
      <xdr:rowOff>19050</xdr:rowOff>
    </xdr:to>
    <xdr:sp macro="" textlink="">
      <xdr:nvSpPr>
        <xdr:cNvPr id="3616" name="Line 18">
          <a:extLst>
            <a:ext uri="{FF2B5EF4-FFF2-40B4-BE49-F238E27FC236}">
              <a16:creationId xmlns:a16="http://schemas.microsoft.com/office/drawing/2014/main" id="{00000000-0008-0000-0200-0000200E0000}"/>
            </a:ext>
          </a:extLst>
        </xdr:cNvPr>
        <xdr:cNvSpPr>
          <a:spLocks noChangeShapeType="1"/>
        </xdr:cNvSpPr>
      </xdr:nvSpPr>
      <xdr:spPr bwMode="auto">
        <a:xfrm flipH="1">
          <a:off x="3956050" y="11747500"/>
          <a:ext cx="2565400" cy="368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42863</xdr:colOff>
          <xdr:row>8</xdr:row>
          <xdr:rowOff>0</xdr:rowOff>
        </xdr:from>
        <xdr:to>
          <xdr:col>9</xdr:col>
          <xdr:colOff>500063</xdr:colOff>
          <xdr:row>13</xdr:row>
          <xdr:rowOff>52388</xdr:rowOff>
        </xdr:to>
        <xdr:sp macro="" textlink="">
          <xdr:nvSpPr>
            <xdr:cNvPr id="3080" name="Bild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2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547688</xdr:colOff>
          <xdr:row>15</xdr:row>
          <xdr:rowOff>4763</xdr:rowOff>
        </xdr:from>
        <xdr:to>
          <xdr:col>5</xdr:col>
          <xdr:colOff>214313</xdr:colOff>
          <xdr:row>17</xdr:row>
          <xdr:rowOff>61913</xdr:rowOff>
        </xdr:to>
        <xdr:sp macro="" textlink="">
          <xdr:nvSpPr>
            <xdr:cNvPr id="3081" name="Bild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2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690563</xdr:colOff>
          <xdr:row>15</xdr:row>
          <xdr:rowOff>4763</xdr:rowOff>
        </xdr:from>
        <xdr:to>
          <xdr:col>7</xdr:col>
          <xdr:colOff>533400</xdr:colOff>
          <xdr:row>17</xdr:row>
          <xdr:rowOff>57150</xdr:rowOff>
        </xdr:to>
        <xdr:sp macro="" textlink="">
          <xdr:nvSpPr>
            <xdr:cNvPr id="3082" name="Bild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2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23813</xdr:colOff>
          <xdr:row>11</xdr:row>
          <xdr:rowOff>33338</xdr:rowOff>
        </xdr:from>
        <xdr:to>
          <xdr:col>4</xdr:col>
          <xdr:colOff>990600</xdr:colOff>
          <xdr:row>12</xdr:row>
          <xdr:rowOff>95250</xdr:rowOff>
        </xdr:to>
        <xdr:sp macro="" textlink="">
          <xdr:nvSpPr>
            <xdr:cNvPr id="3085" name="Bild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2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14288</xdr:colOff>
          <xdr:row>8</xdr:row>
          <xdr:rowOff>19050</xdr:rowOff>
        </xdr:from>
        <xdr:to>
          <xdr:col>4</xdr:col>
          <xdr:colOff>395288</xdr:colOff>
          <xdr:row>10</xdr:row>
          <xdr:rowOff>171450</xdr:rowOff>
        </xdr:to>
        <xdr:sp macro="" textlink="">
          <xdr:nvSpPr>
            <xdr:cNvPr id="3086" name="Bild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2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42863</xdr:colOff>
          <xdr:row>6</xdr:row>
          <xdr:rowOff>19050</xdr:rowOff>
        </xdr:from>
        <xdr:to>
          <xdr:col>9</xdr:col>
          <xdr:colOff>228600</xdr:colOff>
          <xdr:row>7</xdr:row>
          <xdr:rowOff>80963</xdr:rowOff>
        </xdr:to>
        <xdr:sp macro="" textlink="">
          <xdr:nvSpPr>
            <xdr:cNvPr id="3087" name="Bild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2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18272125" cy="112871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49275"/>
          <a:ext cx="2266950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br_tb/Downloads/Wing-MDO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R_Turbof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mbol"/>
      <sheetName val="Calculations"/>
      <sheetName val="Iteration of the wing mass"/>
      <sheetName val="Results Graphs"/>
      <sheetName val="Drag Optimization"/>
      <sheetName val="(c)"/>
    </sheetNames>
    <sheetDataSet>
      <sheetData sheetId="0" refreshError="1"/>
      <sheetData sheetId="1">
        <row r="6">
          <cell r="C6">
            <v>288.14999999999998</v>
          </cell>
        </row>
        <row r="7">
          <cell r="C7">
            <v>1.2250000000000001</v>
          </cell>
        </row>
        <row r="8">
          <cell r="C8">
            <v>9.81</v>
          </cell>
        </row>
        <row r="12">
          <cell r="C12" t="str">
            <v>Torenbeek method</v>
          </cell>
        </row>
        <row r="13">
          <cell r="C13" t="str">
            <v>Given: b, calculated: A</v>
          </cell>
        </row>
        <row r="14">
          <cell r="C14">
            <v>34.1</v>
          </cell>
        </row>
        <row r="15">
          <cell r="C15">
            <v>9.5</v>
          </cell>
        </row>
        <row r="16">
          <cell r="C16">
            <v>0.12</v>
          </cell>
        </row>
        <row r="17">
          <cell r="C17">
            <v>0.45</v>
          </cell>
        </row>
        <row r="18">
          <cell r="C18">
            <v>1.3</v>
          </cell>
        </row>
        <row r="19">
          <cell r="C19">
            <v>0.21299999999999999</v>
          </cell>
        </row>
        <row r="20">
          <cell r="C20">
            <v>25</v>
          </cell>
        </row>
        <row r="21">
          <cell r="C21">
            <v>4.04</v>
          </cell>
        </row>
        <row r="22">
          <cell r="C22">
            <v>73500</v>
          </cell>
        </row>
        <row r="23">
          <cell r="C23">
            <v>41244</v>
          </cell>
        </row>
        <row r="24">
          <cell r="C24">
            <v>60500</v>
          </cell>
        </row>
        <row r="25">
          <cell r="C25">
            <v>600.49019607843138</v>
          </cell>
        </row>
        <row r="26">
          <cell r="C26">
            <v>5902</v>
          </cell>
        </row>
        <row r="27">
          <cell r="C27">
            <v>0.6</v>
          </cell>
        </row>
        <row r="28">
          <cell r="C28">
            <v>8.8500000000000004E-4</v>
          </cell>
        </row>
        <row r="29">
          <cell r="C29">
            <v>3.734</v>
          </cell>
        </row>
        <row r="30">
          <cell r="C30">
            <v>0.76</v>
          </cell>
        </row>
        <row r="32">
          <cell r="C32">
            <v>11887.2</v>
          </cell>
        </row>
        <row r="33">
          <cell r="C33">
            <v>0.2</v>
          </cell>
        </row>
        <row r="34">
          <cell r="C34">
            <v>1</v>
          </cell>
        </row>
        <row r="58">
          <cell r="C58">
            <v>216.65</v>
          </cell>
        </row>
        <row r="59">
          <cell r="C59">
            <v>1.4216130796413355E-5</v>
          </cell>
        </row>
        <row r="60">
          <cell r="C60">
            <v>0.31639084830178477</v>
          </cell>
        </row>
        <row r="61">
          <cell r="C61">
            <v>4.4932180790683005E-5</v>
          </cell>
        </row>
        <row r="62">
          <cell r="C62">
            <v>295.06955674128091</v>
          </cell>
        </row>
        <row r="64">
          <cell r="C64">
            <v>9.5000816993464081</v>
          </cell>
        </row>
        <row r="65">
          <cell r="C65">
            <v>34.099853372118773</v>
          </cell>
        </row>
        <row r="66">
          <cell r="C66">
            <v>0.11162790697674418</v>
          </cell>
        </row>
        <row r="67">
          <cell r="C67">
            <v>0.14511627906976746</v>
          </cell>
        </row>
        <row r="71">
          <cell r="C71">
            <v>122.39999999999999</v>
          </cell>
        </row>
        <row r="72">
          <cell r="C72">
            <v>9.5000816993464081</v>
          </cell>
        </row>
        <row r="73">
          <cell r="C73">
            <v>34.1</v>
          </cell>
        </row>
        <row r="74">
          <cell r="C74">
            <v>21.70319969388536</v>
          </cell>
        </row>
        <row r="75">
          <cell r="C75">
            <v>5.9182898849946683</v>
          </cell>
        </row>
        <row r="78">
          <cell r="C78">
            <v>36.701713981588306</v>
          </cell>
        </row>
        <row r="79">
          <cell r="C79">
            <v>0.85884020656666826</v>
          </cell>
        </row>
        <row r="80">
          <cell r="C80">
            <v>42.734042608820623</v>
          </cell>
        </row>
        <row r="82">
          <cell r="C82">
            <v>19256</v>
          </cell>
        </row>
        <row r="83">
          <cell r="C83">
            <v>2.5</v>
          </cell>
        </row>
        <row r="87">
          <cell r="C87">
            <v>1.905</v>
          </cell>
        </row>
        <row r="95">
          <cell r="C95">
            <v>0.13674418604651165</v>
          </cell>
        </row>
        <row r="97">
          <cell r="C97">
            <v>77007.687111948995</v>
          </cell>
        </row>
        <row r="98">
          <cell r="C98">
            <v>128.24137282316403</v>
          </cell>
        </row>
        <row r="99">
          <cell r="C99">
            <v>34.1</v>
          </cell>
        </row>
        <row r="100">
          <cell r="C100">
            <v>9.0673545861321578</v>
          </cell>
        </row>
        <row r="102">
          <cell r="C102">
            <v>6.2007321864147213</v>
          </cell>
        </row>
        <row r="105">
          <cell r="C105">
            <v>6817.8183244296333</v>
          </cell>
        </row>
        <row r="107">
          <cell r="C107">
            <v>1.4650122260112981</v>
          </cell>
        </row>
        <row r="108">
          <cell r="C108">
            <v>113.04796677607951</v>
          </cell>
        </row>
        <row r="109">
          <cell r="C109">
            <v>0.76923076923076916</v>
          </cell>
        </row>
        <row r="110">
          <cell r="C110">
            <v>233.9660954984636</v>
          </cell>
        </row>
        <row r="111">
          <cell r="C111">
            <v>128.24137282316403</v>
          </cell>
        </row>
        <row r="112">
          <cell r="C112">
            <v>224.25286312337349</v>
          </cell>
        </row>
        <row r="113">
          <cell r="C113">
            <v>4.2884359223338864</v>
          </cell>
        </row>
        <row r="114">
          <cell r="C114">
            <v>21403235.208737358</v>
          </cell>
        </row>
        <row r="115">
          <cell r="C115">
            <v>2.8705053653505999E-4</v>
          </cell>
        </row>
        <row r="116">
          <cell r="C116">
            <v>2.5317213670648544E-3</v>
          </cell>
        </row>
        <row r="117">
          <cell r="C117">
            <v>2.0827872009588958E-3</v>
          </cell>
        </row>
        <row r="118">
          <cell r="C118">
            <v>5.5668679316327879E-3</v>
          </cell>
        </row>
        <row r="120">
          <cell r="C120">
            <v>0.76</v>
          </cell>
        </row>
        <row r="121">
          <cell r="C121" t="str">
            <v/>
          </cell>
        </row>
        <row r="122">
          <cell r="C122">
            <v>0.6</v>
          </cell>
        </row>
        <row r="123">
          <cell r="C123">
            <v>1.0164943439628076E-3</v>
          </cell>
        </row>
        <row r="125">
          <cell r="C125">
            <v>10.82</v>
          </cell>
        </row>
        <row r="126">
          <cell r="C126">
            <v>1</v>
          </cell>
        </row>
        <row r="127">
          <cell r="C127">
            <v>0.3</v>
          </cell>
        </row>
        <row r="128">
          <cell r="C128">
            <v>0.84</v>
          </cell>
        </row>
        <row r="129">
          <cell r="C129">
            <v>-1.5200000000000001E-3</v>
          </cell>
        </row>
        <row r="130">
          <cell r="C130">
            <v>0.84496442987242815</v>
          </cell>
        </row>
        <row r="131">
          <cell r="C131">
            <v>0.97192731400658749</v>
          </cell>
        </row>
        <row r="132">
          <cell r="C132">
            <v>-0.18077746799544042</v>
          </cell>
        </row>
        <row r="133">
          <cell r="C133">
            <v>1.9248649171825644E-3</v>
          </cell>
        </row>
        <row r="134">
          <cell r="C134">
            <v>0.98284596407759672</v>
          </cell>
        </row>
        <row r="135">
          <cell r="C135">
            <v>1.0468410734751756</v>
          </cell>
        </row>
        <row r="136">
          <cell r="C136">
            <v>2.1154098140204595E-3</v>
          </cell>
        </row>
        <row r="137">
          <cell r="C137">
            <v>0.76322287871741323</v>
          </cell>
        </row>
        <row r="138">
          <cell r="C138">
            <v>0.74046582351538914</v>
          </cell>
        </row>
        <row r="139">
          <cell r="C139">
            <v>2.5219018712052604E-2</v>
          </cell>
        </row>
        <row r="141">
          <cell r="C141">
            <v>3.1802380987648197E-2</v>
          </cell>
        </row>
        <row r="143">
          <cell r="C143">
            <v>32445.741584940992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) Dimensionierung"/>
      <sheetName val="2.) max. Gleitzahl im Reiseflug"/>
      <sheetName val="3.) Dimensionierung"/>
      <sheetName val="3.1.) Systemmassen"/>
      <sheetName val="Entwurfsdiagramm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  <sheetName val="Tabelle1"/>
      <sheetName val="(c)"/>
    </sheetNames>
    <sheetDataSet>
      <sheetData sheetId="0"/>
      <sheetData sheetId="1"/>
      <sheetData sheetId="2">
        <row r="6">
          <cell r="C6">
            <v>5.7</v>
          </cell>
        </row>
        <row r="7">
          <cell r="C7">
            <v>18</v>
          </cell>
        </row>
        <row r="8">
          <cell r="G8">
            <v>0.6828927473837163</v>
          </cell>
        </row>
        <row r="9">
          <cell r="G9">
            <v>17.992022799061807</v>
          </cell>
        </row>
        <row r="15">
          <cell r="C15">
            <v>1.4</v>
          </cell>
        </row>
        <row r="17">
          <cell r="C17">
            <v>101325</v>
          </cell>
        </row>
        <row r="52">
          <cell r="C52">
            <v>230.1909929702941</v>
          </cell>
        </row>
      </sheetData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oleObject" Target="../embeddings/oleObject5.bin"/><Relationship Id="rId18" Type="http://schemas.openxmlformats.org/officeDocument/2006/relationships/image" Target="../media/image7.emf"/><Relationship Id="rId3" Type="http://schemas.openxmlformats.org/officeDocument/2006/relationships/drawing" Target="../drawings/drawing1.xml"/><Relationship Id="rId7" Type="http://schemas.openxmlformats.org/officeDocument/2006/relationships/oleObject" Target="../embeddings/oleObject2.bin"/><Relationship Id="rId12" Type="http://schemas.openxmlformats.org/officeDocument/2006/relationships/image" Target="../media/image4.emf"/><Relationship Id="rId17" Type="http://schemas.openxmlformats.org/officeDocument/2006/relationships/oleObject" Target="../embeddings/oleObject7.bin"/><Relationship Id="rId2" Type="http://schemas.openxmlformats.org/officeDocument/2006/relationships/printerSettings" Target="../printerSettings/printerSettings1.bin"/><Relationship Id="rId16" Type="http://schemas.openxmlformats.org/officeDocument/2006/relationships/image" Target="../media/image6.emf"/><Relationship Id="rId20" Type="http://schemas.openxmlformats.org/officeDocument/2006/relationships/image" Target="../media/image8.emf"/><Relationship Id="rId1" Type="http://schemas.openxmlformats.org/officeDocument/2006/relationships/hyperlink" Target="http://www.profscholz.de/" TargetMode="External"/><Relationship Id="rId6" Type="http://schemas.openxmlformats.org/officeDocument/2006/relationships/image" Target="../media/image1.emf"/><Relationship Id="rId11" Type="http://schemas.openxmlformats.org/officeDocument/2006/relationships/oleObject" Target="../embeddings/oleObject4.bin"/><Relationship Id="rId5" Type="http://schemas.openxmlformats.org/officeDocument/2006/relationships/oleObject" Target="../embeddings/oleObject1.bin"/><Relationship Id="rId15" Type="http://schemas.openxmlformats.org/officeDocument/2006/relationships/oleObject" Target="../embeddings/oleObject6.bin"/><Relationship Id="rId10" Type="http://schemas.openxmlformats.org/officeDocument/2006/relationships/image" Target="../media/image3.emf"/><Relationship Id="rId19" Type="http://schemas.openxmlformats.org/officeDocument/2006/relationships/oleObject" Target="../embeddings/oleObject8.bin"/><Relationship Id="rId4" Type="http://schemas.openxmlformats.org/officeDocument/2006/relationships/vmlDrawing" Target="../drawings/vmlDrawing1.vml"/><Relationship Id="rId9" Type="http://schemas.openxmlformats.org/officeDocument/2006/relationships/oleObject" Target="../embeddings/oleObject3.bin"/><Relationship Id="rId14" Type="http://schemas.openxmlformats.org/officeDocument/2006/relationships/image" Target="../media/image5.emf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hyperlink" Target="https://doi.org/10.7910/DVN/9OVFDO" TargetMode="External"/><Relationship Id="rId1" Type="http://schemas.openxmlformats.org/officeDocument/2006/relationships/hyperlink" Target="https://www.gnu.org/licens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1.bin"/><Relationship Id="rId13" Type="http://schemas.openxmlformats.org/officeDocument/2006/relationships/image" Target="../media/image13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10.emf"/><Relationship Id="rId12" Type="http://schemas.openxmlformats.org/officeDocument/2006/relationships/oleObject" Target="../embeddings/oleObject13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10.bin"/><Relationship Id="rId11" Type="http://schemas.openxmlformats.org/officeDocument/2006/relationships/image" Target="../media/image12.emf"/><Relationship Id="rId5" Type="http://schemas.openxmlformats.org/officeDocument/2006/relationships/image" Target="../media/image9.emf"/><Relationship Id="rId15" Type="http://schemas.openxmlformats.org/officeDocument/2006/relationships/image" Target="../media/image14.emf"/><Relationship Id="rId10" Type="http://schemas.openxmlformats.org/officeDocument/2006/relationships/oleObject" Target="../embeddings/oleObject12.bin"/><Relationship Id="rId4" Type="http://schemas.openxmlformats.org/officeDocument/2006/relationships/oleObject" Target="../embeddings/oleObject9.bin"/><Relationship Id="rId9" Type="http://schemas.openxmlformats.org/officeDocument/2006/relationships/image" Target="../media/image11.emf"/><Relationship Id="rId14" Type="http://schemas.openxmlformats.org/officeDocument/2006/relationships/oleObject" Target="../embeddings/oleObject1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7"/>
  <sheetViews>
    <sheetView tabSelected="1" zoomScaleNormal="100" workbookViewId="0">
      <selection activeCell="A3" sqref="A3"/>
    </sheetView>
  </sheetViews>
  <sheetFormatPr baseColWidth="10" defaultColWidth="10.9296875" defaultRowHeight="12.75" x14ac:dyDescent="0.35"/>
  <cols>
    <col min="1" max="1" width="34.265625" bestFit="1" customWidth="1"/>
    <col min="2" max="2" width="32.73046875" customWidth="1"/>
    <col min="3" max="3" width="10" customWidth="1"/>
    <col min="4" max="4" width="8.265625" customWidth="1"/>
    <col min="5" max="6" width="11.53125" bestFit="1" customWidth="1"/>
    <col min="7" max="8" width="10.9296875" customWidth="1"/>
    <col min="9" max="9" width="12" bestFit="1" customWidth="1"/>
    <col min="10" max="10" width="17.9296875" customWidth="1"/>
  </cols>
  <sheetData>
    <row r="1" spans="1:13" ht="17.649999999999999" x14ac:dyDescent="0.5">
      <c r="A1" s="2" t="s">
        <v>135</v>
      </c>
      <c r="I1" s="118" t="s">
        <v>319</v>
      </c>
      <c r="J1" s="14"/>
    </row>
    <row r="2" spans="1:13" ht="15" x14ac:dyDescent="0.5">
      <c r="A2" s="13" t="s">
        <v>73</v>
      </c>
      <c r="I2" s="14" t="s">
        <v>320</v>
      </c>
      <c r="K2">
        <v>78400</v>
      </c>
      <c r="L2" t="s">
        <v>42</v>
      </c>
    </row>
    <row r="3" spans="1:13" ht="15.4" thickBot="1" x14ac:dyDescent="0.55000000000000004">
      <c r="B3" s="13"/>
      <c r="I3" s="14" t="s">
        <v>321</v>
      </c>
      <c r="K3">
        <v>78000</v>
      </c>
      <c r="L3" t="s">
        <v>42</v>
      </c>
    </row>
    <row r="4" spans="1:13" ht="15" x14ac:dyDescent="0.5">
      <c r="A4" s="85" t="s">
        <v>180</v>
      </c>
      <c r="B4" s="86"/>
      <c r="C4" s="87"/>
      <c r="E4" s="85" t="s">
        <v>276</v>
      </c>
      <c r="F4" s="94"/>
      <c r="G4" s="87"/>
      <c r="I4" s="14" t="s">
        <v>322</v>
      </c>
      <c r="K4">
        <v>66000</v>
      </c>
      <c r="L4" t="s">
        <v>42</v>
      </c>
      <c r="M4" s="14"/>
    </row>
    <row r="5" spans="1:13" ht="15" x14ac:dyDescent="0.5">
      <c r="A5" s="88" t="s">
        <v>179</v>
      </c>
      <c r="B5" s="13"/>
      <c r="C5" s="89"/>
      <c r="E5" s="95" t="s">
        <v>277</v>
      </c>
      <c r="G5" s="89"/>
      <c r="I5" s="14" t="s">
        <v>323</v>
      </c>
      <c r="K5">
        <v>62500</v>
      </c>
      <c r="L5" t="s">
        <v>42</v>
      </c>
    </row>
    <row r="6" spans="1:13" ht="13.15" x14ac:dyDescent="0.4">
      <c r="A6" s="88" t="s">
        <v>111</v>
      </c>
      <c r="B6" s="13"/>
      <c r="C6" s="89"/>
      <c r="E6" s="95" t="s">
        <v>278</v>
      </c>
      <c r="G6" s="89"/>
      <c r="I6" s="14"/>
      <c r="K6" s="5"/>
      <c r="L6" s="14"/>
    </row>
    <row r="7" spans="1:13" ht="15.4" x14ac:dyDescent="0.5">
      <c r="A7" s="88" t="s">
        <v>107</v>
      </c>
      <c r="B7" s="13"/>
      <c r="C7" s="89"/>
      <c r="E7" s="100" t="s">
        <v>279</v>
      </c>
      <c r="G7" s="89"/>
      <c r="I7" s="14" t="s">
        <v>324</v>
      </c>
      <c r="K7" s="5">
        <v>122.6</v>
      </c>
      <c r="L7" s="14" t="s">
        <v>325</v>
      </c>
    </row>
    <row r="8" spans="1:13" ht="13.5" thickBot="1" x14ac:dyDescent="0.45">
      <c r="A8" s="90" t="s">
        <v>181</v>
      </c>
      <c r="B8" s="91"/>
      <c r="C8" s="92"/>
      <c r="E8" s="96" t="s">
        <v>280</v>
      </c>
      <c r="F8" s="91"/>
      <c r="G8" s="92"/>
    </row>
    <row r="9" spans="1:13" x14ac:dyDescent="0.35">
      <c r="A9" s="21"/>
    </row>
    <row r="10" spans="1:13" ht="13.15" x14ac:dyDescent="0.4">
      <c r="A10" s="10" t="s">
        <v>60</v>
      </c>
    </row>
    <row r="11" spans="1:13" ht="15.4" x14ac:dyDescent="0.5">
      <c r="A11" t="s">
        <v>183</v>
      </c>
      <c r="B11" t="s">
        <v>61</v>
      </c>
      <c r="C11" s="116">
        <v>1.7</v>
      </c>
      <c r="D11" t="s">
        <v>105</v>
      </c>
    </row>
    <row r="12" spans="1:13" x14ac:dyDescent="0.35">
      <c r="A12" t="s">
        <v>262</v>
      </c>
      <c r="B12" t="s">
        <v>64</v>
      </c>
      <c r="C12" s="11">
        <f>3.6/1.852</f>
        <v>1.9438444924406046</v>
      </c>
      <c r="D12" t="s">
        <v>5</v>
      </c>
    </row>
    <row r="13" spans="1:13" x14ac:dyDescent="0.35">
      <c r="C13" s="11"/>
    </row>
    <row r="14" spans="1:13" ht="13.15" x14ac:dyDescent="0.4">
      <c r="A14" s="13" t="s">
        <v>102</v>
      </c>
      <c r="C14" s="52" t="s">
        <v>103</v>
      </c>
      <c r="E14" s="9" t="s">
        <v>92</v>
      </c>
    </row>
    <row r="15" spans="1:13" ht="15" x14ac:dyDescent="0.5">
      <c r="A15" t="s">
        <v>184</v>
      </c>
      <c r="B15" t="s">
        <v>62</v>
      </c>
      <c r="C15" s="22">
        <v>1550</v>
      </c>
      <c r="D15" t="s">
        <v>3</v>
      </c>
      <c r="E15" s="12"/>
      <c r="J15" s="14"/>
      <c r="K15" s="14"/>
    </row>
    <row r="16" spans="1:13" ht="15" x14ac:dyDescent="0.5">
      <c r="A16" t="s">
        <v>185</v>
      </c>
      <c r="B16" s="21" t="s">
        <v>63</v>
      </c>
      <c r="C16" s="12">
        <f>C11*SQRT(C15)</f>
        <v>66.929066929100387</v>
      </c>
      <c r="D16" t="s">
        <v>4</v>
      </c>
    </row>
    <row r="17" spans="1:4" ht="15" x14ac:dyDescent="0.5">
      <c r="A17" t="s">
        <v>185</v>
      </c>
      <c r="B17" s="21" t="s">
        <v>63</v>
      </c>
      <c r="C17" s="71">
        <f>C16*C12</f>
        <v>130.09969813432039</v>
      </c>
      <c r="D17" s="54" t="s">
        <v>6</v>
      </c>
    </row>
    <row r="18" spans="1:4" ht="13.15" x14ac:dyDescent="0.4">
      <c r="B18" s="21"/>
      <c r="C18" s="53"/>
      <c r="D18" s="54"/>
    </row>
    <row r="19" spans="1:4" ht="13.15" x14ac:dyDescent="0.4">
      <c r="A19" s="13" t="s">
        <v>104</v>
      </c>
      <c r="C19" s="67" t="str">
        <f>IF(C14="ja","nein","ja")</f>
        <v>nein</v>
      </c>
      <c r="D19" s="54"/>
    </row>
    <row r="20" spans="1:4" ht="15" x14ac:dyDescent="0.5">
      <c r="A20" t="s">
        <v>185</v>
      </c>
      <c r="B20" t="s">
        <v>63</v>
      </c>
      <c r="C20" s="72">
        <v>136.19999999999999</v>
      </c>
      <c r="D20" s="22" t="s">
        <v>6</v>
      </c>
    </row>
    <row r="21" spans="1:4" ht="15" x14ac:dyDescent="0.5">
      <c r="A21" t="s">
        <v>185</v>
      </c>
      <c r="B21" s="21" t="s">
        <v>63</v>
      </c>
      <c r="C21" s="70">
        <f>C20/C12</f>
        <v>70.067333333333337</v>
      </c>
      <c r="D21" t="s">
        <v>4</v>
      </c>
    </row>
    <row r="22" spans="1:4" ht="15" x14ac:dyDescent="0.5">
      <c r="A22" t="s">
        <v>184</v>
      </c>
      <c r="B22" t="s">
        <v>62</v>
      </c>
      <c r="C22" s="53">
        <f>(C21/C11)^2</f>
        <v>1698.7651212610535</v>
      </c>
      <c r="D22" s="54" t="s">
        <v>3</v>
      </c>
    </row>
    <row r="23" spans="1:4" x14ac:dyDescent="0.35">
      <c r="B23" s="21"/>
      <c r="C23" s="68"/>
      <c r="D23" s="21"/>
    </row>
    <row r="24" spans="1:4" x14ac:dyDescent="0.35">
      <c r="C24" s="21"/>
      <c r="D24" s="21"/>
    </row>
    <row r="25" spans="1:4" ht="13.15" x14ac:dyDescent="0.4">
      <c r="A25" s="10" t="s">
        <v>59</v>
      </c>
    </row>
    <row r="26" spans="1:4" ht="15" x14ac:dyDescent="0.5">
      <c r="A26" t="s">
        <v>184</v>
      </c>
      <c r="B26" t="s">
        <v>62</v>
      </c>
      <c r="C26" s="6">
        <f>IF(C14="ja",C15,C22)</f>
        <v>1550</v>
      </c>
      <c r="D26" t="s">
        <v>3</v>
      </c>
    </row>
    <row r="27" spans="1:4" ht="15" x14ac:dyDescent="0.5">
      <c r="A27" t="s">
        <v>299</v>
      </c>
      <c r="B27" s="4" t="s">
        <v>301</v>
      </c>
      <c r="C27" s="22">
        <v>0</v>
      </c>
      <c r="D27" t="s">
        <v>27</v>
      </c>
    </row>
    <row r="28" spans="1:4" ht="13.15" x14ac:dyDescent="0.4">
      <c r="A28" t="s">
        <v>186</v>
      </c>
      <c r="B28" s="4" t="s">
        <v>32</v>
      </c>
      <c r="C28" s="11">
        <f>288.15/(288.15+C27)</f>
        <v>1</v>
      </c>
    </row>
    <row r="29" spans="1:4" ht="15" x14ac:dyDescent="0.5">
      <c r="A29" t="s">
        <v>183</v>
      </c>
      <c r="B29" t="s">
        <v>65</v>
      </c>
      <c r="C29" s="18">
        <f>0.03694455*C11^2</f>
        <v>0.10676974949999998</v>
      </c>
      <c r="D29" t="s">
        <v>7</v>
      </c>
    </row>
    <row r="30" spans="1:4" ht="15" x14ac:dyDescent="0.5">
      <c r="A30" t="s">
        <v>187</v>
      </c>
      <c r="B30" t="s">
        <v>66</v>
      </c>
      <c r="C30" s="22">
        <f>C32/(C29*C28*C26)</f>
        <v>3.2529212037346746</v>
      </c>
    </row>
    <row r="31" spans="1:4" ht="15" x14ac:dyDescent="0.5">
      <c r="A31" t="s">
        <v>188</v>
      </c>
      <c r="B31" t="s">
        <v>109</v>
      </c>
      <c r="C31" s="114">
        <f>K4/K3</f>
        <v>0.84615384615384615</v>
      </c>
    </row>
    <row r="32" spans="1:4" ht="15" x14ac:dyDescent="0.5">
      <c r="A32" t="s">
        <v>189</v>
      </c>
      <c r="B32" s="21" t="s">
        <v>108</v>
      </c>
      <c r="C32" s="79">
        <f>K4/K7</f>
        <v>538.33605220228389</v>
      </c>
      <c r="D32" t="s">
        <v>8</v>
      </c>
    </row>
    <row r="33" spans="1:4" ht="15" x14ac:dyDescent="0.5">
      <c r="A33" t="s">
        <v>190</v>
      </c>
      <c r="B33" s="21" t="s">
        <v>110</v>
      </c>
      <c r="C33" s="56">
        <f>C32/C31</f>
        <v>636.21533442088094</v>
      </c>
      <c r="D33" s="54" t="s">
        <v>8</v>
      </c>
    </row>
    <row r="35" spans="1:4" ht="13.15" x14ac:dyDescent="0.4">
      <c r="A35" s="10" t="s">
        <v>58</v>
      </c>
    </row>
    <row r="36" spans="1:4" ht="15" x14ac:dyDescent="0.5">
      <c r="A36" t="s">
        <v>191</v>
      </c>
      <c r="B36" t="s">
        <v>69</v>
      </c>
      <c r="C36" s="22">
        <v>2090</v>
      </c>
      <c r="D36" t="s">
        <v>3</v>
      </c>
    </row>
    <row r="37" spans="1:4" ht="15" x14ac:dyDescent="0.5">
      <c r="A37" t="s">
        <v>299</v>
      </c>
      <c r="B37" s="4" t="s">
        <v>302</v>
      </c>
      <c r="C37" s="22">
        <v>0</v>
      </c>
      <c r="D37" t="s">
        <v>27</v>
      </c>
    </row>
    <row r="38" spans="1:4" ht="13.15" x14ac:dyDescent="0.4">
      <c r="A38" t="s">
        <v>186</v>
      </c>
      <c r="B38" s="4" t="s">
        <v>32</v>
      </c>
      <c r="C38" s="11">
        <f>288.15/(288.15+C37)</f>
        <v>1</v>
      </c>
    </row>
    <row r="39" spans="1:4" ht="15" x14ac:dyDescent="0.5">
      <c r="A39" t="s">
        <v>183</v>
      </c>
      <c r="B39" t="s">
        <v>67</v>
      </c>
      <c r="C39" s="69">
        <v>2.34</v>
      </c>
      <c r="D39" t="s">
        <v>9</v>
      </c>
    </row>
    <row r="40" spans="1:4" ht="15" x14ac:dyDescent="0.5">
      <c r="A40" t="s">
        <v>192</v>
      </c>
      <c r="B40" t="s">
        <v>112</v>
      </c>
      <c r="C40">
        <f>0.8*C30</f>
        <v>2.60233696298774</v>
      </c>
    </row>
    <row r="41" spans="1:4" ht="15" x14ac:dyDescent="0.5">
      <c r="A41" t="s">
        <v>193</v>
      </c>
      <c r="B41" t="s">
        <v>68</v>
      </c>
      <c r="C41" s="22">
        <f>C40</f>
        <v>2.60233696298774</v>
      </c>
      <c r="D41" s="15"/>
    </row>
    <row r="42" spans="1:4" ht="13.15" x14ac:dyDescent="0.4">
      <c r="A42" t="s">
        <v>194</v>
      </c>
      <c r="B42" s="21" t="s">
        <v>2</v>
      </c>
      <c r="C42" s="57">
        <f>C39/C36/C38/C41</f>
        <v>4.3023530034901845E-4</v>
      </c>
      <c r="D42" s="54" t="s">
        <v>303</v>
      </c>
    </row>
    <row r="43" spans="1:4" ht="15" x14ac:dyDescent="0.5">
      <c r="A43" t="s">
        <v>195</v>
      </c>
      <c r="B43" s="21" t="s">
        <v>290</v>
      </c>
      <c r="C43" s="56">
        <f>C42*C33</f>
        <v>0.2737222954912189</v>
      </c>
    </row>
    <row r="45" spans="1:4" ht="13.15" x14ac:dyDescent="0.4">
      <c r="A45" s="10" t="s">
        <v>10</v>
      </c>
    </row>
    <row r="46" spans="1:4" ht="13.15" x14ac:dyDescent="0.4">
      <c r="B46" s="10"/>
    </row>
    <row r="47" spans="1:4" ht="13.15" x14ac:dyDescent="0.4">
      <c r="A47" s="13" t="s">
        <v>113</v>
      </c>
    </row>
    <row r="48" spans="1:4" ht="13.15" x14ac:dyDescent="0.4">
      <c r="A48" t="s">
        <v>196</v>
      </c>
      <c r="B48" t="s">
        <v>11</v>
      </c>
      <c r="C48" s="22">
        <v>9.4845839999999999</v>
      </c>
      <c r="D48" s="11"/>
    </row>
    <row r="49" spans="1:6" ht="15" x14ac:dyDescent="0.5">
      <c r="A49" t="s">
        <v>197</v>
      </c>
      <c r="B49" t="s">
        <v>114</v>
      </c>
      <c r="C49" s="5">
        <f>C41/1.2^2</f>
        <v>1.807178446519264</v>
      </c>
    </row>
    <row r="50" spans="1:6" ht="15" x14ac:dyDescent="0.5">
      <c r="A50" t="s">
        <v>198</v>
      </c>
      <c r="B50" t="s">
        <v>122</v>
      </c>
      <c r="C50" s="73">
        <v>0.02</v>
      </c>
      <c r="E50" s="48" t="s">
        <v>70</v>
      </c>
      <c r="F50" s="42" t="s">
        <v>72</v>
      </c>
    </row>
    <row r="51" spans="1:6" ht="15" x14ac:dyDescent="0.5">
      <c r="A51" t="s">
        <v>199</v>
      </c>
      <c r="B51" s="4" t="s">
        <v>115</v>
      </c>
      <c r="C51" s="11">
        <f>IF(0.05*(C49-1.3)+0.01&lt;0, 0, 0.05*(C49-1.3)+0.01)</f>
        <v>3.5358922325963195E-2</v>
      </c>
      <c r="D51" t="s">
        <v>45</v>
      </c>
      <c r="E51" s="29">
        <v>2</v>
      </c>
      <c r="F51" s="24">
        <v>2.4E-2</v>
      </c>
    </row>
    <row r="52" spans="1:6" ht="15" x14ac:dyDescent="0.5">
      <c r="A52" t="s">
        <v>200</v>
      </c>
      <c r="B52" s="4" t="s">
        <v>116</v>
      </c>
      <c r="C52" s="73">
        <v>0</v>
      </c>
      <c r="E52" s="29">
        <v>3</v>
      </c>
      <c r="F52" s="24">
        <v>2.7E-2</v>
      </c>
    </row>
    <row r="53" spans="1:6" ht="15" x14ac:dyDescent="0.5">
      <c r="A53" t="s">
        <v>201</v>
      </c>
      <c r="B53" t="s">
        <v>71</v>
      </c>
      <c r="C53" s="18">
        <f>C50+C51+C52</f>
        <v>5.5358922325963192E-2</v>
      </c>
      <c r="E53" s="30">
        <v>4</v>
      </c>
      <c r="F53" s="45">
        <v>0.03</v>
      </c>
    </row>
    <row r="54" spans="1:6" x14ac:dyDescent="0.35">
      <c r="A54" t="s">
        <v>203</v>
      </c>
      <c r="B54" t="s">
        <v>202</v>
      </c>
      <c r="C54" s="69">
        <v>0.75</v>
      </c>
      <c r="F54" s="5"/>
    </row>
    <row r="55" spans="1:6" ht="15" x14ac:dyDescent="0.5">
      <c r="A55" t="s">
        <v>204</v>
      </c>
      <c r="B55" t="s">
        <v>118</v>
      </c>
      <c r="C55" s="5">
        <f>C49/(C53+C49^2/PI()/C48/C54)</f>
        <v>8.9686223185970295</v>
      </c>
    </row>
    <row r="56" spans="1:6" x14ac:dyDescent="0.35">
      <c r="C56" s="5"/>
    </row>
    <row r="57" spans="1:6" ht="13.15" x14ac:dyDescent="0.4">
      <c r="A57" s="13" t="s">
        <v>119</v>
      </c>
      <c r="C57" s="5"/>
    </row>
    <row r="58" spans="1:6" ht="15" x14ac:dyDescent="0.5">
      <c r="A58" t="s">
        <v>206</v>
      </c>
      <c r="B58" t="s">
        <v>70</v>
      </c>
      <c r="C58" s="22">
        <v>2</v>
      </c>
    </row>
    <row r="59" spans="1:6" ht="13.15" x14ac:dyDescent="0.4">
      <c r="A59" t="s">
        <v>207</v>
      </c>
      <c r="B59" t="s">
        <v>72</v>
      </c>
      <c r="C59">
        <f>CHOOSE(C58-1,F51,F52,F53)</f>
        <v>2.4E-2</v>
      </c>
    </row>
    <row r="60" spans="1:6" ht="15" x14ac:dyDescent="0.5">
      <c r="A60" t="s">
        <v>195</v>
      </c>
      <c r="B60" s="21" t="s">
        <v>106</v>
      </c>
      <c r="C60" s="56">
        <f>C58/(C58-1)*(1/C55+C59)</f>
        <v>0.27099969035967408</v>
      </c>
    </row>
    <row r="63" spans="1:6" ht="13.15" x14ac:dyDescent="0.4">
      <c r="A63" s="10" t="s">
        <v>57</v>
      </c>
    </row>
    <row r="64" spans="1:6" ht="13.15" x14ac:dyDescent="0.4">
      <c r="A64" s="13" t="s">
        <v>113</v>
      </c>
    </row>
    <row r="65" spans="1:8" ht="15" x14ac:dyDescent="0.5">
      <c r="A65" t="s">
        <v>208</v>
      </c>
      <c r="B65" t="s">
        <v>120</v>
      </c>
      <c r="C65" s="5">
        <f>C30/1.3^2</f>
        <v>1.9248054459968487</v>
      </c>
      <c r="E65" s="46"/>
      <c r="F65" s="35"/>
      <c r="G65" s="111" t="s">
        <v>309</v>
      </c>
      <c r="H65" s="42" t="s">
        <v>124</v>
      </c>
    </row>
    <row r="66" spans="1:8" ht="15" x14ac:dyDescent="0.5">
      <c r="A66" t="s">
        <v>198</v>
      </c>
      <c r="B66" t="s">
        <v>121</v>
      </c>
      <c r="C66" s="73">
        <v>0.02</v>
      </c>
      <c r="E66" s="74" t="s">
        <v>117</v>
      </c>
      <c r="F66" s="1"/>
      <c r="G66" s="105">
        <v>0</v>
      </c>
      <c r="H66" s="104">
        <v>1.4999999999999999E-2</v>
      </c>
    </row>
    <row r="67" spans="1:8" ht="15" x14ac:dyDescent="0.5">
      <c r="A67" t="s">
        <v>199</v>
      </c>
      <c r="B67" s="4" t="s">
        <v>115</v>
      </c>
      <c r="C67" s="11">
        <f>IF(0.05*(C65-1.3)+0.01&lt;0, 0, 0.05*(C65-1.3)+0.01)</f>
        <v>4.124027229984243E-2</v>
      </c>
    </row>
    <row r="68" spans="1:8" ht="15" x14ac:dyDescent="0.5">
      <c r="A68" t="s">
        <v>200</v>
      </c>
      <c r="B68" s="4" t="s">
        <v>116</v>
      </c>
      <c r="C68" s="73">
        <v>0</v>
      </c>
    </row>
    <row r="69" spans="1:8" ht="13.15" x14ac:dyDescent="0.4">
      <c r="A69" s="13" t="s">
        <v>300</v>
      </c>
      <c r="B69" s="14" t="s">
        <v>309</v>
      </c>
      <c r="C69" s="52" t="s">
        <v>312</v>
      </c>
      <c r="E69" s="9" t="s">
        <v>92</v>
      </c>
    </row>
    <row r="70" spans="1:8" ht="13.15" x14ac:dyDescent="0.4">
      <c r="B70" t="s">
        <v>124</v>
      </c>
      <c r="C70" s="67" t="str">
        <f>IF(C69="ja","nein","ja")</f>
        <v>ja</v>
      </c>
    </row>
    <row r="71" spans="1:8" ht="15" x14ac:dyDescent="0.5">
      <c r="A71" t="s">
        <v>209</v>
      </c>
      <c r="B71" s="4" t="s">
        <v>117</v>
      </c>
      <c r="C71" s="18">
        <f>IF(C69="ja",G66,H66)</f>
        <v>1.4999999999999999E-2</v>
      </c>
      <c r="E71" s="48" t="s">
        <v>70</v>
      </c>
      <c r="F71" s="42" t="s">
        <v>72</v>
      </c>
    </row>
    <row r="72" spans="1:8" ht="15" x14ac:dyDescent="0.5">
      <c r="A72" t="s">
        <v>201</v>
      </c>
      <c r="B72" t="s">
        <v>71</v>
      </c>
      <c r="C72" s="18">
        <f>C66+C67+C68+C71</f>
        <v>7.6240272299842426E-2</v>
      </c>
      <c r="E72" s="29">
        <v>2</v>
      </c>
      <c r="F72" s="24">
        <v>2.1000000000000001E-2</v>
      </c>
    </row>
    <row r="73" spans="1:8" ht="15" x14ac:dyDescent="0.5">
      <c r="A73" t="s">
        <v>205</v>
      </c>
      <c r="B73" t="s">
        <v>123</v>
      </c>
      <c r="C73" s="5">
        <f>C65/(C72+C65^2/PI()/C48/C54)</f>
        <v>7.9529232667413758</v>
      </c>
      <c r="E73" s="29">
        <v>3</v>
      </c>
      <c r="F73" s="24">
        <v>2.4E-2</v>
      </c>
    </row>
    <row r="74" spans="1:8" x14ac:dyDescent="0.35">
      <c r="C74" s="5"/>
      <c r="E74" s="30">
        <v>4</v>
      </c>
      <c r="F74" s="45">
        <v>2.7E-2</v>
      </c>
    </row>
    <row r="75" spans="1:8" ht="13.15" x14ac:dyDescent="0.4">
      <c r="A75" s="13" t="s">
        <v>119</v>
      </c>
      <c r="C75" s="5"/>
      <c r="E75" s="21"/>
      <c r="F75" s="21"/>
    </row>
    <row r="76" spans="1:8" ht="13.15" x14ac:dyDescent="0.4">
      <c r="A76" t="s">
        <v>207</v>
      </c>
      <c r="B76" t="s">
        <v>72</v>
      </c>
      <c r="C76">
        <f>CHOOSE(C58-1,F72,F73,F74)</f>
        <v>2.1000000000000001E-2</v>
      </c>
    </row>
    <row r="77" spans="1:8" ht="15" x14ac:dyDescent="0.5">
      <c r="A77" t="s">
        <v>195</v>
      </c>
      <c r="B77" s="21" t="s">
        <v>106</v>
      </c>
      <c r="C77" s="56">
        <f>C58/(C58-1)*(1/C73+C76)*C31</f>
        <v>0.24832910914659534</v>
      </c>
    </row>
  </sheetData>
  <phoneticPr fontId="5" type="noConversion"/>
  <dataValidations count="1">
    <dataValidation type="list" allowBlank="1" showInputMessage="1" showErrorMessage="1" sqref="C14 C69" xr:uid="{00000000-0002-0000-0000-000000000000}">
      <formula1>"ja, nein"</formula1>
    </dataValidation>
  </dataValidations>
  <hyperlinks>
    <hyperlink ref="E7" r:id="rId1" display="http://www.ProfScholz.de" xr:uid="{00000000-0004-0000-0000-000000000000}"/>
  </hyperlinks>
  <pageMargins left="0.78740157499999996" right="0.78740157499999996" top="0.87" bottom="0.984251969" header="0.4921259845" footer="0.4921259845"/>
  <pageSetup paperSize="9" scale="96" orientation="landscape" horizontalDpi="300" verticalDpi="300" r:id="rId2"/>
  <headerFooter alignWithMargins="0">
    <oddHeader>&amp;A</oddHeader>
    <oddFooter>Seite &amp;P</oddFooter>
  </headerFooter>
  <rowBreaks count="2" manualBreakCount="2">
    <brk id="34" max="16383" man="1"/>
    <brk id="61" max="16383" man="1"/>
  </rowBreaks>
  <drawing r:id="rId3"/>
  <legacyDrawing r:id="rId4"/>
  <oleObjects>
    <mc:AlternateContent xmlns:mc="http://schemas.openxmlformats.org/markup-compatibility/2006">
      <mc:Choice Requires="x14">
        <oleObject progId="Equation.3" shapeId="2049" r:id="rId5">
          <objectPr defaultSize="0" autoPict="0" r:id="rId6">
            <anchor moveWithCells="1">
              <from>
                <xdr:col>4</xdr:col>
                <xdr:colOff>4763</xdr:colOff>
                <xdr:row>16</xdr:row>
                <xdr:rowOff>0</xdr:rowOff>
              </from>
              <to>
                <xdr:col>5</xdr:col>
                <xdr:colOff>481013</xdr:colOff>
                <xdr:row>17</xdr:row>
                <xdr:rowOff>80963</xdr:rowOff>
              </to>
            </anchor>
          </objectPr>
        </oleObject>
      </mc:Choice>
      <mc:Fallback>
        <oleObject progId="Equation.3" shapeId="2049" r:id="rId5"/>
      </mc:Fallback>
    </mc:AlternateContent>
    <mc:AlternateContent xmlns:mc="http://schemas.openxmlformats.org/markup-compatibility/2006">
      <mc:Choice Requires="x14">
        <oleObject progId="Equation.3" shapeId="2050" r:id="rId7">
          <objectPr defaultSize="0" autoPict="0" r:id="rId8">
            <anchor moveWithCells="1">
              <from>
                <xdr:col>4</xdr:col>
                <xdr:colOff>4763</xdr:colOff>
                <xdr:row>29</xdr:row>
                <xdr:rowOff>80963</xdr:rowOff>
              </from>
              <to>
                <xdr:col>6</xdr:col>
                <xdr:colOff>361950</xdr:colOff>
                <xdr:row>31</xdr:row>
                <xdr:rowOff>19050</xdr:rowOff>
              </to>
            </anchor>
          </objectPr>
        </oleObject>
      </mc:Choice>
      <mc:Fallback>
        <oleObject progId="Equation.3" shapeId="2050" r:id="rId7"/>
      </mc:Fallback>
    </mc:AlternateContent>
    <mc:AlternateContent xmlns:mc="http://schemas.openxmlformats.org/markup-compatibility/2006">
      <mc:Choice Requires="x14">
        <oleObject progId="Equation.3" shapeId="2051" r:id="rId9">
          <objectPr defaultSize="0" autoPict="0" r:id="rId10">
            <anchor moveWithCells="1">
              <from>
                <xdr:col>4</xdr:col>
                <xdr:colOff>4763</xdr:colOff>
                <xdr:row>31</xdr:row>
                <xdr:rowOff>61913</xdr:rowOff>
              </from>
              <to>
                <xdr:col>5</xdr:col>
                <xdr:colOff>490538</xdr:colOff>
                <xdr:row>34</xdr:row>
                <xdr:rowOff>42863</xdr:rowOff>
              </to>
            </anchor>
          </objectPr>
        </oleObject>
      </mc:Choice>
      <mc:Fallback>
        <oleObject progId="Equation.3" shapeId="2051" r:id="rId9"/>
      </mc:Fallback>
    </mc:AlternateContent>
    <mc:AlternateContent xmlns:mc="http://schemas.openxmlformats.org/markup-compatibility/2006">
      <mc:Choice Requires="x14">
        <oleObject progId="Equation.3" shapeId="2052" r:id="rId11">
          <objectPr defaultSize="0" autoPict="0" r:id="rId12">
            <anchor moveWithCells="1">
              <from>
                <xdr:col>4</xdr:col>
                <xdr:colOff>14288</xdr:colOff>
                <xdr:row>40</xdr:row>
                <xdr:rowOff>57150</xdr:rowOff>
              </from>
              <to>
                <xdr:col>7</xdr:col>
                <xdr:colOff>185738</xdr:colOff>
                <xdr:row>43</xdr:row>
                <xdr:rowOff>4763</xdr:rowOff>
              </to>
            </anchor>
          </objectPr>
        </oleObject>
      </mc:Choice>
      <mc:Fallback>
        <oleObject progId="Equation.3" shapeId="2052" r:id="rId11"/>
      </mc:Fallback>
    </mc:AlternateContent>
    <mc:AlternateContent xmlns:mc="http://schemas.openxmlformats.org/markup-compatibility/2006">
      <mc:Choice Requires="x14">
        <oleObject progId="Equation.3" shapeId="2053" r:id="rId13">
          <objectPr defaultSize="0" autoPict="0" r:id="rId14">
            <anchor moveWithCells="1">
              <from>
                <xdr:col>4</xdr:col>
                <xdr:colOff>14288</xdr:colOff>
                <xdr:row>57</xdr:row>
                <xdr:rowOff>0</xdr:rowOff>
              </from>
              <to>
                <xdr:col>6</xdr:col>
                <xdr:colOff>366713</xdr:colOff>
                <xdr:row>60</xdr:row>
                <xdr:rowOff>14288</xdr:rowOff>
              </to>
            </anchor>
          </objectPr>
        </oleObject>
      </mc:Choice>
      <mc:Fallback>
        <oleObject progId="Equation.3" shapeId="2053" r:id="rId13"/>
      </mc:Fallback>
    </mc:AlternateContent>
    <mc:AlternateContent xmlns:mc="http://schemas.openxmlformats.org/markup-compatibility/2006">
      <mc:Choice Requires="x14">
        <oleObject progId="Equation.3" shapeId="2054" r:id="rId15">
          <objectPr defaultSize="0" autoPict="0" r:id="rId16">
            <anchor moveWithCells="1">
              <from>
                <xdr:col>4</xdr:col>
                <xdr:colOff>4763</xdr:colOff>
                <xdr:row>76</xdr:row>
                <xdr:rowOff>52388</xdr:rowOff>
              </from>
              <to>
                <xdr:col>7</xdr:col>
                <xdr:colOff>166688</xdr:colOff>
                <xdr:row>79</xdr:row>
                <xdr:rowOff>71438</xdr:rowOff>
              </to>
            </anchor>
          </objectPr>
        </oleObject>
      </mc:Choice>
      <mc:Fallback>
        <oleObject progId="Equation.3" shapeId="2054" r:id="rId15"/>
      </mc:Fallback>
    </mc:AlternateContent>
    <mc:AlternateContent xmlns:mc="http://schemas.openxmlformats.org/markup-compatibility/2006">
      <mc:Choice Requires="x14">
        <oleObject progId="Equation.3" shapeId="2055" r:id="rId17">
          <objectPr defaultSize="0" autoPict="0" r:id="rId18">
            <anchor moveWithCells="1">
              <from>
                <xdr:col>4</xdr:col>
                <xdr:colOff>0</xdr:colOff>
                <xdr:row>18</xdr:row>
                <xdr:rowOff>61913</xdr:rowOff>
              </from>
              <to>
                <xdr:col>5</xdr:col>
                <xdr:colOff>476250</xdr:colOff>
                <xdr:row>21</xdr:row>
                <xdr:rowOff>80963</xdr:rowOff>
              </to>
            </anchor>
          </objectPr>
        </oleObject>
      </mc:Choice>
      <mc:Fallback>
        <oleObject progId="Equation.3" shapeId="2055" r:id="rId17"/>
      </mc:Fallback>
    </mc:AlternateContent>
    <mc:AlternateContent xmlns:mc="http://schemas.openxmlformats.org/markup-compatibility/2006">
      <mc:Choice Requires="x14">
        <oleObject progId="Equation.3" shapeId="2062" r:id="rId19">
          <objectPr defaultSize="0" r:id="rId20">
            <anchor moveWithCells="1">
              <from>
                <xdr:col>4</xdr:col>
                <xdr:colOff>4763</xdr:colOff>
                <xdr:row>27</xdr:row>
                <xdr:rowOff>100013</xdr:rowOff>
              </from>
              <to>
                <xdr:col>5</xdr:col>
                <xdr:colOff>309563</xdr:colOff>
                <xdr:row>29</xdr:row>
                <xdr:rowOff>19050</xdr:rowOff>
              </to>
            </anchor>
          </objectPr>
        </oleObject>
      </mc:Choice>
      <mc:Fallback>
        <oleObject progId="Equation.3" shapeId="2062" r:id="rId19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4414D-9B81-4E2C-BD89-F3636F5C2570}">
  <dimension ref="A1:G25"/>
  <sheetViews>
    <sheetView workbookViewId="0">
      <selection activeCell="A26" sqref="A26"/>
    </sheetView>
  </sheetViews>
  <sheetFormatPr baseColWidth="10" defaultColWidth="10.9296875" defaultRowHeight="14.25" x14ac:dyDescent="0.45"/>
  <cols>
    <col min="1" max="16384" width="10.9296875" style="122"/>
  </cols>
  <sheetData>
    <row r="1" spans="1:7" x14ac:dyDescent="0.45">
      <c r="A1" s="120" t="s">
        <v>326</v>
      </c>
      <c r="B1" s="121"/>
      <c r="C1" s="121"/>
      <c r="D1" s="121"/>
      <c r="E1" s="121"/>
      <c r="F1" s="121"/>
      <c r="G1" s="121"/>
    </row>
    <row r="2" spans="1:7" x14ac:dyDescent="0.45">
      <c r="A2" s="120" t="s">
        <v>327</v>
      </c>
      <c r="B2" s="121"/>
      <c r="C2" s="121"/>
      <c r="D2" s="121"/>
      <c r="E2" s="121"/>
      <c r="F2" s="121"/>
      <c r="G2" s="121"/>
    </row>
    <row r="3" spans="1:7" x14ac:dyDescent="0.45">
      <c r="A3" s="121"/>
      <c r="B3" s="121"/>
      <c r="C3" s="121"/>
      <c r="D3" s="121"/>
      <c r="E3" s="121"/>
      <c r="F3" s="121"/>
      <c r="G3" s="121"/>
    </row>
    <row r="4" spans="1:7" x14ac:dyDescent="0.45">
      <c r="A4" s="121"/>
      <c r="B4" s="121"/>
      <c r="C4" s="121"/>
      <c r="D4" s="121"/>
      <c r="E4" s="121"/>
      <c r="F4" s="121"/>
      <c r="G4" s="121"/>
    </row>
    <row r="5" spans="1:7" x14ac:dyDescent="0.45">
      <c r="A5" s="121"/>
      <c r="B5" s="121"/>
      <c r="C5" s="121"/>
      <c r="D5" s="121"/>
      <c r="E5" s="121"/>
      <c r="F5" s="121"/>
      <c r="G5" s="121"/>
    </row>
    <row r="6" spans="1:7" x14ac:dyDescent="0.45">
      <c r="A6" s="121"/>
      <c r="B6" s="121"/>
      <c r="C6" s="121"/>
      <c r="D6" s="121"/>
      <c r="E6" s="121"/>
      <c r="F6" s="121"/>
      <c r="G6" s="121"/>
    </row>
    <row r="7" spans="1:7" x14ac:dyDescent="0.45">
      <c r="A7" s="121"/>
      <c r="B7" s="121"/>
      <c r="C7" s="121"/>
      <c r="D7" s="121"/>
      <c r="E7" s="121"/>
      <c r="F7" s="121"/>
      <c r="G7" s="121"/>
    </row>
    <row r="8" spans="1:7" x14ac:dyDescent="0.45">
      <c r="A8" s="121"/>
      <c r="B8" s="121"/>
      <c r="C8" s="121"/>
      <c r="D8" s="121"/>
      <c r="E8" s="121"/>
      <c r="F8" s="121"/>
      <c r="G8" s="121"/>
    </row>
    <row r="9" spans="1:7" x14ac:dyDescent="0.45">
      <c r="A9" s="123" t="s">
        <v>328</v>
      </c>
      <c r="B9" s="121"/>
      <c r="C9" s="121"/>
      <c r="D9" s="121"/>
      <c r="E9" s="121"/>
      <c r="F9" s="121"/>
      <c r="G9" s="121"/>
    </row>
    <row r="10" spans="1:7" x14ac:dyDescent="0.45">
      <c r="A10" s="124" t="s">
        <v>329</v>
      </c>
      <c r="B10" s="121"/>
      <c r="C10" s="121"/>
      <c r="D10" s="121"/>
      <c r="E10" s="121"/>
      <c r="F10" s="121"/>
      <c r="G10" s="121"/>
    </row>
    <row r="11" spans="1:7" x14ac:dyDescent="0.45">
      <c r="A11" s="123"/>
      <c r="B11" s="121"/>
      <c r="C11" s="121"/>
      <c r="D11" s="121"/>
      <c r="E11" s="121"/>
      <c r="F11" s="121"/>
      <c r="G11" s="121"/>
    </row>
    <row r="12" spans="1:7" x14ac:dyDescent="0.45">
      <c r="A12" s="123" t="s">
        <v>330</v>
      </c>
      <c r="B12" s="121"/>
      <c r="C12" s="121"/>
      <c r="D12" s="121"/>
      <c r="E12" s="121"/>
      <c r="F12" s="121"/>
      <c r="G12" s="121"/>
    </row>
    <row r="13" spans="1:7" x14ac:dyDescent="0.45">
      <c r="A13" s="123" t="s">
        <v>331</v>
      </c>
      <c r="B13" s="121"/>
      <c r="C13" s="121"/>
      <c r="D13" s="121"/>
      <c r="E13" s="121"/>
      <c r="F13" s="121"/>
      <c r="G13" s="121"/>
    </row>
    <row r="14" spans="1:7" x14ac:dyDescent="0.45">
      <c r="A14" s="123" t="s">
        <v>332</v>
      </c>
      <c r="B14" s="121"/>
      <c r="C14" s="121"/>
      <c r="D14" s="121"/>
      <c r="E14" s="121"/>
      <c r="F14" s="121"/>
      <c r="G14" s="121"/>
    </row>
    <row r="15" spans="1:7" x14ac:dyDescent="0.45">
      <c r="A15" s="123"/>
      <c r="B15" s="121"/>
      <c r="C15" s="121"/>
      <c r="D15" s="121"/>
      <c r="E15" s="121"/>
      <c r="F15" s="121"/>
      <c r="G15" s="121"/>
    </row>
    <row r="16" spans="1:7" x14ac:dyDescent="0.45">
      <c r="A16" s="123" t="s">
        <v>333</v>
      </c>
      <c r="B16" s="121"/>
      <c r="C16" s="121"/>
      <c r="D16" s="121"/>
      <c r="E16" s="121"/>
      <c r="F16" s="121"/>
      <c r="G16" s="121"/>
    </row>
    <row r="17" spans="1:7" x14ac:dyDescent="0.45">
      <c r="A17" s="123" t="s">
        <v>334</v>
      </c>
      <c r="B17" s="121"/>
      <c r="C17" s="121"/>
      <c r="D17" s="121"/>
      <c r="E17" s="121"/>
      <c r="F17" s="121"/>
      <c r="G17" s="121"/>
    </row>
    <row r="18" spans="1:7" x14ac:dyDescent="0.45">
      <c r="A18" s="123" t="s">
        <v>335</v>
      </c>
      <c r="B18" s="121"/>
      <c r="C18" s="121"/>
      <c r="D18" s="121"/>
      <c r="E18" s="121"/>
      <c r="F18" s="121"/>
      <c r="G18" s="121"/>
    </row>
    <row r="19" spans="1:7" x14ac:dyDescent="0.45">
      <c r="A19" s="123" t="s">
        <v>336</v>
      </c>
      <c r="B19" s="121"/>
      <c r="C19" s="121"/>
      <c r="D19" s="121"/>
      <c r="E19" s="121"/>
      <c r="F19" s="121"/>
      <c r="G19" s="121"/>
    </row>
    <row r="20" spans="1:7" x14ac:dyDescent="0.45">
      <c r="A20" s="121"/>
      <c r="B20" s="121"/>
      <c r="C20" s="121"/>
      <c r="D20" s="121"/>
      <c r="E20" s="121"/>
      <c r="F20" s="121"/>
      <c r="G20" s="121"/>
    </row>
    <row r="21" spans="1:7" x14ac:dyDescent="0.45">
      <c r="A21" s="125" t="s">
        <v>337</v>
      </c>
      <c r="B21" s="121"/>
      <c r="C21" s="121"/>
      <c r="D21" s="121"/>
      <c r="E21" s="121"/>
      <c r="F21" s="121"/>
      <c r="G21" s="121"/>
    </row>
    <row r="22" spans="1:7" x14ac:dyDescent="0.45">
      <c r="A22" s="121"/>
      <c r="B22" s="121"/>
      <c r="C22" s="121"/>
      <c r="D22" s="121"/>
      <c r="E22" s="121"/>
      <c r="F22" s="121"/>
      <c r="G22" s="121"/>
    </row>
    <row r="23" spans="1:7" x14ac:dyDescent="0.45">
      <c r="A23" s="121" t="s">
        <v>338</v>
      </c>
      <c r="B23" s="121"/>
      <c r="C23" s="121"/>
      <c r="D23" s="121"/>
      <c r="E23" s="121"/>
      <c r="F23" s="121"/>
      <c r="G23" s="121"/>
    </row>
    <row r="24" spans="1:7" x14ac:dyDescent="0.45">
      <c r="A24" s="126" t="s">
        <v>339</v>
      </c>
      <c r="B24" s="121"/>
      <c r="C24" s="121"/>
      <c r="D24" s="121"/>
      <c r="E24" s="121"/>
      <c r="F24" s="121"/>
      <c r="G24" s="121"/>
    </row>
    <row r="25" spans="1:7" x14ac:dyDescent="0.45">
      <c r="A25" s="121"/>
      <c r="B25" s="121"/>
      <c r="C25" s="121"/>
      <c r="D25" s="121"/>
      <c r="E25" s="121"/>
      <c r="F25" s="121"/>
      <c r="G25" s="121"/>
    </row>
  </sheetData>
  <hyperlinks>
    <hyperlink ref="A21" r:id="rId1" xr:uid="{3092370D-A78C-4B11-968A-FCA1F520A856}"/>
    <hyperlink ref="A24" r:id="rId2" display="https://doi.org/10.7910/DVN/9OVFDO" xr:uid="{284025FB-77C9-4852-BFA5-55EC6CBF0136}"/>
  </hyperlinks>
  <pageMargins left="0.7" right="0.7" top="0.78740157499999996" bottom="0.78740157499999996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workbookViewId="0">
      <selection activeCell="A2" sqref="A2"/>
    </sheetView>
  </sheetViews>
  <sheetFormatPr baseColWidth="10" defaultColWidth="10.9296875" defaultRowHeight="12.75" x14ac:dyDescent="0.35"/>
  <cols>
    <col min="1" max="1" width="38.265625" bestFit="1" customWidth="1"/>
    <col min="2" max="2" width="20.796875" bestFit="1" customWidth="1"/>
  </cols>
  <sheetData>
    <row r="1" spans="1:3" ht="17.649999999999999" x14ac:dyDescent="0.5">
      <c r="A1" s="2" t="s">
        <v>136</v>
      </c>
    </row>
    <row r="3" spans="1:3" ht="14.65" x14ac:dyDescent="0.5">
      <c r="A3" s="13" t="s">
        <v>134</v>
      </c>
    </row>
    <row r="5" spans="1:3" x14ac:dyDescent="0.35">
      <c r="A5" s="76" t="s">
        <v>125</v>
      </c>
    </row>
    <row r="6" spans="1:3" ht="15" x14ac:dyDescent="0.5">
      <c r="A6" t="s">
        <v>210</v>
      </c>
      <c r="B6" t="s">
        <v>202</v>
      </c>
      <c r="C6" s="22">
        <v>0.77</v>
      </c>
    </row>
    <row r="7" spans="1:3" ht="15" x14ac:dyDescent="0.5">
      <c r="A7" t="s">
        <v>211</v>
      </c>
      <c r="B7" s="14" t="s">
        <v>310</v>
      </c>
      <c r="C7" s="22">
        <v>4.0000000000000001E-3</v>
      </c>
    </row>
    <row r="8" spans="1:3" ht="15" x14ac:dyDescent="0.5">
      <c r="A8" t="s">
        <v>183</v>
      </c>
      <c r="B8" t="s">
        <v>126</v>
      </c>
      <c r="C8" s="70">
        <f>1/2*SQRT(PI()*C6/C7)</f>
        <v>12.295899578884368</v>
      </c>
    </row>
    <row r="10" spans="1:3" x14ac:dyDescent="0.35">
      <c r="A10" s="76" t="s">
        <v>127</v>
      </c>
    </row>
    <row r="11" spans="1:3" ht="15" x14ac:dyDescent="0.5">
      <c r="A11" t="s">
        <v>183</v>
      </c>
      <c r="B11" t="s">
        <v>126</v>
      </c>
      <c r="C11">
        <v>15.8</v>
      </c>
    </row>
    <row r="13" spans="1:3" x14ac:dyDescent="0.35">
      <c r="A13" s="76" t="s">
        <v>128</v>
      </c>
    </row>
    <row r="14" spans="1:3" ht="15" x14ac:dyDescent="0.5">
      <c r="A14" t="s">
        <v>183</v>
      </c>
      <c r="B14" t="s">
        <v>126</v>
      </c>
      <c r="C14" s="78">
        <v>15</v>
      </c>
    </row>
    <row r="16" spans="1:3" ht="14.65" x14ac:dyDescent="0.5">
      <c r="A16" s="13" t="s">
        <v>129</v>
      </c>
    </row>
    <row r="18" spans="1:5" ht="15" x14ac:dyDescent="0.5">
      <c r="A18" t="s">
        <v>183</v>
      </c>
      <c r="B18" t="s">
        <v>130</v>
      </c>
      <c r="C18" s="72">
        <f>C14</f>
        <v>15</v>
      </c>
      <c r="E18" s="9" t="s">
        <v>92</v>
      </c>
    </row>
    <row r="19" spans="1:5" ht="15" x14ac:dyDescent="0.5">
      <c r="A19" t="s">
        <v>212</v>
      </c>
      <c r="B19" t="s">
        <v>131</v>
      </c>
      <c r="C19" s="22">
        <v>6.35</v>
      </c>
      <c r="E19" t="s">
        <v>132</v>
      </c>
    </row>
    <row r="20" spans="1:5" x14ac:dyDescent="0.35">
      <c r="A20" t="s">
        <v>196</v>
      </c>
      <c r="B20" t="s">
        <v>11</v>
      </c>
      <c r="C20">
        <f>'1.) Dimensionierung'!C48</f>
        <v>9.4845839999999999</v>
      </c>
      <c r="D20" t="s">
        <v>101</v>
      </c>
    </row>
    <row r="21" spans="1:5" ht="15" x14ac:dyDescent="0.5">
      <c r="A21" t="s">
        <v>213</v>
      </c>
      <c r="B21" t="s">
        <v>133</v>
      </c>
      <c r="C21" s="77">
        <f>C18*SQRT(C20/C19)</f>
        <v>18.332155819975839</v>
      </c>
    </row>
    <row r="23" spans="1:5" x14ac:dyDescent="0.35">
      <c r="B23" t="s">
        <v>91</v>
      </c>
      <c r="C23">
        <v>18</v>
      </c>
    </row>
    <row r="25" spans="1:5" ht="15" x14ac:dyDescent="0.5">
      <c r="A25" t="s">
        <v>213</v>
      </c>
      <c r="B25" t="s">
        <v>137</v>
      </c>
      <c r="C25" s="55">
        <f>C23</f>
        <v>18</v>
      </c>
      <c r="E25" s="9" t="s">
        <v>92</v>
      </c>
    </row>
  </sheetData>
  <phoneticPr fontId="5" type="noConversion"/>
  <pageMargins left="0.78740157499999996" right="0.78740157499999996" top="0.984251969" bottom="0.984251969" header="0.4921259845" footer="0.4921259845"/>
  <pageSetup paperSize="9" orientation="landscape" horizontalDpi="96" verticalDpi="96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21"/>
  <sheetViews>
    <sheetView zoomScaleNormal="100" workbookViewId="0">
      <selection activeCell="A4" sqref="A4"/>
    </sheetView>
  </sheetViews>
  <sheetFormatPr baseColWidth="10" defaultColWidth="10.9296875" defaultRowHeight="12.75" x14ac:dyDescent="0.35"/>
  <cols>
    <col min="1" max="1" width="29.53125" customWidth="1"/>
    <col min="2" max="2" width="14.46484375" customWidth="1"/>
    <col min="3" max="3" width="12.46484375" customWidth="1"/>
    <col min="4" max="4" width="14.19921875" bestFit="1" customWidth="1"/>
    <col min="5" max="5" width="15.59765625" customWidth="1"/>
    <col min="6" max="6" width="15.796875" customWidth="1"/>
    <col min="7" max="7" width="10.9296875" customWidth="1"/>
    <col min="8" max="8" width="12.46484375" bestFit="1" customWidth="1"/>
    <col min="9" max="9" width="10.9296875" customWidth="1"/>
    <col min="10" max="10" width="12.265625" customWidth="1"/>
  </cols>
  <sheetData>
    <row r="1" spans="1:10" ht="17.649999999999999" x14ac:dyDescent="0.5">
      <c r="A1" s="2" t="s">
        <v>182</v>
      </c>
    </row>
    <row r="2" spans="1:10" ht="13.15" x14ac:dyDescent="0.4">
      <c r="A2" s="13" t="s">
        <v>74</v>
      </c>
    </row>
    <row r="3" spans="1:10" ht="14.65" x14ac:dyDescent="0.5">
      <c r="A3" s="13" t="s">
        <v>75</v>
      </c>
    </row>
    <row r="5" spans="1:10" x14ac:dyDescent="0.35">
      <c r="A5" s="8" t="s">
        <v>12</v>
      </c>
      <c r="B5" s="1"/>
      <c r="C5" s="3" t="s">
        <v>83</v>
      </c>
      <c r="D5" s="1"/>
      <c r="F5" s="8" t="s">
        <v>12</v>
      </c>
      <c r="G5" s="3" t="s">
        <v>83</v>
      </c>
    </row>
    <row r="6" spans="1:10" ht="15" x14ac:dyDescent="0.5">
      <c r="A6" t="s">
        <v>214</v>
      </c>
      <c r="B6" t="s">
        <v>1</v>
      </c>
      <c r="C6" s="22">
        <v>5.7</v>
      </c>
      <c r="D6" s="112"/>
      <c r="E6" s="113"/>
      <c r="F6" s="14" t="s">
        <v>311</v>
      </c>
      <c r="G6" s="22">
        <v>1.0149999999999999</v>
      </c>
      <c r="I6" s="93" t="s">
        <v>271</v>
      </c>
      <c r="J6">
        <f>SQRT(SQRT(3))</f>
        <v>1.3160740129524924</v>
      </c>
    </row>
    <row r="7" spans="1:10" ht="15" x14ac:dyDescent="0.5">
      <c r="A7" t="s">
        <v>259</v>
      </c>
      <c r="B7" s="21" t="s">
        <v>133</v>
      </c>
      <c r="C7" s="79">
        <f>'2.) max. Gleitzahl im Reiseflug'!C25</f>
        <v>18</v>
      </c>
      <c r="D7" t="s">
        <v>139</v>
      </c>
      <c r="F7" s="14" t="s">
        <v>307</v>
      </c>
      <c r="G7" s="11">
        <f>1/G6^2</f>
        <v>0.9706617486471405</v>
      </c>
    </row>
    <row r="8" spans="1:10" ht="15" x14ac:dyDescent="0.5">
      <c r="A8" t="s">
        <v>196</v>
      </c>
      <c r="B8" t="s">
        <v>11</v>
      </c>
      <c r="C8" s="14">
        <f>'1.) Dimensionierung'!C48</f>
        <v>9.4845839999999999</v>
      </c>
      <c r="D8" t="s">
        <v>101</v>
      </c>
      <c r="F8" t="s">
        <v>13</v>
      </c>
      <c r="G8" s="11">
        <f>G7*C11</f>
        <v>0.6828927473837163</v>
      </c>
    </row>
    <row r="9" spans="1:10" x14ac:dyDescent="0.35">
      <c r="A9" t="s">
        <v>215</v>
      </c>
      <c r="B9" t="s">
        <v>202</v>
      </c>
      <c r="C9" s="69">
        <v>0.85</v>
      </c>
      <c r="F9" t="s">
        <v>138</v>
      </c>
      <c r="G9" s="11">
        <f>L_D_max*2/(1/G7+G7)</f>
        <v>17.992022799061807</v>
      </c>
    </row>
    <row r="10" spans="1:10" ht="15" x14ac:dyDescent="0.5">
      <c r="A10" t="s">
        <v>216</v>
      </c>
      <c r="B10" t="s">
        <v>54</v>
      </c>
      <c r="C10" s="18">
        <f>PI()*C8*C9/4/L_D_max^2</f>
        <v>1.9542588352038582E-2</v>
      </c>
    </row>
    <row r="11" spans="1:10" ht="15" x14ac:dyDescent="0.5">
      <c r="A11" t="s">
        <v>217</v>
      </c>
      <c r="B11" s="14" t="s">
        <v>308</v>
      </c>
      <c r="C11" s="5">
        <f>SQRT(C10*PI()*C8*C9)</f>
        <v>0.70353318067338888</v>
      </c>
    </row>
    <row r="12" spans="1:10" ht="15" x14ac:dyDescent="0.5">
      <c r="A12" t="s">
        <v>218</v>
      </c>
      <c r="B12" t="s">
        <v>55</v>
      </c>
      <c r="C12" s="22">
        <v>0.78</v>
      </c>
    </row>
    <row r="13" spans="1:10" x14ac:dyDescent="0.35">
      <c r="C13" s="113"/>
    </row>
    <row r="14" spans="1:10" x14ac:dyDescent="0.35">
      <c r="A14" s="1" t="s">
        <v>82</v>
      </c>
      <c r="B14" s="1"/>
      <c r="C14" s="1"/>
      <c r="D14" s="1"/>
    </row>
    <row r="15" spans="1:10" ht="13.15" x14ac:dyDescent="0.4">
      <c r="A15" s="21" t="s">
        <v>272</v>
      </c>
      <c r="B15" s="4" t="s">
        <v>14</v>
      </c>
      <c r="C15">
        <v>1.4</v>
      </c>
    </row>
    <row r="16" spans="1:10" x14ac:dyDescent="0.35">
      <c r="A16" t="s">
        <v>273</v>
      </c>
      <c r="B16" t="s">
        <v>14</v>
      </c>
      <c r="C16">
        <v>9.81</v>
      </c>
      <c r="D16" t="s">
        <v>15</v>
      </c>
    </row>
    <row r="17" spans="1:11" ht="15" x14ac:dyDescent="0.5">
      <c r="A17" t="s">
        <v>274</v>
      </c>
      <c r="B17" t="s">
        <v>56</v>
      </c>
      <c r="C17">
        <v>101325</v>
      </c>
      <c r="D17" t="s">
        <v>16</v>
      </c>
    </row>
    <row r="18" spans="1:11" x14ac:dyDescent="0.35">
      <c r="A18" t="s">
        <v>275</v>
      </c>
      <c r="B18" t="s">
        <v>202</v>
      </c>
      <c r="C18">
        <v>2.7182818281827998</v>
      </c>
    </row>
    <row r="20" spans="1:11" ht="13.15" x14ac:dyDescent="0.4">
      <c r="A20" s="66" t="s">
        <v>17</v>
      </c>
      <c r="B20" s="33"/>
      <c r="C20" s="32" t="s">
        <v>316</v>
      </c>
      <c r="D20" s="32"/>
      <c r="E20" s="32"/>
      <c r="F20" s="33"/>
      <c r="G20" s="34" t="s">
        <v>10</v>
      </c>
      <c r="H20" s="34" t="s">
        <v>315</v>
      </c>
      <c r="I20" s="34" t="s">
        <v>318</v>
      </c>
      <c r="J20" s="115" t="s">
        <v>316</v>
      </c>
      <c r="K20" s="34" t="s">
        <v>317</v>
      </c>
    </row>
    <row r="21" spans="1:11" ht="15" x14ac:dyDescent="0.5">
      <c r="A21" s="36" t="s">
        <v>18</v>
      </c>
      <c r="B21" s="23" t="s">
        <v>19</v>
      </c>
      <c r="C21" s="3" t="s">
        <v>0</v>
      </c>
      <c r="D21" s="3" t="s">
        <v>20</v>
      </c>
      <c r="E21" s="3" t="s">
        <v>21</v>
      </c>
      <c r="F21" s="25" t="s">
        <v>22</v>
      </c>
      <c r="G21" s="27" t="s">
        <v>20</v>
      </c>
      <c r="H21" s="27" t="s">
        <v>20</v>
      </c>
      <c r="I21" s="27" t="s">
        <v>20</v>
      </c>
      <c r="J21" s="27" t="s">
        <v>20</v>
      </c>
      <c r="K21" s="27" t="s">
        <v>20</v>
      </c>
    </row>
    <row r="22" spans="1:11" x14ac:dyDescent="0.35">
      <c r="A22" s="37">
        <v>0</v>
      </c>
      <c r="B22" s="24">
        <f t="shared" ref="B22:B37" si="0">A22*1000*3.281</f>
        <v>0</v>
      </c>
      <c r="C22" s="11">
        <f t="shared" ref="C22:C35" si="1">(0.0013*BPR-0.0397)*A22-0.0248*BPR+0.7125</f>
        <v>0.57113999999999998</v>
      </c>
      <c r="D22" s="11">
        <f t="shared" ref="D22:D37" si="2">1/(C22*L_D)</f>
        <v>9.731447186752909E-2</v>
      </c>
      <c r="E22" s="6">
        <f t="shared" ref="E22:E33" si="3">p0*POWER(1-0.02256*A22,5.256)</f>
        <v>101325</v>
      </c>
      <c r="F22" s="26">
        <f t="shared" ref="F22:F37" si="4">CL*M*M/g*gamma/2*E22</f>
        <v>3003.9130027412452</v>
      </c>
      <c r="G22" s="28">
        <f>'1.) Dimensionierung'!$C$60</f>
        <v>0.27099969035967408</v>
      </c>
      <c r="H22" s="28">
        <f>'1.) Dimensionierung'!$C$77</f>
        <v>0.24832910914659534</v>
      </c>
      <c r="I22" s="31">
        <f>F22*'1.) Dimensionierung'!$C$42</f>
        <v>1.2923894129567015</v>
      </c>
      <c r="J22" s="31">
        <f t="shared" ref="J22:J35" si="5">D22</f>
        <v>9.731447186752909E-2</v>
      </c>
      <c r="K22" s="29"/>
    </row>
    <row r="23" spans="1:11" x14ac:dyDescent="0.35">
      <c r="A23" s="37">
        <v>1</v>
      </c>
      <c r="B23" s="24">
        <f t="shared" si="0"/>
        <v>3281</v>
      </c>
      <c r="C23" s="11">
        <f t="shared" si="1"/>
        <v>0.53885000000000005</v>
      </c>
      <c r="D23" s="11">
        <f t="shared" si="2"/>
        <v>0.10314593571944057</v>
      </c>
      <c r="E23" s="6">
        <f t="shared" si="3"/>
        <v>89873.202817172307</v>
      </c>
      <c r="F23" s="26">
        <f t="shared" si="4"/>
        <v>2664.4094008438688</v>
      </c>
      <c r="G23" s="28">
        <f>'1.) Dimensionierung'!$C$60</f>
        <v>0.27099969035967408</v>
      </c>
      <c r="H23" s="28">
        <f>'1.) Dimensionierung'!$C$77</f>
        <v>0.24832910914659534</v>
      </c>
      <c r="I23" s="31">
        <f>F23*'1.) Dimensionierung'!$C$42</f>
        <v>1.1463229788248102</v>
      </c>
      <c r="J23" s="31">
        <f t="shared" si="5"/>
        <v>0.10314593571944057</v>
      </c>
      <c r="K23" s="29"/>
    </row>
    <row r="24" spans="1:11" x14ac:dyDescent="0.35">
      <c r="A24" s="37">
        <v>2</v>
      </c>
      <c r="B24" s="24">
        <f t="shared" si="0"/>
        <v>6562</v>
      </c>
      <c r="C24" s="11">
        <f t="shared" si="1"/>
        <v>0.50656000000000001</v>
      </c>
      <c r="D24" s="11">
        <f t="shared" si="2"/>
        <v>0.10972083753636402</v>
      </c>
      <c r="E24" s="6">
        <f t="shared" si="3"/>
        <v>79492.744270966257</v>
      </c>
      <c r="F24" s="26">
        <f t="shared" si="4"/>
        <v>2356.667043070715</v>
      </c>
      <c r="G24" s="28">
        <f>'1.) Dimensionierung'!$C$60</f>
        <v>0.27099969035967408</v>
      </c>
      <c r="H24" s="28">
        <f>'1.) Dimensionierung'!$C$77</f>
        <v>0.24832910914659534</v>
      </c>
      <c r="I24" s="31">
        <f>F24*'1.) Dimensionierung'!$C$42</f>
        <v>1.0139213530981623</v>
      </c>
      <c r="J24" s="31">
        <f t="shared" si="5"/>
        <v>0.10972083753636402</v>
      </c>
      <c r="K24" s="29"/>
    </row>
    <row r="25" spans="1:11" x14ac:dyDescent="0.35">
      <c r="A25" s="37">
        <v>3</v>
      </c>
      <c r="B25" s="24">
        <f t="shared" si="0"/>
        <v>9843</v>
      </c>
      <c r="C25" s="11">
        <f t="shared" si="1"/>
        <v>0.47427000000000002</v>
      </c>
      <c r="D25" s="11">
        <f t="shared" si="2"/>
        <v>0.11719102507521151</v>
      </c>
      <c r="E25" s="6">
        <f t="shared" si="3"/>
        <v>70105.203827362144</v>
      </c>
      <c r="F25" s="26">
        <f t="shared" si="4"/>
        <v>2078.3610494629997</v>
      </c>
      <c r="G25" s="28">
        <f>'1.) Dimensionierung'!$C$60</f>
        <v>0.27099969035967408</v>
      </c>
      <c r="H25" s="28">
        <f>'1.) Dimensionierung'!$C$77</f>
        <v>0.24832910914659534</v>
      </c>
      <c r="I25" s="31">
        <f>F25*'1.) Dimensionierung'!$C$42</f>
        <v>0.89418429034941482</v>
      </c>
      <c r="J25" s="31">
        <f t="shared" si="5"/>
        <v>0.11719102507521151</v>
      </c>
      <c r="K25" s="29"/>
    </row>
    <row r="26" spans="1:11" x14ac:dyDescent="0.35">
      <c r="A26" s="37">
        <v>4</v>
      </c>
      <c r="B26" s="24">
        <f t="shared" si="0"/>
        <v>13124</v>
      </c>
      <c r="C26" s="11">
        <f t="shared" si="1"/>
        <v>0.44198000000000004</v>
      </c>
      <c r="D26" s="11">
        <f t="shared" si="2"/>
        <v>0.1257527206263192</v>
      </c>
      <c r="E26" s="6">
        <f t="shared" si="3"/>
        <v>61636.230837376737</v>
      </c>
      <c r="F26" s="26">
        <f t="shared" si="4"/>
        <v>1827.2871971611833</v>
      </c>
      <c r="G26" s="28">
        <f>'1.) Dimensionierung'!$C$60</f>
        <v>0.27099969035967408</v>
      </c>
      <c r="H26" s="28">
        <f>'1.) Dimensionierung'!$C$77</f>
        <v>0.24832910914659534</v>
      </c>
      <c r="I26" s="31">
        <f>F26*'1.) Dimensionierung'!$C$42</f>
        <v>0.78616345609455773</v>
      </c>
      <c r="J26" s="31">
        <f t="shared" si="5"/>
        <v>0.1257527206263192</v>
      </c>
      <c r="K26" s="29"/>
    </row>
    <row r="27" spans="1:11" x14ac:dyDescent="0.35">
      <c r="A27" s="37">
        <v>5</v>
      </c>
      <c r="B27" s="24">
        <f t="shared" si="0"/>
        <v>16405</v>
      </c>
      <c r="C27" s="11">
        <f t="shared" si="1"/>
        <v>0.40969000000000005</v>
      </c>
      <c r="D27" s="11">
        <f t="shared" si="2"/>
        <v>0.13566400806077902</v>
      </c>
      <c r="E27" s="6">
        <f t="shared" si="3"/>
        <v>54015.424139401664</v>
      </c>
      <c r="F27" s="26">
        <f t="shared" si="4"/>
        <v>1601.3583510578042</v>
      </c>
      <c r="G27" s="28">
        <f>'1.) Dimensionierung'!$C$60</f>
        <v>0.27099969035967408</v>
      </c>
      <c r="H27" s="28">
        <f>'1.) Dimensionierung'!$C$77</f>
        <v>0.24832910914659534</v>
      </c>
      <c r="I27" s="31">
        <f>F27*'1.) Dimensionierung'!$C$42</f>
        <v>0.68896089113376324</v>
      </c>
      <c r="J27" s="31">
        <f t="shared" si="5"/>
        <v>0.13566400806077902</v>
      </c>
      <c r="K27" s="29"/>
    </row>
    <row r="28" spans="1:11" x14ac:dyDescent="0.35">
      <c r="A28" s="37">
        <v>6</v>
      </c>
      <c r="B28" s="24">
        <f t="shared" si="0"/>
        <v>19686</v>
      </c>
      <c r="C28" s="11">
        <f t="shared" si="1"/>
        <v>0.37740000000000007</v>
      </c>
      <c r="D28" s="11">
        <f t="shared" si="2"/>
        <v>0.14727129693275187</v>
      </c>
      <c r="E28" s="6">
        <f t="shared" si="3"/>
        <v>47176.212405223559</v>
      </c>
      <c r="F28" s="26">
        <f t="shared" si="4"/>
        <v>1398.6009164977438</v>
      </c>
      <c r="G28" s="28">
        <f>'1.) Dimensionierung'!$C$60</f>
        <v>0.27099969035967408</v>
      </c>
      <c r="H28" s="28">
        <f>'1.) Dimensionierung'!$C$77</f>
        <v>0.24832910914659534</v>
      </c>
      <c r="I28" s="31">
        <f>F28*'1.) Dimensionierung'!$C$42</f>
        <v>0.60172748537781928</v>
      </c>
      <c r="J28" s="31">
        <f t="shared" si="5"/>
        <v>0.14727129693275187</v>
      </c>
      <c r="K28" s="29"/>
    </row>
    <row r="29" spans="1:11" x14ac:dyDescent="0.35">
      <c r="A29" s="37">
        <v>7</v>
      </c>
      <c r="B29" s="24">
        <f t="shared" si="0"/>
        <v>22967</v>
      </c>
      <c r="C29" s="11">
        <f t="shared" si="1"/>
        <v>0.34511000000000003</v>
      </c>
      <c r="D29" s="11">
        <f t="shared" si="2"/>
        <v>0.16105064316426809</v>
      </c>
      <c r="E29" s="6">
        <f t="shared" si="3"/>
        <v>41055.73524341148</v>
      </c>
      <c r="F29" s="26">
        <f t="shared" si="4"/>
        <v>1217.1513144316382</v>
      </c>
      <c r="G29" s="28">
        <f>'1.) Dimensionierung'!$C$60</f>
        <v>0.27099969035967408</v>
      </c>
      <c r="H29" s="28">
        <f>'1.) Dimensionierung'!$C$77</f>
        <v>0.24832910914659534</v>
      </c>
      <c r="I29" s="31">
        <f>F29*'1.) Dimensionierung'!$C$42</f>
        <v>0.52366146133469849</v>
      </c>
      <c r="J29" s="31">
        <f t="shared" si="5"/>
        <v>0.16105064316426809</v>
      </c>
      <c r="K29" s="29"/>
    </row>
    <row r="30" spans="1:11" x14ac:dyDescent="0.35">
      <c r="A30" s="37">
        <v>8</v>
      </c>
      <c r="B30" s="24">
        <f t="shared" si="0"/>
        <v>26248</v>
      </c>
      <c r="C30" s="11">
        <f t="shared" si="1"/>
        <v>0.31282000000000004</v>
      </c>
      <c r="D30" s="11">
        <f t="shared" si="2"/>
        <v>0.17767466102685428</v>
      </c>
      <c r="E30" s="6">
        <f t="shared" si="3"/>
        <v>35594.725074361399</v>
      </c>
      <c r="F30" s="26">
        <f t="shared" si="4"/>
        <v>1055.2524794460799</v>
      </c>
      <c r="G30" s="28">
        <f>'1.) Dimensionierung'!$C$60</f>
        <v>0.27099969035967408</v>
      </c>
      <c r="H30" s="28">
        <f>'1.) Dimensionierung'!$C$77</f>
        <v>0.24832910914659534</v>
      </c>
      <c r="I30" s="31">
        <f>F30*'1.) Dimensionierung'!$C$42</f>
        <v>0.45400686743853058</v>
      </c>
      <c r="J30" s="31">
        <f t="shared" si="5"/>
        <v>0.17767466102685428</v>
      </c>
      <c r="K30" s="29"/>
    </row>
    <row r="31" spans="1:11" x14ac:dyDescent="0.35">
      <c r="A31" s="37">
        <v>9</v>
      </c>
      <c r="B31" s="24">
        <f t="shared" si="0"/>
        <v>29529</v>
      </c>
      <c r="C31" s="11">
        <f t="shared" si="1"/>
        <v>0.28053000000000006</v>
      </c>
      <c r="D31" s="11">
        <f t="shared" si="2"/>
        <v>0.19812564596449775</v>
      </c>
      <c r="E31" s="6">
        <f t="shared" si="3"/>
        <v>30737.389791936654</v>
      </c>
      <c r="F31" s="26">
        <f t="shared" si="4"/>
        <v>911.25038111349158</v>
      </c>
      <c r="G31" s="28">
        <f>'1.) Dimensionierung'!$C$60</f>
        <v>0.27099969035967408</v>
      </c>
      <c r="H31" s="28">
        <f>'1.) Dimensionierung'!$C$77</f>
        <v>0.24832910914659534</v>
      </c>
      <c r="I31" s="31">
        <f>F31*'1.) Dimensionierung'!$C$42</f>
        <v>0.39205208141152059</v>
      </c>
      <c r="J31" s="31">
        <f t="shared" si="5"/>
        <v>0.19812564596449775</v>
      </c>
      <c r="K31" s="29"/>
    </row>
    <row r="32" spans="1:11" x14ac:dyDescent="0.35">
      <c r="A32" s="37">
        <v>10</v>
      </c>
      <c r="B32" s="24">
        <f t="shared" si="0"/>
        <v>32810</v>
      </c>
      <c r="C32" s="11">
        <f t="shared" si="1"/>
        <v>0.24824000000000007</v>
      </c>
      <c r="D32" s="11">
        <f t="shared" si="2"/>
        <v>0.22389698462141697</v>
      </c>
      <c r="E32" s="6">
        <f t="shared" si="3"/>
        <v>26431.296227339873</v>
      </c>
      <c r="F32" s="26">
        <f t="shared" si="4"/>
        <v>783.59056912520964</v>
      </c>
      <c r="G32" s="28">
        <f>'1.) Dimensionierung'!$C$60</f>
        <v>0.27099969035967408</v>
      </c>
      <c r="H32" s="28">
        <f>'1.) Dimensionierung'!$C$77</f>
        <v>0.24832910914659534</v>
      </c>
      <c r="I32" s="31">
        <f>F32*'1.) Dimensionierung'!$C$42</f>
        <v>0.33712832385824287</v>
      </c>
      <c r="J32" s="31">
        <f t="shared" si="5"/>
        <v>0.22389698462141697</v>
      </c>
      <c r="K32" s="29"/>
    </row>
    <row r="33" spans="1:11" x14ac:dyDescent="0.35">
      <c r="A33" s="97">
        <v>11</v>
      </c>
      <c r="B33" s="25">
        <f t="shared" si="0"/>
        <v>36091</v>
      </c>
      <c r="C33" s="98">
        <f t="shared" si="1"/>
        <v>0.21595000000000003</v>
      </c>
      <c r="D33" s="98">
        <f t="shared" si="2"/>
        <v>0.25737526030294305</v>
      </c>
      <c r="E33" s="7">
        <f t="shared" si="3"/>
        <v>22627.254431599747</v>
      </c>
      <c r="F33" s="99">
        <f t="shared" si="4"/>
        <v>670.81474269348087</v>
      </c>
      <c r="G33" s="28">
        <f>'1.) Dimensionierung'!$C$60</f>
        <v>0.27099969035967408</v>
      </c>
      <c r="H33" s="28">
        <f>'1.) Dimensionierung'!$C$77</f>
        <v>0.24832910914659534</v>
      </c>
      <c r="I33" s="31">
        <f>F33*'1.) Dimensionierung'!$C$42</f>
        <v>0.28860818230127927</v>
      </c>
      <c r="J33" s="31">
        <f t="shared" si="5"/>
        <v>0.25737526030294305</v>
      </c>
      <c r="K33" s="29"/>
    </row>
    <row r="34" spans="1:11" x14ac:dyDescent="0.35">
      <c r="A34" s="37">
        <v>12</v>
      </c>
      <c r="B34" s="24">
        <f t="shared" si="0"/>
        <v>39372</v>
      </c>
      <c r="C34" s="11">
        <f t="shared" si="1"/>
        <v>0.18366000000000005</v>
      </c>
      <c r="D34" s="11">
        <f t="shared" si="2"/>
        <v>0.30262543538288439</v>
      </c>
      <c r="E34" s="6">
        <f>p0*0.2232*POWER(e,-0.1577*(A34-11))</f>
        <v>19316.238670822768</v>
      </c>
      <c r="F34" s="26">
        <f t="shared" si="4"/>
        <v>572.65532205613408</v>
      </c>
      <c r="G34" s="28">
        <f>'1.) Dimensionierung'!$C$60</f>
        <v>0.27099969035967408</v>
      </c>
      <c r="H34" s="28">
        <f>'1.) Dimensionierung'!$C$77</f>
        <v>0.24832910914659534</v>
      </c>
      <c r="I34" s="31">
        <f>F34*'1.) Dimensionierung'!$C$42</f>
        <v>0.24637653448128474</v>
      </c>
      <c r="J34" s="31">
        <f t="shared" si="5"/>
        <v>0.30262543538288439</v>
      </c>
      <c r="K34" s="29"/>
    </row>
    <row r="35" spans="1:11" x14ac:dyDescent="0.35">
      <c r="A35" s="37">
        <v>13</v>
      </c>
      <c r="B35" s="24">
        <f t="shared" si="0"/>
        <v>42653</v>
      </c>
      <c r="C35" s="11">
        <f t="shared" si="1"/>
        <v>0.15137000000000012</v>
      </c>
      <c r="D35" s="11">
        <f t="shared" si="2"/>
        <v>0.36718099664676307</v>
      </c>
      <c r="E35" s="6">
        <f>p0*0.2232*POWER(e,-0.1577*(A35-11))</f>
        <v>16498.114869917543</v>
      </c>
      <c r="F35" s="26">
        <f t="shared" si="4"/>
        <v>489.10833238059706</v>
      </c>
      <c r="G35" s="28">
        <f>'1.) Dimensionierung'!$C$60</f>
        <v>0.27099969035967408</v>
      </c>
      <c r="H35" s="28">
        <f>'1.) Dimensionierung'!$C$77</f>
        <v>0.24832910914659534</v>
      </c>
      <c r="I35" s="31">
        <f>F35*'1.) Dimensionierung'!$C$42</f>
        <v>0.21043167028497373</v>
      </c>
      <c r="J35" s="31">
        <f t="shared" si="5"/>
        <v>0.36718099664676307</v>
      </c>
      <c r="K35" s="29"/>
    </row>
    <row r="36" spans="1:11" x14ac:dyDescent="0.35">
      <c r="A36" s="37">
        <v>14</v>
      </c>
      <c r="B36" s="24">
        <f t="shared" si="0"/>
        <v>45934</v>
      </c>
      <c r="C36" s="11">
        <f>(0.0013*BPR-0.0397)*A36-0.0248*BPR+0.7125</f>
        <v>0.11907999999999996</v>
      </c>
      <c r="D36" s="11">
        <f t="shared" si="2"/>
        <v>0.46674661960380059</v>
      </c>
      <c r="E36" s="6">
        <f>p0*0.2232*POWER(e,-0.1577*(A36-11))</f>
        <v>14091.138492305688</v>
      </c>
      <c r="F36" s="26">
        <f t="shared" si="4"/>
        <v>417.75034927673056</v>
      </c>
      <c r="G36" s="28">
        <f>'1.) Dimensionierung'!$C$60</f>
        <v>0.27099969035967408</v>
      </c>
      <c r="H36" s="28">
        <f>'1.) Dimensionierung'!$C$77</f>
        <v>0.24832910914659534</v>
      </c>
      <c r="I36" s="31">
        <f>F36*'1.) Dimensionierung'!$C$42</f>
        <v>0.17973094699198153</v>
      </c>
      <c r="J36" s="31">
        <f>D36</f>
        <v>0.46674661960380059</v>
      </c>
      <c r="K36" s="29"/>
    </row>
    <row r="37" spans="1:11" x14ac:dyDescent="0.35">
      <c r="A37" s="37">
        <v>15</v>
      </c>
      <c r="B37" s="24">
        <f t="shared" si="0"/>
        <v>49215</v>
      </c>
      <c r="C37" s="11">
        <f>(0.0013*BPR-0.0397)*A37-0.0248*BPR+0.7125</f>
        <v>8.6790000000000034E-2</v>
      </c>
      <c r="D37" s="11">
        <f t="shared" si="2"/>
        <v>0.6403985189816862</v>
      </c>
      <c r="E37" s="6">
        <f>p0*0.2232*POWER(e,-0.1577*(A37-11))</f>
        <v>12035.325585675922</v>
      </c>
      <c r="F37" s="26">
        <f t="shared" si="4"/>
        <v>356.80306951923313</v>
      </c>
      <c r="G37" s="28">
        <f>'1.) Dimensionierung'!$C$60</f>
        <v>0.27099969035967408</v>
      </c>
      <c r="H37" s="28">
        <f>'1.) Dimensionierung'!$C$77</f>
        <v>0.24832910914659534</v>
      </c>
      <c r="I37" s="31">
        <f>F37*'1.) Dimensionierung'!$C$42</f>
        <v>0.15350927578005896</v>
      </c>
      <c r="J37" s="31">
        <f>D37</f>
        <v>0.6403985189816862</v>
      </c>
      <c r="K37" s="29"/>
    </row>
    <row r="38" spans="1:11" x14ac:dyDescent="0.35">
      <c r="A38" s="37"/>
      <c r="B38" s="24"/>
      <c r="C38" s="5"/>
      <c r="D38" s="5"/>
      <c r="E38" s="6"/>
      <c r="F38" s="26">
        <f>'1.) Dimensionierung'!C33</f>
        <v>636.21533442088094</v>
      </c>
      <c r="G38" s="29"/>
      <c r="H38" s="29"/>
      <c r="I38" s="31"/>
      <c r="J38" s="31"/>
      <c r="K38" s="29">
        <v>0</v>
      </c>
    </row>
    <row r="39" spans="1:11" x14ac:dyDescent="0.35">
      <c r="A39" s="37"/>
      <c r="B39" s="24"/>
      <c r="C39" s="5"/>
      <c r="D39" s="5"/>
      <c r="E39" s="6"/>
      <c r="F39" s="26">
        <f>F38+0.1</f>
        <v>636.31533442088096</v>
      </c>
      <c r="G39" s="29"/>
      <c r="H39" s="29"/>
      <c r="I39" s="31"/>
      <c r="J39" s="31"/>
      <c r="K39" s="29">
        <v>0.5</v>
      </c>
    </row>
    <row r="40" spans="1:11" ht="15" x14ac:dyDescent="0.5">
      <c r="A40" s="58" t="s">
        <v>81</v>
      </c>
      <c r="B40" s="62" t="s">
        <v>53</v>
      </c>
      <c r="C40" s="59" t="s">
        <v>269</v>
      </c>
      <c r="D40" s="60" t="s">
        <v>23</v>
      </c>
      <c r="E40" s="59" t="s">
        <v>24</v>
      </c>
      <c r="F40" s="62" t="s">
        <v>25</v>
      </c>
      <c r="G40" s="47" t="s">
        <v>80</v>
      </c>
      <c r="H40" s="47" t="s">
        <v>80</v>
      </c>
      <c r="I40" s="47" t="s">
        <v>80</v>
      </c>
      <c r="J40" s="63" t="s">
        <v>26</v>
      </c>
      <c r="K40" s="47" t="s">
        <v>80</v>
      </c>
    </row>
    <row r="41" spans="1:11" x14ac:dyDescent="0.35">
      <c r="A41" s="36"/>
      <c r="B41" s="23"/>
      <c r="C41" s="3" t="s">
        <v>270</v>
      </c>
      <c r="D41" s="61"/>
      <c r="E41" s="3"/>
      <c r="F41" s="23"/>
      <c r="G41" s="30"/>
      <c r="H41" s="30"/>
      <c r="I41" s="30"/>
      <c r="J41" s="64" t="s">
        <v>79</v>
      </c>
      <c r="K41" s="30"/>
    </row>
    <row r="43" spans="1:11" ht="15" x14ac:dyDescent="0.5">
      <c r="A43" t="s">
        <v>219</v>
      </c>
      <c r="B43" t="s">
        <v>86</v>
      </c>
      <c r="C43" s="39">
        <f>'1.) Dimensionierung'!C33</f>
        <v>636.21533442088094</v>
      </c>
      <c r="D43" s="22" t="s">
        <v>8</v>
      </c>
      <c r="E43" s="9" t="s">
        <v>291</v>
      </c>
    </row>
    <row r="44" spans="1:11" ht="15" x14ac:dyDescent="0.5">
      <c r="A44" t="s">
        <v>195</v>
      </c>
      <c r="B44" t="s">
        <v>90</v>
      </c>
      <c r="C44" s="51">
        <f>'1.) Dimensionierung'!C43</f>
        <v>0.2737222954912189</v>
      </c>
      <c r="E44" s="9" t="s">
        <v>292</v>
      </c>
    </row>
    <row r="45" spans="1:11" ht="15" x14ac:dyDescent="0.5">
      <c r="A45" t="s">
        <v>220</v>
      </c>
      <c r="B45" t="s">
        <v>85</v>
      </c>
      <c r="C45" s="16">
        <f>1/(C44*L_D)</f>
        <v>0.20305319799644744</v>
      </c>
      <c r="E45" s="9"/>
    </row>
    <row r="46" spans="1:11" ht="13.15" x14ac:dyDescent="0.4">
      <c r="A46" t="s">
        <v>262</v>
      </c>
      <c r="B46" t="s">
        <v>287</v>
      </c>
      <c r="C46" s="16">
        <v>0.30480000000000002</v>
      </c>
      <c r="D46" t="s">
        <v>288</v>
      </c>
      <c r="E46" s="9"/>
    </row>
    <row r="47" spans="1:11" ht="15" x14ac:dyDescent="0.5">
      <c r="A47" t="s">
        <v>221</v>
      </c>
      <c r="B47" t="s">
        <v>84</v>
      </c>
      <c r="C47" s="53">
        <f>(C45-0.7125+0.0248*BPR)/(0.0013*BPR-0.0397)*1000</f>
        <v>11399.405450713923</v>
      </c>
      <c r="D47" s="54" t="s">
        <v>3</v>
      </c>
      <c r="E47" s="9"/>
    </row>
    <row r="48" spans="1:11" ht="15" x14ac:dyDescent="0.5">
      <c r="A48" t="s">
        <v>221</v>
      </c>
      <c r="B48" t="s">
        <v>84</v>
      </c>
      <c r="C48" s="53">
        <f>C47/C46</f>
        <v>37399.624182132291</v>
      </c>
      <c r="D48" s="54" t="s">
        <v>289</v>
      </c>
      <c r="E48" s="9"/>
    </row>
    <row r="49" spans="1:11" ht="15" x14ac:dyDescent="0.5">
      <c r="A49" t="s">
        <v>222</v>
      </c>
      <c r="B49" t="s">
        <v>77</v>
      </c>
      <c r="C49" s="65">
        <f>288.15-0.0065*C47</f>
        <v>214.05386457035948</v>
      </c>
      <c r="D49" t="s">
        <v>27</v>
      </c>
      <c r="E49" s="14" t="s">
        <v>76</v>
      </c>
      <c r="F49">
        <v>216.65</v>
      </c>
      <c r="G49" t="s">
        <v>27</v>
      </c>
    </row>
    <row r="50" spans="1:11" ht="15" x14ac:dyDescent="0.5">
      <c r="A50" t="s">
        <v>223</v>
      </c>
      <c r="B50" t="s">
        <v>87</v>
      </c>
      <c r="C50" s="65">
        <f>IF(C49&lt;F49,F49,C49)</f>
        <v>216.65</v>
      </c>
      <c r="E50" s="9"/>
    </row>
    <row r="51" spans="1:11" ht="15" x14ac:dyDescent="0.5">
      <c r="A51" t="s">
        <v>260</v>
      </c>
      <c r="B51" t="s">
        <v>2</v>
      </c>
      <c r="C51" s="17">
        <f>20.05*SQRT(C50)</f>
        <v>295.11665765422322</v>
      </c>
      <c r="D51" t="s">
        <v>4</v>
      </c>
      <c r="E51" s="9"/>
    </row>
    <row r="52" spans="1:11" ht="15" x14ac:dyDescent="0.5">
      <c r="A52" t="s">
        <v>224</v>
      </c>
      <c r="B52" t="s">
        <v>78</v>
      </c>
      <c r="C52" s="53">
        <f>a*M</f>
        <v>230.1909929702941</v>
      </c>
      <c r="D52" s="54" t="s">
        <v>4</v>
      </c>
      <c r="E52" s="13" t="s">
        <v>313</v>
      </c>
      <c r="F52">
        <f>0.9*C56/V_CR/60</f>
        <v>256.45008624476492</v>
      </c>
      <c r="G52" s="119" t="s">
        <v>314</v>
      </c>
      <c r="H52">
        <f>F52/60</f>
        <v>4.2741681040794157</v>
      </c>
    </row>
    <row r="53" spans="1:11" ht="13.15" x14ac:dyDescent="0.4">
      <c r="C53" s="17"/>
      <c r="E53" s="9"/>
    </row>
    <row r="54" spans="1:11" ht="13.15" x14ac:dyDescent="0.4">
      <c r="A54" t="s">
        <v>262</v>
      </c>
      <c r="B54" s="17" t="s">
        <v>263</v>
      </c>
      <c r="C54">
        <v>1852</v>
      </c>
      <c r="D54" t="s">
        <v>264</v>
      </c>
      <c r="E54" s="13"/>
    </row>
    <row r="55" spans="1:11" ht="13.15" x14ac:dyDescent="0.4">
      <c r="A55" t="s">
        <v>225</v>
      </c>
      <c r="B55" t="s">
        <v>28</v>
      </c>
      <c r="C55" s="39">
        <v>2125</v>
      </c>
      <c r="D55" s="22" t="s">
        <v>261</v>
      </c>
      <c r="E55" s="13"/>
      <c r="F55" s="113"/>
      <c r="I55" s="14"/>
      <c r="J55" s="117"/>
    </row>
    <row r="56" spans="1:11" x14ac:dyDescent="0.35">
      <c r="A56" t="s">
        <v>225</v>
      </c>
      <c r="B56" t="s">
        <v>28</v>
      </c>
      <c r="C56" s="21">
        <f>C55*C54</f>
        <v>3935500</v>
      </c>
      <c r="D56" t="s">
        <v>3</v>
      </c>
    </row>
    <row r="57" spans="1:11" ht="15" x14ac:dyDescent="0.5">
      <c r="A57" t="s">
        <v>226</v>
      </c>
      <c r="B57" t="s">
        <v>88</v>
      </c>
      <c r="C57" s="69">
        <v>200</v>
      </c>
      <c r="D57" s="69" t="s">
        <v>261</v>
      </c>
    </row>
    <row r="58" spans="1:11" ht="15" x14ac:dyDescent="0.5">
      <c r="A58" t="s">
        <v>226</v>
      </c>
      <c r="B58" t="s">
        <v>88</v>
      </c>
      <c r="C58" s="21">
        <f>C57*C54</f>
        <v>370400</v>
      </c>
      <c r="D58" t="s">
        <v>3</v>
      </c>
      <c r="E58" s="13" t="s">
        <v>294</v>
      </c>
    </row>
    <row r="59" spans="1:11" ht="15" x14ac:dyDescent="0.5">
      <c r="A59" s="13" t="s">
        <v>297</v>
      </c>
      <c r="B59" t="s">
        <v>31</v>
      </c>
      <c r="C59" s="52" t="s">
        <v>312</v>
      </c>
      <c r="E59" s="84" t="s">
        <v>30</v>
      </c>
      <c r="F59" s="102" t="s">
        <v>89</v>
      </c>
      <c r="G59" s="103"/>
    </row>
    <row r="60" spans="1:11" ht="13.15" x14ac:dyDescent="0.4">
      <c r="B60" t="s">
        <v>148</v>
      </c>
      <c r="C60" s="67" t="str">
        <f>IF(C59="ja","nein","ja")</f>
        <v>ja</v>
      </c>
      <c r="E60" s="37" t="s">
        <v>31</v>
      </c>
      <c r="F60" s="109">
        <f>C58</f>
        <v>370400</v>
      </c>
      <c r="G60" s="110" t="s">
        <v>3</v>
      </c>
    </row>
    <row r="61" spans="1:11" x14ac:dyDescent="0.35">
      <c r="A61" s="19" t="s">
        <v>295</v>
      </c>
      <c r="C61" s="108">
        <v>0.05</v>
      </c>
      <c r="E61" s="97" t="s">
        <v>148</v>
      </c>
      <c r="F61" s="1">
        <f>C56*C61+C58</f>
        <v>567175</v>
      </c>
      <c r="G61" s="25" t="s">
        <v>3</v>
      </c>
    </row>
    <row r="63" spans="1:11" ht="15" x14ac:dyDescent="0.5">
      <c r="A63" t="s">
        <v>296</v>
      </c>
      <c r="B63" t="s">
        <v>89</v>
      </c>
      <c r="C63" s="107">
        <f>IF(C59="ja",F60,F61)</f>
        <v>567175</v>
      </c>
      <c r="D63" t="s">
        <v>3</v>
      </c>
      <c r="E63" s="9"/>
    </row>
    <row r="64" spans="1:11" ht="15" x14ac:dyDescent="0.5">
      <c r="A64" t="s">
        <v>227</v>
      </c>
      <c r="B64" t="s">
        <v>140</v>
      </c>
      <c r="C64" s="38">
        <f>15.4/1000/1000</f>
        <v>1.5400000000000002E-5</v>
      </c>
      <c r="D64" s="22" t="s">
        <v>29</v>
      </c>
      <c r="E64" t="s">
        <v>281</v>
      </c>
      <c r="F64" s="101">
        <v>1.5999999999999999E-5</v>
      </c>
      <c r="G64" t="s">
        <v>29</v>
      </c>
      <c r="I64" s="14"/>
      <c r="J64" s="14"/>
      <c r="K64" s="113"/>
    </row>
    <row r="65" spans="1:11" ht="13.15" x14ac:dyDescent="0.4">
      <c r="C65" s="38"/>
      <c r="E65" s="13" t="s">
        <v>293</v>
      </c>
      <c r="F65" s="101"/>
      <c r="K65" s="113"/>
    </row>
    <row r="66" spans="1:11" ht="15" x14ac:dyDescent="0.5">
      <c r="A66" t="s">
        <v>228</v>
      </c>
      <c r="B66" t="s">
        <v>141</v>
      </c>
      <c r="C66" s="6">
        <f>L_D*V_CR/C64/g</f>
        <v>27414390.25682915</v>
      </c>
      <c r="D66" t="s">
        <v>3</v>
      </c>
      <c r="E66" s="84" t="s">
        <v>30</v>
      </c>
      <c r="F66" s="102" t="s">
        <v>144</v>
      </c>
      <c r="G66" s="103"/>
    </row>
    <row r="67" spans="1:11" ht="15" x14ac:dyDescent="0.5">
      <c r="A67" t="s">
        <v>229</v>
      </c>
      <c r="B67" t="s">
        <v>142</v>
      </c>
      <c r="C67" s="11">
        <f>POWER(e,-C56/C66)</f>
        <v>0.86627229415688378</v>
      </c>
      <c r="E67" s="37" t="s">
        <v>31</v>
      </c>
      <c r="F67">
        <v>2700</v>
      </c>
      <c r="G67" s="24" t="s">
        <v>32</v>
      </c>
    </row>
    <row r="68" spans="1:11" ht="15" x14ac:dyDescent="0.5">
      <c r="A68" t="s">
        <v>258</v>
      </c>
      <c r="B68" t="s">
        <v>143</v>
      </c>
      <c r="C68" s="11">
        <f>POWER(e,-C63/C66)</f>
        <v>0.97952359619472618</v>
      </c>
      <c r="E68" s="97" t="s">
        <v>148</v>
      </c>
      <c r="F68" s="1">
        <v>1800</v>
      </c>
      <c r="G68" s="25" t="s">
        <v>32</v>
      </c>
    </row>
    <row r="69" spans="1:11" x14ac:dyDescent="0.35">
      <c r="C69" s="11"/>
    </row>
    <row r="70" spans="1:11" ht="15" x14ac:dyDescent="0.5">
      <c r="A70" t="s">
        <v>230</v>
      </c>
      <c r="B70" t="s">
        <v>144</v>
      </c>
      <c r="C70" s="107">
        <f>IF(C59="ja",F67,F68)</f>
        <v>1800</v>
      </c>
      <c r="D70" t="s">
        <v>32</v>
      </c>
      <c r="E70" s="9"/>
    </row>
    <row r="71" spans="1:11" ht="15" x14ac:dyDescent="0.5">
      <c r="A71" t="s">
        <v>266</v>
      </c>
      <c r="B71" t="s">
        <v>145</v>
      </c>
      <c r="C71" s="38">
        <f>C64</f>
        <v>1.5400000000000002E-5</v>
      </c>
      <c r="D71" s="22" t="s">
        <v>29</v>
      </c>
    </row>
    <row r="72" spans="1:11" ht="15" x14ac:dyDescent="0.5">
      <c r="A72" t="s">
        <v>231</v>
      </c>
      <c r="B72" t="s">
        <v>146</v>
      </c>
      <c r="C72" s="6">
        <f>C66/C52</f>
        <v>119094.10486954608</v>
      </c>
      <c r="D72" t="s">
        <v>32</v>
      </c>
    </row>
    <row r="73" spans="1:11" ht="15" x14ac:dyDescent="0.5">
      <c r="A73" t="s">
        <v>232</v>
      </c>
      <c r="B73" t="s">
        <v>147</v>
      </c>
      <c r="C73" s="11">
        <f>POWER(e,-C70/C72)</f>
        <v>0.98499954648475774</v>
      </c>
    </row>
    <row r="74" spans="1:11" ht="15" x14ac:dyDescent="0.5">
      <c r="E74" s="46" t="s">
        <v>33</v>
      </c>
      <c r="F74" s="40" t="s">
        <v>100</v>
      </c>
      <c r="G74" s="41"/>
    </row>
    <row r="75" spans="1:11" ht="13.15" x14ac:dyDescent="0.4">
      <c r="C75" s="13"/>
      <c r="E75" s="46"/>
      <c r="F75" s="48" t="s">
        <v>34</v>
      </c>
      <c r="G75" s="42" t="s">
        <v>35</v>
      </c>
    </row>
    <row r="76" spans="1:11" ht="15" x14ac:dyDescent="0.5">
      <c r="A76" t="s">
        <v>233</v>
      </c>
      <c r="B76" t="s">
        <v>150</v>
      </c>
      <c r="C76" s="51">
        <v>0.99</v>
      </c>
      <c r="D76" s="13" t="s">
        <v>93</v>
      </c>
      <c r="E76" s="47" t="s">
        <v>36</v>
      </c>
      <c r="F76" s="49">
        <v>0.99</v>
      </c>
      <c r="G76" s="43">
        <v>0.99</v>
      </c>
    </row>
    <row r="77" spans="1:11" ht="15" x14ac:dyDescent="0.5">
      <c r="A77" t="s">
        <v>234</v>
      </c>
      <c r="B77" t="s">
        <v>149</v>
      </c>
      <c r="C77" s="51">
        <v>0.995</v>
      </c>
      <c r="D77" s="13" t="s">
        <v>94</v>
      </c>
      <c r="E77" s="29" t="s">
        <v>37</v>
      </c>
      <c r="F77" s="28">
        <v>0.99</v>
      </c>
      <c r="G77" s="106">
        <v>0.995</v>
      </c>
    </row>
    <row r="78" spans="1:11" ht="15" x14ac:dyDescent="0.5">
      <c r="A78" t="s">
        <v>235</v>
      </c>
      <c r="B78" t="s">
        <v>151</v>
      </c>
      <c r="C78" s="51">
        <v>0.995</v>
      </c>
      <c r="D78" s="13" t="s">
        <v>95</v>
      </c>
      <c r="E78" s="29" t="s">
        <v>38</v>
      </c>
      <c r="F78" s="28">
        <v>0.995</v>
      </c>
      <c r="G78" s="44">
        <v>0.995</v>
      </c>
    </row>
    <row r="79" spans="1:11" ht="15" x14ac:dyDescent="0.5">
      <c r="A79" t="s">
        <v>236</v>
      </c>
      <c r="B79" t="s">
        <v>152</v>
      </c>
      <c r="C79" s="51">
        <v>0.98</v>
      </c>
      <c r="D79" s="13" t="s">
        <v>96</v>
      </c>
      <c r="E79" s="29" t="s">
        <v>39</v>
      </c>
      <c r="F79" s="28">
        <v>0.98</v>
      </c>
      <c r="G79" s="44">
        <v>0.98</v>
      </c>
    </row>
    <row r="80" spans="1:11" ht="15" x14ac:dyDescent="0.5">
      <c r="A80" t="s">
        <v>237</v>
      </c>
      <c r="B80" t="s">
        <v>153</v>
      </c>
      <c r="C80" s="51">
        <v>0.99</v>
      </c>
      <c r="D80" s="13" t="s">
        <v>97</v>
      </c>
      <c r="E80" s="29" t="s">
        <v>40</v>
      </c>
      <c r="F80" s="28">
        <v>0.99</v>
      </c>
      <c r="G80" s="44">
        <v>0.99</v>
      </c>
    </row>
    <row r="81" spans="1:8" ht="15" x14ac:dyDescent="0.5">
      <c r="A81" t="s">
        <v>238</v>
      </c>
      <c r="B81" t="s">
        <v>154</v>
      </c>
      <c r="C81" s="51">
        <v>0.99199999999999999</v>
      </c>
      <c r="D81" s="13" t="s">
        <v>98</v>
      </c>
      <c r="E81" s="30" t="s">
        <v>41</v>
      </c>
      <c r="F81" s="50">
        <v>0.99199999999999999</v>
      </c>
      <c r="G81" s="45">
        <v>0.99199999999999999</v>
      </c>
    </row>
    <row r="83" spans="1:8" ht="15" x14ac:dyDescent="0.5">
      <c r="A83" t="s">
        <v>239</v>
      </c>
      <c r="B83" t="s">
        <v>155</v>
      </c>
      <c r="C83" s="11">
        <f>C78*C79*C67*C80*C81</f>
        <v>0.82956505214891718</v>
      </c>
    </row>
    <row r="84" spans="1:8" ht="15" x14ac:dyDescent="0.5">
      <c r="A84" t="s">
        <v>265</v>
      </c>
      <c r="B84" t="s">
        <v>156</v>
      </c>
      <c r="C84" s="11">
        <f>C79*C68*C73*C80</f>
        <v>0.93607835514184112</v>
      </c>
    </row>
    <row r="85" spans="1:8" ht="15" x14ac:dyDescent="0.5">
      <c r="A85" t="s">
        <v>240</v>
      </c>
      <c r="B85" t="s">
        <v>157</v>
      </c>
      <c r="C85" s="11">
        <f>C83*C84</f>
        <v>0.77653788949871405</v>
      </c>
    </row>
    <row r="86" spans="1:8" ht="15" x14ac:dyDescent="0.5">
      <c r="A86" t="s">
        <v>241</v>
      </c>
      <c r="B86" t="s">
        <v>158</v>
      </c>
      <c r="C86" s="11">
        <f>1-C85</f>
        <v>0.22346211050128595</v>
      </c>
    </row>
    <row r="87" spans="1:8" x14ac:dyDescent="0.35">
      <c r="C87" s="11"/>
    </row>
    <row r="88" spans="1:8" ht="15" x14ac:dyDescent="0.5">
      <c r="A88" t="s">
        <v>267</v>
      </c>
      <c r="B88" t="s">
        <v>159</v>
      </c>
      <c r="C88" s="11">
        <f>0.23+1.04*C44</f>
        <v>0.51467118731086769</v>
      </c>
      <c r="D88" s="14"/>
      <c r="E88" t="s">
        <v>45</v>
      </c>
    </row>
    <row r="89" spans="1:8" ht="15" x14ac:dyDescent="0.5">
      <c r="A89" t="s">
        <v>267</v>
      </c>
      <c r="B89" t="s">
        <v>159</v>
      </c>
      <c r="C89" s="52">
        <v>0.54615380000000002</v>
      </c>
      <c r="E89" t="s">
        <v>99</v>
      </c>
      <c r="H89" s="113"/>
    </row>
    <row r="90" spans="1:8" ht="15" x14ac:dyDescent="0.5">
      <c r="A90" t="s">
        <v>267</v>
      </c>
      <c r="B90" t="s">
        <v>159</v>
      </c>
      <c r="C90" s="51">
        <f>C89</f>
        <v>0.54615380000000002</v>
      </c>
      <c r="E90" s="9" t="s">
        <v>92</v>
      </c>
    </row>
    <row r="91" spans="1:8" ht="13.15" x14ac:dyDescent="0.4">
      <c r="C91" s="51"/>
    </row>
    <row r="92" spans="1:8" ht="13.15" x14ac:dyDescent="0.4">
      <c r="A92" s="13" t="s">
        <v>298</v>
      </c>
      <c r="B92" t="s">
        <v>257</v>
      </c>
      <c r="C92" s="52" t="s">
        <v>103</v>
      </c>
      <c r="E92" s="9" t="s">
        <v>92</v>
      </c>
    </row>
    <row r="93" spans="1:8" ht="13.15" x14ac:dyDescent="0.4">
      <c r="B93" t="s">
        <v>161</v>
      </c>
      <c r="C93" s="67" t="str">
        <f>IF(C92="ja","nein","ja")</f>
        <v>nein</v>
      </c>
    </row>
    <row r="94" spans="1:8" ht="15" x14ac:dyDescent="0.5">
      <c r="A94" t="s">
        <v>283</v>
      </c>
      <c r="B94" t="s">
        <v>162</v>
      </c>
      <c r="C94" s="80">
        <f>IF(C92="ja",G95,H95)</f>
        <v>93</v>
      </c>
      <c r="D94" t="s">
        <v>42</v>
      </c>
      <c r="E94" s="46" t="s">
        <v>163</v>
      </c>
      <c r="F94" s="84"/>
      <c r="G94" s="42" t="s">
        <v>160</v>
      </c>
      <c r="H94" s="42" t="s">
        <v>161</v>
      </c>
    </row>
    <row r="95" spans="1:8" ht="15" x14ac:dyDescent="0.5">
      <c r="A95" t="s">
        <v>268</v>
      </c>
      <c r="B95" t="s">
        <v>164</v>
      </c>
      <c r="C95" s="22">
        <v>180</v>
      </c>
      <c r="D95" s="113"/>
      <c r="E95" s="30" t="s">
        <v>162</v>
      </c>
      <c r="F95" s="1"/>
      <c r="G95" s="81">
        <v>93</v>
      </c>
      <c r="H95" s="75">
        <v>97.5</v>
      </c>
    </row>
    <row r="96" spans="1:8" ht="15" x14ac:dyDescent="0.5">
      <c r="A96" t="s">
        <v>242</v>
      </c>
      <c r="B96" t="s">
        <v>166</v>
      </c>
      <c r="C96" s="22">
        <v>1230</v>
      </c>
      <c r="D96" s="22" t="s">
        <v>42</v>
      </c>
      <c r="H96" s="6"/>
    </row>
    <row r="97" spans="1:9" ht="15" x14ac:dyDescent="0.5">
      <c r="A97" t="s">
        <v>243</v>
      </c>
      <c r="B97" t="s">
        <v>165</v>
      </c>
      <c r="C97" s="53">
        <f>C94*C95+C96</f>
        <v>17970</v>
      </c>
      <c r="D97" s="54" t="s">
        <v>42</v>
      </c>
    </row>
    <row r="98" spans="1:9" x14ac:dyDescent="0.35">
      <c r="C98" s="11"/>
    </row>
    <row r="99" spans="1:9" ht="15" x14ac:dyDescent="0.5">
      <c r="A99" t="s">
        <v>244</v>
      </c>
      <c r="B99" t="s">
        <v>167</v>
      </c>
      <c r="C99" s="53">
        <f>C97/(1-C86-C90)</f>
        <v>78000.178046584711</v>
      </c>
      <c r="D99" s="54" t="s">
        <v>42</v>
      </c>
    </row>
    <row r="100" spans="1:9" ht="15" x14ac:dyDescent="0.5">
      <c r="A100" t="s">
        <v>245</v>
      </c>
      <c r="B100" t="s">
        <v>168</v>
      </c>
      <c r="C100" s="53">
        <f>C99*'1.) Dimensionierung'!C31</f>
        <v>66000.150654802448</v>
      </c>
      <c r="D100" s="54" t="s">
        <v>42</v>
      </c>
    </row>
    <row r="101" spans="1:9" ht="15" x14ac:dyDescent="0.5">
      <c r="A101" t="s">
        <v>246</v>
      </c>
      <c r="B101" t="s">
        <v>169</v>
      </c>
      <c r="C101" s="53">
        <f>C99*C90</f>
        <v>42600.093640818821</v>
      </c>
      <c r="D101" s="54" t="s">
        <v>42</v>
      </c>
      <c r="E101" s="6"/>
    </row>
    <row r="102" spans="1:9" ht="15" x14ac:dyDescent="0.5">
      <c r="A102" t="s">
        <v>284</v>
      </c>
      <c r="B102" t="s">
        <v>285</v>
      </c>
      <c r="C102" s="53">
        <f>C99*C86</f>
        <v>17430.084405765891</v>
      </c>
      <c r="D102" s="54" t="s">
        <v>42</v>
      </c>
      <c r="E102" s="14"/>
    </row>
    <row r="103" spans="1:9" ht="15" x14ac:dyDescent="0.5">
      <c r="A103" t="s">
        <v>247</v>
      </c>
      <c r="B103" t="s">
        <v>170</v>
      </c>
      <c r="C103" s="56">
        <f>C99/C43</f>
        <v>122.60027985270878</v>
      </c>
      <c r="D103" s="54" t="s">
        <v>43</v>
      </c>
    </row>
    <row r="104" spans="1:9" ht="15" x14ac:dyDescent="0.5">
      <c r="A104" t="s">
        <v>248</v>
      </c>
      <c r="B104" t="s">
        <v>171</v>
      </c>
      <c r="C104" s="6">
        <f>C99*g*C44</f>
        <v>209447.30415745883</v>
      </c>
      <c r="D104" t="s">
        <v>44</v>
      </c>
      <c r="E104" s="13" t="s">
        <v>46</v>
      </c>
      <c r="H104" s="14"/>
    </row>
    <row r="105" spans="1:9" ht="15" x14ac:dyDescent="0.5">
      <c r="A105" t="s">
        <v>249</v>
      </c>
      <c r="B105" t="s">
        <v>172</v>
      </c>
      <c r="C105" s="53">
        <f>C104/'1.) Dimensionierung'!C58</f>
        <v>104723.65207872941</v>
      </c>
      <c r="D105" s="54" t="s">
        <v>44</v>
      </c>
      <c r="E105" s="13" t="s">
        <v>47</v>
      </c>
      <c r="H105" s="14"/>
      <c r="I105" s="14"/>
    </row>
    <row r="106" spans="1:9" ht="15" x14ac:dyDescent="0.5">
      <c r="A106" t="s">
        <v>249</v>
      </c>
      <c r="B106" t="s">
        <v>172</v>
      </c>
      <c r="C106" s="6">
        <f>C105*0.2248</f>
        <v>23541.876987298372</v>
      </c>
      <c r="D106" t="s">
        <v>48</v>
      </c>
      <c r="E106" s="13" t="s">
        <v>47</v>
      </c>
      <c r="H106" s="14"/>
      <c r="I106" s="113"/>
    </row>
    <row r="108" spans="1:9" ht="15" x14ac:dyDescent="0.5">
      <c r="A108" t="s">
        <v>250</v>
      </c>
      <c r="B108" t="s">
        <v>173</v>
      </c>
      <c r="C108" s="6">
        <f>C99*(1-C76*C77*C85)</f>
        <v>18335.607305696132</v>
      </c>
      <c r="D108" t="s">
        <v>42</v>
      </c>
    </row>
    <row r="109" spans="1:9" ht="15" x14ac:dyDescent="0.5">
      <c r="A109" t="s">
        <v>251</v>
      </c>
      <c r="B109" s="4" t="s">
        <v>174</v>
      </c>
      <c r="C109" s="69">
        <v>785</v>
      </c>
      <c r="D109" s="69" t="s">
        <v>7</v>
      </c>
      <c r="E109" s="13"/>
    </row>
    <row r="110" spans="1:9" ht="15" x14ac:dyDescent="0.5">
      <c r="A110" t="s">
        <v>252</v>
      </c>
      <c r="B110" t="s">
        <v>175</v>
      </c>
      <c r="C110" s="71">
        <f>C108/C109</f>
        <v>23.357461535918638</v>
      </c>
      <c r="D110" s="54" t="s">
        <v>49</v>
      </c>
      <c r="E110" t="s">
        <v>286</v>
      </c>
    </row>
    <row r="112" spans="1:9" ht="15" x14ac:dyDescent="0.5">
      <c r="A112" t="s">
        <v>253</v>
      </c>
      <c r="B112" t="s">
        <v>176</v>
      </c>
      <c r="C112" s="39">
        <f>C97</f>
        <v>17970</v>
      </c>
      <c r="D112" s="22" t="s">
        <v>42</v>
      </c>
    </row>
    <row r="113" spans="1:7" ht="15" x14ac:dyDescent="0.5">
      <c r="A113" t="s">
        <v>254</v>
      </c>
      <c r="B113" t="s">
        <v>177</v>
      </c>
      <c r="C113" s="6">
        <f>C101+C112</f>
        <v>60570.093640818821</v>
      </c>
      <c r="D113" t="s">
        <v>42</v>
      </c>
    </row>
    <row r="114" spans="1:7" ht="15" x14ac:dyDescent="0.5">
      <c r="A114" t="s">
        <v>304</v>
      </c>
      <c r="B114" t="s">
        <v>305</v>
      </c>
      <c r="C114" s="6">
        <f>C101+C97</f>
        <v>60570.093640818821</v>
      </c>
      <c r="D114" t="s">
        <v>42</v>
      </c>
    </row>
    <row r="116" spans="1:7" ht="15" x14ac:dyDescent="0.5">
      <c r="A116" t="s">
        <v>282</v>
      </c>
      <c r="B116" t="s">
        <v>178</v>
      </c>
      <c r="C116" s="6">
        <f>C99*(1-C84)</f>
        <v>4985.8996799669485</v>
      </c>
      <c r="D116" t="s">
        <v>42</v>
      </c>
    </row>
    <row r="118" spans="1:7" ht="15" x14ac:dyDescent="0.5">
      <c r="A118" t="s">
        <v>256</v>
      </c>
      <c r="B118" t="s">
        <v>50</v>
      </c>
      <c r="C118" s="93" t="s">
        <v>255</v>
      </c>
      <c r="E118" s="20" t="s">
        <v>52</v>
      </c>
      <c r="F118" s="20" t="s">
        <v>306</v>
      </c>
      <c r="G118" s="13" t="s">
        <v>51</v>
      </c>
    </row>
    <row r="119" spans="1:7" x14ac:dyDescent="0.35">
      <c r="C119" s="6">
        <f>C100</f>
        <v>66000.150654802448</v>
      </c>
      <c r="D119" t="s">
        <v>42</v>
      </c>
      <c r="E119" s="20" t="s">
        <v>52</v>
      </c>
      <c r="F119" s="6">
        <f>C114+C116</f>
        <v>65555.993320785768</v>
      </c>
      <c r="G119" t="s">
        <v>42</v>
      </c>
    </row>
    <row r="120" spans="1:7" ht="13.15" x14ac:dyDescent="0.4">
      <c r="E120" s="82" t="str">
        <f>IF(C100&gt;C113+C116, "ja","nein")</f>
        <v>ja</v>
      </c>
    </row>
    <row r="121" spans="1:7" x14ac:dyDescent="0.35">
      <c r="E121" s="83" t="str">
        <f>IF(E120="ja","Dimensionierung erfolgreich beendet!","Erhöhen Sie den Wert mML/mMTO unter '1.) Dimensionierung' !")</f>
        <v>Dimensionierung erfolgreich beendet!</v>
      </c>
    </row>
  </sheetData>
  <phoneticPr fontId="5" type="noConversion"/>
  <dataValidations disablePrompts="1" count="1">
    <dataValidation type="list" allowBlank="1" showInputMessage="1" showErrorMessage="1" sqref="C92 C59" xr:uid="{00000000-0002-0000-0200-000000000000}">
      <formula1>"ja, nein"</formula1>
    </dataValidation>
  </dataValidations>
  <pageMargins left="0.78740157499999996" right="0.5" top="0.77" bottom="0.74" header="0.4921259845" footer="0.4921259845"/>
  <pageSetup paperSize="9" scale="85" orientation="landscape" horizontalDpi="300" verticalDpi="300" r:id="rId1"/>
  <headerFooter alignWithMargins="0">
    <oddHeader>&amp;A</oddHeader>
    <oddFooter>Seite &amp;P</oddFooter>
  </headerFooter>
  <rowBreaks count="2" manualBreakCount="2">
    <brk id="42" max="16383" man="1"/>
    <brk id="82" max="16383" man="1"/>
  </rowBreaks>
  <drawing r:id="rId2"/>
  <legacyDrawing r:id="rId3"/>
  <oleObjects>
    <mc:AlternateContent xmlns:mc="http://schemas.openxmlformats.org/markup-compatibility/2006">
      <mc:Choice Requires="x14">
        <oleObject progId="Equation.3" shapeId="3080" r:id="rId4">
          <objectPr defaultSize="0" autoPict="0" r:id="rId5">
            <anchor moveWithCells="1">
              <from>
                <xdr:col>7</xdr:col>
                <xdr:colOff>42863</xdr:colOff>
                <xdr:row>8</xdr:row>
                <xdr:rowOff>0</xdr:rowOff>
              </from>
              <to>
                <xdr:col>9</xdr:col>
                <xdr:colOff>500063</xdr:colOff>
                <xdr:row>13</xdr:row>
                <xdr:rowOff>52388</xdr:rowOff>
              </to>
            </anchor>
          </objectPr>
        </oleObject>
      </mc:Choice>
      <mc:Fallback>
        <oleObject progId="Equation.3" shapeId="3080" r:id="rId4"/>
      </mc:Fallback>
    </mc:AlternateContent>
    <mc:AlternateContent xmlns:mc="http://schemas.openxmlformats.org/markup-compatibility/2006">
      <mc:Choice Requires="x14">
        <oleObject progId="Equation.3" shapeId="3081" r:id="rId6">
          <objectPr defaultSize="0" autoPict="0" r:id="rId7">
            <anchor moveWithCells="1">
              <from>
                <xdr:col>3</xdr:col>
                <xdr:colOff>547688</xdr:colOff>
                <xdr:row>15</xdr:row>
                <xdr:rowOff>4763</xdr:rowOff>
              </from>
              <to>
                <xdr:col>5</xdr:col>
                <xdr:colOff>214313</xdr:colOff>
                <xdr:row>17</xdr:row>
                <xdr:rowOff>61913</xdr:rowOff>
              </to>
            </anchor>
          </objectPr>
        </oleObject>
      </mc:Choice>
      <mc:Fallback>
        <oleObject progId="Equation.3" shapeId="3081" r:id="rId6"/>
      </mc:Fallback>
    </mc:AlternateContent>
    <mc:AlternateContent xmlns:mc="http://schemas.openxmlformats.org/markup-compatibility/2006">
      <mc:Choice Requires="x14">
        <oleObject progId="Equation.3" shapeId="3082" r:id="rId8">
          <objectPr defaultSize="0" autoPict="0" r:id="rId9">
            <anchor moveWithCells="1">
              <from>
                <xdr:col>5</xdr:col>
                <xdr:colOff>690563</xdr:colOff>
                <xdr:row>15</xdr:row>
                <xdr:rowOff>4763</xdr:rowOff>
              </from>
              <to>
                <xdr:col>7</xdr:col>
                <xdr:colOff>533400</xdr:colOff>
                <xdr:row>17</xdr:row>
                <xdr:rowOff>57150</xdr:rowOff>
              </to>
            </anchor>
          </objectPr>
        </oleObject>
      </mc:Choice>
      <mc:Fallback>
        <oleObject progId="Equation.3" shapeId="3082" r:id="rId8"/>
      </mc:Fallback>
    </mc:AlternateContent>
    <mc:AlternateContent xmlns:mc="http://schemas.openxmlformats.org/markup-compatibility/2006">
      <mc:Choice Requires="x14">
        <oleObject progId="Equation.3" shapeId="3085" r:id="rId10">
          <objectPr defaultSize="0" autoPict="0" r:id="rId11">
            <anchor moveWithCells="1">
              <from>
                <xdr:col>3</xdr:col>
                <xdr:colOff>23813</xdr:colOff>
                <xdr:row>11</xdr:row>
                <xdr:rowOff>33338</xdr:rowOff>
              </from>
              <to>
                <xdr:col>4</xdr:col>
                <xdr:colOff>990600</xdr:colOff>
                <xdr:row>12</xdr:row>
                <xdr:rowOff>95250</xdr:rowOff>
              </to>
            </anchor>
          </objectPr>
        </oleObject>
      </mc:Choice>
      <mc:Fallback>
        <oleObject progId="Equation.3" shapeId="3085" r:id="rId10"/>
      </mc:Fallback>
    </mc:AlternateContent>
    <mc:AlternateContent xmlns:mc="http://schemas.openxmlformats.org/markup-compatibility/2006">
      <mc:Choice Requires="x14">
        <oleObject progId="Equation.3" shapeId="3086" r:id="rId12">
          <objectPr defaultSize="0" autoPict="0" r:id="rId13">
            <anchor moveWithCells="1">
              <from>
                <xdr:col>3</xdr:col>
                <xdr:colOff>14288</xdr:colOff>
                <xdr:row>8</xdr:row>
                <xdr:rowOff>19050</xdr:rowOff>
              </from>
              <to>
                <xdr:col>4</xdr:col>
                <xdr:colOff>395288</xdr:colOff>
                <xdr:row>10</xdr:row>
                <xdr:rowOff>171450</xdr:rowOff>
              </to>
            </anchor>
          </objectPr>
        </oleObject>
      </mc:Choice>
      <mc:Fallback>
        <oleObject progId="Equation.3" shapeId="3086" r:id="rId12"/>
      </mc:Fallback>
    </mc:AlternateContent>
    <mc:AlternateContent xmlns:mc="http://schemas.openxmlformats.org/markup-compatibility/2006">
      <mc:Choice Requires="x14">
        <oleObject progId="Equation.3" shapeId="3087" r:id="rId14">
          <objectPr defaultSize="0" autoPict="0" r:id="rId15">
            <anchor moveWithCells="1">
              <from>
                <xdr:col>7</xdr:col>
                <xdr:colOff>42863</xdr:colOff>
                <xdr:row>6</xdr:row>
                <xdr:rowOff>19050</xdr:rowOff>
              </from>
              <to>
                <xdr:col>9</xdr:col>
                <xdr:colOff>228600</xdr:colOff>
                <xdr:row>7</xdr:row>
                <xdr:rowOff>80963</xdr:rowOff>
              </to>
            </anchor>
          </objectPr>
        </oleObject>
      </mc:Choice>
      <mc:Fallback>
        <oleObject progId="Equation.3" shapeId="3087" r:id="rId1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C4" sqref="C4"/>
    </sheetView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baseColWidth="10" defaultColWidth="10.9296875" defaultRowHeight="12.75" x14ac:dyDescent="0.35"/>
  <sheetData/>
  <phoneticPr fontId="5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16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12</vt:i4>
      </vt:variant>
    </vt:vector>
  </HeadingPairs>
  <TitlesOfParts>
    <vt:vector size="29" baseType="lpstr">
      <vt:lpstr>1.) Dimensionierung</vt:lpstr>
      <vt:lpstr>2.) max. Gleitzahl im Reiseflug</vt:lpstr>
      <vt:lpstr>3.) Dimensionierung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(c)</vt:lpstr>
      <vt:lpstr>Entwurfsdiagramm</vt:lpstr>
      <vt:lpstr>a</vt:lpstr>
      <vt:lpstr>BPR</vt:lpstr>
      <vt:lpstr>CL</vt:lpstr>
      <vt:lpstr>CL_m</vt:lpstr>
      <vt:lpstr>e</vt:lpstr>
      <vt:lpstr>g</vt:lpstr>
      <vt:lpstr>gamma</vt:lpstr>
      <vt:lpstr>L_D</vt:lpstr>
      <vt:lpstr>L_D_max</vt:lpstr>
      <vt:lpstr>M</vt:lpstr>
      <vt:lpstr>p0</vt:lpstr>
      <vt:lpstr>V_CR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Scholz</dc:creator>
  <cp:lastModifiedBy>Scholz, Dieter</cp:lastModifiedBy>
  <cp:lastPrinted>2006-03-12T23:14:33Z</cp:lastPrinted>
  <dcterms:created xsi:type="dcterms:W3CDTF">1998-10-31T17:05:42Z</dcterms:created>
  <dcterms:modified xsi:type="dcterms:W3CDTF">2023-11-04T10:56:41Z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2023-11-04T10:56:41Z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2c6cac8d-ab61-47b3-8209-4df2e46aefbc</vt:lpwstr>
  </property>
  <property fmtid="{D5CDD505-2E9C-101B-9397-08002B2CF9AE}" pid="7" name="MSIP_Label_defa4170-0d19-0005-0004-bc88714345d2_ActionId">
    <vt:lpwstr>fcac5256-1643-4c4c-bf77-c335c4e1e753</vt:lpwstr>
  </property>
  <property fmtid="{D5CDD505-2E9C-101B-9397-08002B2CF9AE}" pid="8" name="MSIP_Label_defa4170-0d19-0005-0004-bc88714345d2_ContentBits">
    <vt:lpwstr>0</vt:lpwstr>
  </property>
</Properties>
</file>