
<file path=[Content_Types].xml><?xml version="1.0" encoding="utf-8"?>
<Types xmlns="http://schemas.openxmlformats.org/package/2006/content-types">
  <Default Extension="png" ContentType="image/png"/>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vbaProject.bin" ContentType="application/vnd.ms-office.vbaProject"/>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defaultThemeVersion="124226"/>
  <bookViews>
    <workbookView xWindow="0" yWindow="720" windowWidth="5325" windowHeight="7425" activeTab="1"/>
  </bookViews>
  <sheets>
    <sheet name="Main" sheetId="5" r:id="rId1"/>
    <sheet name="Input" sheetId="3" r:id="rId2"/>
    <sheet name="Convert" sheetId="2" r:id="rId3"/>
  </sheets>
  <definedNames>
    <definedName name="A_H">Input!$D$78</definedName>
    <definedName name="A_V">Input!$D$90</definedName>
    <definedName name="A_W">Input!$D$48</definedName>
    <definedName name="A_W.o">Input!$AA$57</definedName>
    <definedName name="b_df">Input!$I$106</definedName>
    <definedName name="b_V">Input!$I$95</definedName>
    <definedName name="b_W">Input!$I$49</definedName>
    <definedName name="b_W.i">Input!$AA$59</definedName>
    <definedName name="C_H">Input!$M$80</definedName>
    <definedName name="c_MAC.W">Input!$AA$56</definedName>
    <definedName name="c_r.df">Input!$D$104</definedName>
    <definedName name="c_r.V">Input!$I$93</definedName>
    <definedName name="c_r.W">Input!$I$52</definedName>
    <definedName name="c_t.V">Input!$I$94</definedName>
    <definedName name="c_t.W">Input!$I$53</definedName>
    <definedName name="C_V">Input!$M$92</definedName>
    <definedName name="c_W.k">Input!$AA$60</definedName>
    <definedName name="cowl_cover">Input!$D$34</definedName>
    <definedName name="d_e.j">Input!$D$32</definedName>
    <definedName name="d_e.p">Input!$D$40</definedName>
    <definedName name="d_e.p.r">Input!$D$42</definedName>
    <definedName name="d_F">Input!$D$69</definedName>
    <definedName name="DL_av">Input!$AA$26</definedName>
    <definedName name="DL_den">Input!$AA$27</definedName>
    <definedName name="e">#REF!</definedName>
    <definedName name="eta_k.W">Input!$D$62</definedName>
    <definedName name="g">#REF!</definedName>
    <definedName name="ggam_H">Input!$D$82</definedName>
    <definedName name="ggam_W.i">Input!$D$65</definedName>
    <definedName name="ggam_W.o">Input!$D$59</definedName>
    <definedName name="l_aft.F">Input!$D$73</definedName>
    <definedName name="l_cock.F">Input!$D$72</definedName>
    <definedName name="l_e.j">Input!$D$33</definedName>
    <definedName name="l_e.j.pylon">Convert!$B$1577</definedName>
    <definedName name="l_e.p">Input!$D$41</definedName>
    <definedName name="l_F">Input!$D$70</definedName>
    <definedName name="l_nose.F">Input!$D$71</definedName>
    <definedName name="lam_H">Input!$D$79</definedName>
    <definedName name="lam_V">Input!$D$91</definedName>
    <definedName name="lam_W">Input!$D$51</definedName>
    <definedName name="lam_W.o">Input!$AA$58</definedName>
    <definedName name="M_CR">Input!$D$21</definedName>
    <definedName name="M_MO">Input!$I$22</definedName>
    <definedName name="MyToolName">Input!$H$13</definedName>
    <definedName name="MyToolPath">Input!$H$12</definedName>
    <definedName name="n_b.p">Input!$D$39</definedName>
    <definedName name="n_e">Input!$D$27</definedName>
    <definedName name="n_p">Input!$D$20</definedName>
    <definedName name="Name_aircraft">Input!$C$4</definedName>
    <definedName name="OpenVSP_Dir">Input!$H$10</definedName>
    <definedName name="OpenVSP_File">Input!$H$11</definedName>
    <definedName name="P_TO">Input!$D$38</definedName>
    <definedName name="phi_0.df">Input!$D$105</definedName>
    <definedName name="phi_0.e.j.pylon">Convert!$B$1640</definedName>
    <definedName name="phi_0.V">Input!$I$98</definedName>
    <definedName name="phi_0.W.i">Input!$D$63</definedName>
    <definedName name="phi_0.W.o">Input!$I$54</definedName>
    <definedName name="phi_100.V">Input!$I$99</definedName>
    <definedName name="phi_100.W.i">Input!$D$64</definedName>
    <definedName name="phi_100.W.o">Input!$I$55</definedName>
    <definedName name="phi_25.H">Input!$D$81</definedName>
    <definedName name="phi_25.V">Input!$D$97</definedName>
    <definedName name="phi_25.W.o">Input!$D$50</definedName>
    <definedName name="pos_e.j1.x">Input!$C$115</definedName>
    <definedName name="pos_e.j1.y">Input!$D$115</definedName>
    <definedName name="pos_e.j1.z">Input!$E$115</definedName>
    <definedName name="pos_e.j2.x">Input!$C$116</definedName>
    <definedName name="pos_e.j2.y">Input!$D$116</definedName>
    <definedName name="pos_e.j2.z">Input!$E$116</definedName>
    <definedName name="pos_e.j3.x">Input!$C$117</definedName>
    <definedName name="pos_e.j3.y">Input!$D$117</definedName>
    <definedName name="pos_e.j3.z">Input!$E$117</definedName>
    <definedName name="pos_e.j4.x">Input!$C$118</definedName>
    <definedName name="pos_e.j4.y">Input!$D$118</definedName>
    <definedName name="pos_e.j4.z">Input!$E$118</definedName>
    <definedName name="pos_e.p1.x">Input!$C$119</definedName>
    <definedName name="pos_e.p1.y">Input!$D$119</definedName>
    <definedName name="pos_e.p1.z">Input!$E$119</definedName>
    <definedName name="pos_e.p2.x">Input!$C$120</definedName>
    <definedName name="pos_e.p2.y">Input!$D$120</definedName>
    <definedName name="pos_e.p2.z">Input!$E$120</definedName>
    <definedName name="pos_e.p3.x">Input!$C$121</definedName>
    <definedName name="pos_e.p3.y">Input!$D$121</definedName>
    <definedName name="pos_e.p3.z">Input!$E$121</definedName>
    <definedName name="pos_e.p4.x">Input!$C$122</definedName>
    <definedName name="pos_e.p4.y">Input!$D$122</definedName>
    <definedName name="pos_e.p4.z">Input!$E$122</definedName>
    <definedName name="pos_F.x">Input!$C$114</definedName>
    <definedName name="pos_F.y">Input!$D$114</definedName>
    <definedName name="pos_F.z">Input!$E$114</definedName>
    <definedName name="pos_H.x">Input!$C$111</definedName>
    <definedName name="pos_H.y">Input!$D$111</definedName>
    <definedName name="pos_H.z">Input!$E$111</definedName>
    <definedName name="pos_LG1.x">Input!$C$123</definedName>
    <definedName name="pos_LG1.y">Input!$D$123</definedName>
    <definedName name="pos_LG1.z">Input!$E$123</definedName>
    <definedName name="pos_LG2.x">Input!$C$124</definedName>
    <definedName name="pos_LG2.y">Input!$D$124</definedName>
    <definedName name="pos_LG2.z">Input!$E$124</definedName>
    <definedName name="pos_LG3.x">Input!$C$125</definedName>
    <definedName name="pos_LG3.y">Input!$D$125</definedName>
    <definedName name="pos_LG3.z">Input!$E$125</definedName>
    <definedName name="pos_nose.F.z">Convert!$B$751</definedName>
    <definedName name="pos_V.x">Input!$C$112</definedName>
    <definedName name="pos_V.y">Input!$D$112</definedName>
    <definedName name="pos_V.z">Input!$E$112</definedName>
    <definedName name="pos_W.x">Input!$C$113</definedName>
    <definedName name="pos_W.y">Input!$D$113</definedName>
    <definedName name="pos_W.z">Input!$E$113</definedName>
    <definedName name="Range">Input!#REF!</definedName>
    <definedName name="RefPos_df">Convert!$B$467</definedName>
    <definedName name="RefPos_df.foil">Convert!$B$444</definedName>
    <definedName name="RefPos_H">Convert!$B$209</definedName>
    <definedName name="RefPos_V">Convert!$B$339</definedName>
    <definedName name="RefPos_W">Convert!$B$511</definedName>
    <definedName name="RelPos_H.x">Input!$D$83</definedName>
    <definedName name="RelPos_H.z">Input!$D$84</definedName>
    <definedName name="RelPos_V.x">Input!$D$100</definedName>
    <definedName name="RelPos_W.x">Input!$D$57</definedName>
    <definedName name="RelPos_W.z">Input!$D$58</definedName>
    <definedName name="S_H">Input!$D$80</definedName>
    <definedName name="S_V">Input!$D$92</definedName>
    <definedName name="S_W">Input!$D$47</definedName>
    <definedName name="t\c">Input!$D$56</definedName>
    <definedName name="T_TO">Input!$D$31</definedName>
    <definedName name="Type_df">Input!$D$88</definedName>
    <definedName name="Type_e">Input!$D$26</definedName>
    <definedName name="Type_W">Input!$D$46</definedName>
    <definedName name="w_LG">Convert!$B$3393</definedName>
    <definedName name="WING_A">Input!#REF!</definedName>
    <definedName name="WING_MCR">Input!#REF!</definedName>
    <definedName name="XML_end">Convert!$D$3601</definedName>
    <definedName name="XML_OVC">Convert!$D:$D</definedName>
    <definedName name="XML_saved">Convert!$F:$F</definedName>
    <definedName name="XML_start">Convert!$D$6</definedName>
  </definedNames>
  <calcPr calcId="125725" iterate="1" iterateCount="200"/>
</workbook>
</file>

<file path=xl/calcChain.xml><?xml version="1.0" encoding="utf-8"?>
<calcChain xmlns="http://schemas.openxmlformats.org/spreadsheetml/2006/main">
  <c r="J123" i="3"/>
  <c r="J124"/>
  <c r="D57"/>
  <c r="E558" i="2"/>
  <c r="E560"/>
  <c r="E798"/>
  <c r="E802"/>
  <c r="E806"/>
  <c r="E810"/>
  <c r="E814"/>
  <c r="E820"/>
  <c r="E824"/>
  <c r="E828"/>
  <c r="E832"/>
  <c r="E836"/>
  <c r="E840"/>
  <c r="E892"/>
  <c r="E896"/>
  <c r="E900"/>
  <c r="E904"/>
  <c r="E910"/>
  <c r="E914"/>
  <c r="E918"/>
  <c r="E922"/>
  <c r="E926"/>
  <c r="E930"/>
  <c r="E982"/>
  <c r="E986"/>
  <c r="E990"/>
  <c r="E994"/>
  <c r="E998"/>
  <c r="E1004"/>
  <c r="E1008"/>
  <c r="E1012"/>
  <c r="E1016"/>
  <c r="E1020"/>
  <c r="E1024"/>
  <c r="E1122"/>
  <c r="E1126"/>
  <c r="E1130"/>
  <c r="E1134"/>
  <c r="E1140"/>
  <c r="E1144"/>
  <c r="E1148"/>
  <c r="E1152"/>
  <c r="E1156"/>
  <c r="E1160"/>
  <c r="E1164"/>
  <c r="E256"/>
  <c r="E208"/>
  <c r="E26"/>
  <c r="E8"/>
  <c r="E7"/>
  <c r="E6"/>
  <c r="I62" i="3"/>
  <c r="D62" s="1"/>
  <c r="I47"/>
  <c r="I90"/>
  <c r="M69"/>
  <c r="I69" s="1"/>
  <c r="I38"/>
  <c r="D38" s="1"/>
  <c r="I31"/>
  <c r="I33"/>
  <c r="D33" s="1"/>
  <c r="D6" i="2"/>
  <c r="D7"/>
  <c r="D8"/>
  <c r="B9"/>
  <c r="D9" s="1"/>
  <c r="E9" s="1"/>
  <c r="D10"/>
  <c r="E10" s="1"/>
  <c r="D11"/>
  <c r="E11" s="1"/>
  <c r="D12"/>
  <c r="E12" s="1"/>
  <c r="D13"/>
  <c r="E13" s="1"/>
  <c r="D14"/>
  <c r="E14" s="1"/>
  <c r="D15"/>
  <c r="E15" s="1"/>
  <c r="D16"/>
  <c r="E16" s="1"/>
  <c r="D17"/>
  <c r="E17" s="1"/>
  <c r="D18"/>
  <c r="E18" s="1"/>
  <c r="D19"/>
  <c r="E19" s="1"/>
  <c r="D20"/>
  <c r="E20" s="1"/>
  <c r="D21"/>
  <c r="E21" s="1"/>
  <c r="D22"/>
  <c r="E22" s="1"/>
  <c r="D23"/>
  <c r="E23" s="1"/>
  <c r="D24"/>
  <c r="E24" s="1"/>
  <c r="D25"/>
  <c r="E25" s="1"/>
  <c r="D26"/>
  <c r="D27"/>
  <c r="E27" s="1"/>
  <c r="D28"/>
  <c r="E28" s="1"/>
  <c r="D29"/>
  <c r="E29" s="1"/>
  <c r="D30"/>
  <c r="E30" s="1"/>
  <c r="D31"/>
  <c r="E31" s="1"/>
  <c r="D32"/>
  <c r="E32" s="1"/>
  <c r="D33"/>
  <c r="E33" s="1"/>
  <c r="D34"/>
  <c r="E34" s="1"/>
  <c r="D35"/>
  <c r="E35" s="1"/>
  <c r="D36"/>
  <c r="E36" s="1"/>
  <c r="D37"/>
  <c r="E37" s="1"/>
  <c r="D38"/>
  <c r="E38" s="1"/>
  <c r="D39"/>
  <c r="E39" s="1"/>
  <c r="D40"/>
  <c r="E40" s="1"/>
  <c r="D41"/>
  <c r="E41" s="1"/>
  <c r="D42"/>
  <c r="E42" s="1"/>
  <c r="D43"/>
  <c r="E43" s="1"/>
  <c r="D44"/>
  <c r="E44" s="1"/>
  <c r="D45"/>
  <c r="E45" s="1"/>
  <c r="D46"/>
  <c r="E46" s="1"/>
  <c r="D47"/>
  <c r="E47" s="1"/>
  <c r="D48"/>
  <c r="E48" s="1"/>
  <c r="D49"/>
  <c r="E49" s="1"/>
  <c r="D50"/>
  <c r="E50" s="1"/>
  <c r="D51"/>
  <c r="E51" s="1"/>
  <c r="D52"/>
  <c r="E52" s="1"/>
  <c r="D53"/>
  <c r="E53" s="1"/>
  <c r="D54"/>
  <c r="E54" s="1"/>
  <c r="D55"/>
  <c r="E55" s="1"/>
  <c r="D56"/>
  <c r="E56" s="1"/>
  <c r="D57"/>
  <c r="E57" s="1"/>
  <c r="D58"/>
  <c r="E58" s="1"/>
  <c r="D59"/>
  <c r="E59" s="1"/>
  <c r="D60"/>
  <c r="E60" s="1"/>
  <c r="D61"/>
  <c r="E61" s="1"/>
  <c r="D62"/>
  <c r="E62" s="1"/>
  <c r="D63"/>
  <c r="E63" s="1"/>
  <c r="D64"/>
  <c r="E64" s="1"/>
  <c r="D65"/>
  <c r="E65" s="1"/>
  <c r="D66"/>
  <c r="E66" s="1"/>
  <c r="D67"/>
  <c r="E67" s="1"/>
  <c r="D68"/>
  <c r="E68" s="1"/>
  <c r="D69"/>
  <c r="E69" s="1"/>
  <c r="D70"/>
  <c r="E70" s="1"/>
  <c r="D71"/>
  <c r="E71" s="1"/>
  <c r="D72"/>
  <c r="E72" s="1"/>
  <c r="D73"/>
  <c r="E73" s="1"/>
  <c r="D74"/>
  <c r="E74" s="1"/>
  <c r="D75"/>
  <c r="E75" s="1"/>
  <c r="D76"/>
  <c r="E76" s="1"/>
  <c r="D77"/>
  <c r="E77" s="1"/>
  <c r="D78"/>
  <c r="E78" s="1"/>
  <c r="D79"/>
  <c r="E79" s="1"/>
  <c r="D80"/>
  <c r="E80" s="1"/>
  <c r="D81"/>
  <c r="E81" s="1"/>
  <c r="D82"/>
  <c r="E82" s="1"/>
  <c r="D83"/>
  <c r="E83" s="1"/>
  <c r="D84"/>
  <c r="E84" s="1"/>
  <c r="D85"/>
  <c r="E85" s="1"/>
  <c r="D86"/>
  <c r="E86" s="1"/>
  <c r="D87"/>
  <c r="E87" s="1"/>
  <c r="D88"/>
  <c r="E88" s="1"/>
  <c r="D89"/>
  <c r="E89" s="1"/>
  <c r="D90"/>
  <c r="E90" s="1"/>
  <c r="D91"/>
  <c r="E91" s="1"/>
  <c r="D92"/>
  <c r="E92" s="1"/>
  <c r="D93"/>
  <c r="E93" s="1"/>
  <c r="D94"/>
  <c r="E94" s="1"/>
  <c r="D95"/>
  <c r="E95" s="1"/>
  <c r="D96"/>
  <c r="E96" s="1"/>
  <c r="D97"/>
  <c r="E97" s="1"/>
  <c r="D98"/>
  <c r="E98" s="1"/>
  <c r="D99"/>
  <c r="E99" s="1"/>
  <c r="D100"/>
  <c r="E100" s="1"/>
  <c r="D101"/>
  <c r="E101" s="1"/>
  <c r="D102"/>
  <c r="E102" s="1"/>
  <c r="D103"/>
  <c r="E103" s="1"/>
  <c r="D104"/>
  <c r="E104" s="1"/>
  <c r="D105"/>
  <c r="E105" s="1"/>
  <c r="D106"/>
  <c r="E106" s="1"/>
  <c r="D107"/>
  <c r="E107" s="1"/>
  <c r="D108"/>
  <c r="E108" s="1"/>
  <c r="D109"/>
  <c r="E109" s="1"/>
  <c r="D110"/>
  <c r="E110" s="1"/>
  <c r="D111"/>
  <c r="E111" s="1"/>
  <c r="D112"/>
  <c r="E112" s="1"/>
  <c r="D113"/>
  <c r="E113" s="1"/>
  <c r="D114"/>
  <c r="E114" s="1"/>
  <c r="D115"/>
  <c r="E115" s="1"/>
  <c r="D116"/>
  <c r="E116" s="1"/>
  <c r="D117"/>
  <c r="E117" s="1"/>
  <c r="D118"/>
  <c r="E118" s="1"/>
  <c r="D119"/>
  <c r="E119" s="1"/>
  <c r="D120"/>
  <c r="E120" s="1"/>
  <c r="D121"/>
  <c r="E121" s="1"/>
  <c r="D122"/>
  <c r="E122" s="1"/>
  <c r="D123"/>
  <c r="E123" s="1"/>
  <c r="D124"/>
  <c r="E124" s="1"/>
  <c r="D125"/>
  <c r="E125" s="1"/>
  <c r="D126"/>
  <c r="E126" s="1"/>
  <c r="D127"/>
  <c r="E127" s="1"/>
  <c r="D128"/>
  <c r="E128" s="1"/>
  <c r="D129"/>
  <c r="E129" s="1"/>
  <c r="D130"/>
  <c r="E130" s="1"/>
  <c r="D131"/>
  <c r="E131" s="1"/>
  <c r="D132"/>
  <c r="E132" s="1"/>
  <c r="D133"/>
  <c r="E133" s="1"/>
  <c r="D134"/>
  <c r="E134" s="1"/>
  <c r="D135"/>
  <c r="E135" s="1"/>
  <c r="D136"/>
  <c r="E136" s="1"/>
  <c r="D137"/>
  <c r="E137" s="1"/>
  <c r="D138"/>
  <c r="E138" s="1"/>
  <c r="D139"/>
  <c r="E139" s="1"/>
  <c r="D140"/>
  <c r="E140" s="1"/>
  <c r="D141"/>
  <c r="E141" s="1"/>
  <c r="D142"/>
  <c r="E142" s="1"/>
  <c r="D143"/>
  <c r="E143" s="1"/>
  <c r="D144"/>
  <c r="E144" s="1"/>
  <c r="D145"/>
  <c r="E145" s="1"/>
  <c r="D146"/>
  <c r="E146" s="1"/>
  <c r="D147"/>
  <c r="E147" s="1"/>
  <c r="D148"/>
  <c r="E148" s="1"/>
  <c r="D149"/>
  <c r="E149" s="1"/>
  <c r="D150"/>
  <c r="E150" s="1"/>
  <c r="D151"/>
  <c r="E151" s="1"/>
  <c r="D152"/>
  <c r="E152" s="1"/>
  <c r="D153"/>
  <c r="E153" s="1"/>
  <c r="D154"/>
  <c r="E154" s="1"/>
  <c r="D155"/>
  <c r="E155" s="1"/>
  <c r="D156"/>
  <c r="E156" s="1"/>
  <c r="D157"/>
  <c r="E157" s="1"/>
  <c r="D158"/>
  <c r="E158" s="1"/>
  <c r="D159"/>
  <c r="E159" s="1"/>
  <c r="D160"/>
  <c r="E160" s="1"/>
  <c r="D161"/>
  <c r="E161" s="1"/>
  <c r="D162"/>
  <c r="E162" s="1"/>
  <c r="D163"/>
  <c r="E163" s="1"/>
  <c r="D164"/>
  <c r="E164" s="1"/>
  <c r="D165"/>
  <c r="E165" s="1"/>
  <c r="D166"/>
  <c r="E166" s="1"/>
  <c r="D167"/>
  <c r="E167" s="1"/>
  <c r="D168"/>
  <c r="E168" s="1"/>
  <c r="D169"/>
  <c r="E169" s="1"/>
  <c r="D170"/>
  <c r="E170" s="1"/>
  <c r="D171"/>
  <c r="E171" s="1"/>
  <c r="D172"/>
  <c r="E172" s="1"/>
  <c r="D173"/>
  <c r="E173" s="1"/>
  <c r="D174"/>
  <c r="E174" s="1"/>
  <c r="D175"/>
  <c r="E175" s="1"/>
  <c r="D176"/>
  <c r="E176" s="1"/>
  <c r="D177"/>
  <c r="E177" s="1"/>
  <c r="D178"/>
  <c r="E178" s="1"/>
  <c r="D179"/>
  <c r="E179" s="1"/>
  <c r="D180"/>
  <c r="E180" s="1"/>
  <c r="D181"/>
  <c r="E181" s="1"/>
  <c r="D182"/>
  <c r="E182" s="1"/>
  <c r="D183"/>
  <c r="E183" s="1"/>
  <c r="D184"/>
  <c r="E184" s="1"/>
  <c r="D185"/>
  <c r="E185" s="1"/>
  <c r="D186"/>
  <c r="E186" s="1"/>
  <c r="D187"/>
  <c r="E187" s="1"/>
  <c r="D188"/>
  <c r="E188" s="1"/>
  <c r="D189"/>
  <c r="E189" s="1"/>
  <c r="D190"/>
  <c r="E190" s="1"/>
  <c r="D191"/>
  <c r="E191" s="1"/>
  <c r="D192"/>
  <c r="E192" s="1"/>
  <c r="D193"/>
  <c r="E193" s="1"/>
  <c r="D194"/>
  <c r="E194" s="1"/>
  <c r="D195"/>
  <c r="E195" s="1"/>
  <c r="D196"/>
  <c r="E196" s="1"/>
  <c r="D197"/>
  <c r="E197" s="1"/>
  <c r="D198"/>
  <c r="E198" s="1"/>
  <c r="D199"/>
  <c r="E199" s="1"/>
  <c r="D200"/>
  <c r="E200" s="1"/>
  <c r="D201"/>
  <c r="E201" s="1"/>
  <c r="D202"/>
  <c r="E202" s="1"/>
  <c r="D203"/>
  <c r="E203" s="1"/>
  <c r="D204"/>
  <c r="E204" s="1"/>
  <c r="D205"/>
  <c r="E205" s="1"/>
  <c r="D206"/>
  <c r="E206" s="1"/>
  <c r="D207"/>
  <c r="E207" s="1"/>
  <c r="D208"/>
  <c r="D209"/>
  <c r="E209" s="1"/>
  <c r="D210"/>
  <c r="E210" s="1"/>
  <c r="D211"/>
  <c r="E211" s="1"/>
  <c r="D212"/>
  <c r="E212" s="1"/>
  <c r="D213"/>
  <c r="E213" s="1"/>
  <c r="D214"/>
  <c r="E214" s="1"/>
  <c r="D215"/>
  <c r="E215" s="1"/>
  <c r="D216"/>
  <c r="E216" s="1"/>
  <c r="D217"/>
  <c r="E217" s="1"/>
  <c r="D218"/>
  <c r="E218" s="1"/>
  <c r="D219"/>
  <c r="E219" s="1"/>
  <c r="D220"/>
  <c r="E220" s="1"/>
  <c r="D221"/>
  <c r="E221" s="1"/>
  <c r="D222"/>
  <c r="E222" s="1"/>
  <c r="D223"/>
  <c r="E223" s="1"/>
  <c r="D224"/>
  <c r="E224" s="1"/>
  <c r="D225"/>
  <c r="E225" s="1"/>
  <c r="D229"/>
  <c r="E229" s="1"/>
  <c r="D230"/>
  <c r="E230" s="1"/>
  <c r="D231"/>
  <c r="E231" s="1"/>
  <c r="D232"/>
  <c r="E232" s="1"/>
  <c r="D233"/>
  <c r="E233" s="1"/>
  <c r="D234"/>
  <c r="E234" s="1"/>
  <c r="D235"/>
  <c r="E235" s="1"/>
  <c r="D236"/>
  <c r="E236" s="1"/>
  <c r="D237"/>
  <c r="E237" s="1"/>
  <c r="D238"/>
  <c r="E238" s="1"/>
  <c r="D239"/>
  <c r="E239" s="1"/>
  <c r="D240"/>
  <c r="E240" s="1"/>
  <c r="D241"/>
  <c r="E241" s="1"/>
  <c r="D242"/>
  <c r="E242" s="1"/>
  <c r="D243"/>
  <c r="E243" s="1"/>
  <c r="D244"/>
  <c r="E244" s="1"/>
  <c r="D245"/>
  <c r="E245" s="1"/>
  <c r="D246"/>
  <c r="E246" s="1"/>
  <c r="D247"/>
  <c r="E247" s="1"/>
  <c r="D248"/>
  <c r="E248" s="1"/>
  <c r="D249"/>
  <c r="E249" s="1"/>
  <c r="D250"/>
  <c r="E250" s="1"/>
  <c r="D251"/>
  <c r="E251" s="1"/>
  <c r="D252"/>
  <c r="E252" s="1"/>
  <c r="D253"/>
  <c r="E253" s="1"/>
  <c r="D254"/>
  <c r="E254" s="1"/>
  <c r="D255"/>
  <c r="E255" s="1"/>
  <c r="D257"/>
  <c r="E257" s="1"/>
  <c r="D258"/>
  <c r="E258" s="1"/>
  <c r="D259"/>
  <c r="E259" s="1"/>
  <c r="D264"/>
  <c r="E264" s="1"/>
  <c r="D265"/>
  <c r="E265" s="1"/>
  <c r="D266"/>
  <c r="E266" s="1"/>
  <c r="D267"/>
  <c r="E267" s="1"/>
  <c r="D268"/>
  <c r="E268" s="1"/>
  <c r="D269"/>
  <c r="E269" s="1"/>
  <c r="D270"/>
  <c r="E270" s="1"/>
  <c r="D271"/>
  <c r="E271" s="1"/>
  <c r="D272"/>
  <c r="E272" s="1"/>
  <c r="D273"/>
  <c r="E273" s="1"/>
  <c r="D274"/>
  <c r="E274" s="1"/>
  <c r="D275"/>
  <c r="E275" s="1"/>
  <c r="D276"/>
  <c r="E276" s="1"/>
  <c r="D277"/>
  <c r="E277" s="1"/>
  <c r="D278"/>
  <c r="E278" s="1"/>
  <c r="D279"/>
  <c r="E279" s="1"/>
  <c r="D280"/>
  <c r="E280" s="1"/>
  <c r="D281"/>
  <c r="E281" s="1"/>
  <c r="D282"/>
  <c r="E282" s="1"/>
  <c r="D283"/>
  <c r="E283" s="1"/>
  <c r="D284"/>
  <c r="E284" s="1"/>
  <c r="D285"/>
  <c r="E285" s="1"/>
  <c r="D286"/>
  <c r="E286" s="1"/>
  <c r="D287"/>
  <c r="E287" s="1"/>
  <c r="D288"/>
  <c r="E288" s="1"/>
  <c r="D289"/>
  <c r="E289" s="1"/>
  <c r="D290"/>
  <c r="E290" s="1"/>
  <c r="D291"/>
  <c r="E291" s="1"/>
  <c r="D292"/>
  <c r="E292" s="1"/>
  <c r="D293"/>
  <c r="E293" s="1"/>
  <c r="D294"/>
  <c r="E294" s="1"/>
  <c r="D295"/>
  <c r="E295" s="1"/>
  <c r="D296"/>
  <c r="E296" s="1"/>
  <c r="D297"/>
  <c r="E297" s="1"/>
  <c r="D298"/>
  <c r="E298" s="1"/>
  <c r="D299"/>
  <c r="E299" s="1"/>
  <c r="D300"/>
  <c r="E300" s="1"/>
  <c r="D301"/>
  <c r="E301" s="1"/>
  <c r="D302"/>
  <c r="E302" s="1"/>
  <c r="D303"/>
  <c r="E303" s="1"/>
  <c r="D304"/>
  <c r="E304" s="1"/>
  <c r="D305"/>
  <c r="E305" s="1"/>
  <c r="D306"/>
  <c r="E306" s="1"/>
  <c r="D307"/>
  <c r="E307" s="1"/>
  <c r="D308"/>
  <c r="E308" s="1"/>
  <c r="D309"/>
  <c r="E309" s="1"/>
  <c r="D310"/>
  <c r="E310" s="1"/>
  <c r="D311"/>
  <c r="E311" s="1"/>
  <c r="D312"/>
  <c r="E312" s="1"/>
  <c r="D313"/>
  <c r="E313" s="1"/>
  <c r="D314"/>
  <c r="E314" s="1"/>
  <c r="D315"/>
  <c r="E315" s="1"/>
  <c r="D316"/>
  <c r="E316" s="1"/>
  <c r="D317"/>
  <c r="E317" s="1"/>
  <c r="D325"/>
  <c r="E325" s="1"/>
  <c r="D326"/>
  <c r="E326" s="1"/>
  <c r="D327"/>
  <c r="E327" s="1"/>
  <c r="D329"/>
  <c r="E329" s="1"/>
  <c r="D330"/>
  <c r="E330" s="1"/>
  <c r="D331"/>
  <c r="E331" s="1"/>
  <c r="D332"/>
  <c r="E332" s="1"/>
  <c r="D333"/>
  <c r="E333" s="1"/>
  <c r="D334"/>
  <c r="E334" s="1"/>
  <c r="D335"/>
  <c r="E335" s="1"/>
  <c r="D336"/>
  <c r="E336" s="1"/>
  <c r="D337"/>
  <c r="E337" s="1"/>
  <c r="C338"/>
  <c r="D338" s="1"/>
  <c r="E338" s="1"/>
  <c r="D339"/>
  <c r="E339" s="1"/>
  <c r="D340"/>
  <c r="E340" s="1"/>
  <c r="D341"/>
  <c r="E341" s="1"/>
  <c r="D342"/>
  <c r="E342" s="1"/>
  <c r="D343"/>
  <c r="E343" s="1"/>
  <c r="D344"/>
  <c r="E344" s="1"/>
  <c r="D345"/>
  <c r="E345" s="1"/>
  <c r="D346"/>
  <c r="E346" s="1"/>
  <c r="D347"/>
  <c r="E347" s="1"/>
  <c r="D348"/>
  <c r="E348" s="1"/>
  <c r="D349"/>
  <c r="E349" s="1"/>
  <c r="D350"/>
  <c r="E350" s="1"/>
  <c r="D351"/>
  <c r="E351" s="1"/>
  <c r="D352"/>
  <c r="E352" s="1"/>
  <c r="D353"/>
  <c r="E353" s="1"/>
  <c r="D354"/>
  <c r="E354" s="1"/>
  <c r="D355"/>
  <c r="E355" s="1"/>
  <c r="D359"/>
  <c r="E359" s="1"/>
  <c r="D360"/>
  <c r="E360" s="1"/>
  <c r="D361"/>
  <c r="E361" s="1"/>
  <c r="D362"/>
  <c r="E362" s="1"/>
  <c r="D363"/>
  <c r="E363" s="1"/>
  <c r="D364"/>
  <c r="E364" s="1"/>
  <c r="D365"/>
  <c r="E365" s="1"/>
  <c r="D366"/>
  <c r="E366" s="1"/>
  <c r="D367"/>
  <c r="E367" s="1"/>
  <c r="D368"/>
  <c r="E368" s="1"/>
  <c r="D369"/>
  <c r="E369" s="1"/>
  <c r="D370"/>
  <c r="E370" s="1"/>
  <c r="D371"/>
  <c r="E371" s="1"/>
  <c r="D372"/>
  <c r="E372" s="1"/>
  <c r="D373"/>
  <c r="E373" s="1"/>
  <c r="D374"/>
  <c r="E374" s="1"/>
  <c r="D375"/>
  <c r="E375" s="1"/>
  <c r="D376"/>
  <c r="E376" s="1"/>
  <c r="D377"/>
  <c r="E377" s="1"/>
  <c r="D378"/>
  <c r="E378" s="1"/>
  <c r="D379"/>
  <c r="E379" s="1"/>
  <c r="D380"/>
  <c r="E380" s="1"/>
  <c r="D381"/>
  <c r="E381" s="1"/>
  <c r="D382"/>
  <c r="E382" s="1"/>
  <c r="D383"/>
  <c r="E383" s="1"/>
  <c r="D384"/>
  <c r="E384" s="1"/>
  <c r="D385"/>
  <c r="E385" s="1"/>
  <c r="D386"/>
  <c r="E386" s="1"/>
  <c r="D387"/>
  <c r="E387" s="1"/>
  <c r="D388"/>
  <c r="E388" s="1"/>
  <c r="D389"/>
  <c r="E389" s="1"/>
  <c r="D394"/>
  <c r="E394" s="1"/>
  <c r="D395"/>
  <c r="E395" s="1"/>
  <c r="D396"/>
  <c r="E396" s="1"/>
  <c r="D397"/>
  <c r="E397" s="1"/>
  <c r="D398"/>
  <c r="E398" s="1"/>
  <c r="D399"/>
  <c r="E399" s="1"/>
  <c r="D400"/>
  <c r="E400" s="1"/>
  <c r="D401"/>
  <c r="E401" s="1"/>
  <c r="D402"/>
  <c r="E402" s="1"/>
  <c r="D403"/>
  <c r="E403" s="1"/>
  <c r="D404"/>
  <c r="E404" s="1"/>
  <c r="D405"/>
  <c r="E405" s="1"/>
  <c r="D406"/>
  <c r="E406" s="1"/>
  <c r="D407"/>
  <c r="E407" s="1"/>
  <c r="D408"/>
  <c r="E408" s="1"/>
  <c r="D409"/>
  <c r="E409" s="1"/>
  <c r="D410"/>
  <c r="E410" s="1"/>
  <c r="D411"/>
  <c r="E411" s="1"/>
  <c r="D412"/>
  <c r="E412" s="1"/>
  <c r="D413"/>
  <c r="E413" s="1"/>
  <c r="D414"/>
  <c r="E414" s="1"/>
  <c r="D415"/>
  <c r="E415" s="1"/>
  <c r="D416"/>
  <c r="E416" s="1"/>
  <c r="D417"/>
  <c r="E417" s="1"/>
  <c r="D418"/>
  <c r="E418" s="1"/>
  <c r="D419"/>
  <c r="E419" s="1"/>
  <c r="D420"/>
  <c r="E420" s="1"/>
  <c r="D421"/>
  <c r="E421" s="1"/>
  <c r="D422"/>
  <c r="E422" s="1"/>
  <c r="D423"/>
  <c r="E423" s="1"/>
  <c r="D424"/>
  <c r="E424" s="1"/>
  <c r="D425"/>
  <c r="E425" s="1"/>
  <c r="D426"/>
  <c r="E426" s="1"/>
  <c r="D427"/>
  <c r="E427" s="1"/>
  <c r="D428"/>
  <c r="E428" s="1"/>
  <c r="D429"/>
  <c r="E429" s="1"/>
  <c r="D430"/>
  <c r="E430" s="1"/>
  <c r="D431"/>
  <c r="E431" s="1"/>
  <c r="D432"/>
  <c r="E432" s="1"/>
  <c r="D433"/>
  <c r="E433" s="1"/>
  <c r="D434"/>
  <c r="E434" s="1"/>
  <c r="D435"/>
  <c r="E435" s="1"/>
  <c r="D436"/>
  <c r="E436" s="1"/>
  <c r="D437"/>
  <c r="E437" s="1"/>
  <c r="D438"/>
  <c r="E438" s="1"/>
  <c r="D439"/>
  <c r="E439" s="1"/>
  <c r="D440"/>
  <c r="E440" s="1"/>
  <c r="D441"/>
  <c r="E441" s="1"/>
  <c r="D442"/>
  <c r="E442" s="1"/>
  <c r="D443"/>
  <c r="E443" s="1"/>
  <c r="D444"/>
  <c r="E444" s="1"/>
  <c r="D445"/>
  <c r="E445" s="1"/>
  <c r="D446"/>
  <c r="E446" s="1"/>
  <c r="D447"/>
  <c r="E447" s="1"/>
  <c r="D448"/>
  <c r="E448" s="1"/>
  <c r="D449"/>
  <c r="E449" s="1"/>
  <c r="D450"/>
  <c r="E450" s="1"/>
  <c r="D451"/>
  <c r="E451" s="1"/>
  <c r="D452"/>
  <c r="E452" s="1"/>
  <c r="D453"/>
  <c r="E453" s="1"/>
  <c r="D454"/>
  <c r="E454" s="1"/>
  <c r="D455"/>
  <c r="E455" s="1"/>
  <c r="D456"/>
  <c r="E456" s="1"/>
  <c r="D457"/>
  <c r="E457" s="1"/>
  <c r="D458"/>
  <c r="E458" s="1"/>
  <c r="D459"/>
  <c r="E459" s="1"/>
  <c r="D460"/>
  <c r="E460" s="1"/>
  <c r="D461"/>
  <c r="E461" s="1"/>
  <c r="D462"/>
  <c r="E462" s="1"/>
  <c r="D463"/>
  <c r="E463" s="1"/>
  <c r="D464"/>
  <c r="E464" s="1"/>
  <c r="D465"/>
  <c r="E465" s="1"/>
  <c r="D466"/>
  <c r="E466" s="1"/>
  <c r="D467"/>
  <c r="E467" s="1"/>
  <c r="D468"/>
  <c r="E468" s="1"/>
  <c r="D476"/>
  <c r="E476" s="1"/>
  <c r="D477"/>
  <c r="E477" s="1"/>
  <c r="D478"/>
  <c r="E478" s="1"/>
  <c r="D479"/>
  <c r="E479" s="1"/>
  <c r="D480"/>
  <c r="E480" s="1"/>
  <c r="D481"/>
  <c r="E481" s="1"/>
  <c r="D482"/>
  <c r="E482" s="1"/>
  <c r="D483"/>
  <c r="E483" s="1"/>
  <c r="D484"/>
  <c r="E484" s="1"/>
  <c r="D485"/>
  <c r="E485" s="1"/>
  <c r="D486"/>
  <c r="E486" s="1"/>
  <c r="D487"/>
  <c r="E487" s="1"/>
  <c r="D488"/>
  <c r="E488" s="1"/>
  <c r="D489"/>
  <c r="E489" s="1"/>
  <c r="D497"/>
  <c r="E497" s="1"/>
  <c r="D498"/>
  <c r="E498" s="1"/>
  <c r="D499"/>
  <c r="E499" s="1"/>
  <c r="D500"/>
  <c r="E500" s="1"/>
  <c r="D501"/>
  <c r="E501" s="1"/>
  <c r="D502"/>
  <c r="E502" s="1"/>
  <c r="D503"/>
  <c r="E503" s="1"/>
  <c r="D504"/>
  <c r="E504" s="1"/>
  <c r="D505"/>
  <c r="E505" s="1"/>
  <c r="D506"/>
  <c r="E506" s="1"/>
  <c r="D507"/>
  <c r="E507" s="1"/>
  <c r="D508"/>
  <c r="E508" s="1"/>
  <c r="D509"/>
  <c r="E509" s="1"/>
  <c r="C510"/>
  <c r="D510" s="1"/>
  <c r="E510" s="1"/>
  <c r="D511"/>
  <c r="E511" s="1"/>
  <c r="D512"/>
  <c r="E512" s="1"/>
  <c r="D513"/>
  <c r="E513" s="1"/>
  <c r="D514"/>
  <c r="E514" s="1"/>
  <c r="D515"/>
  <c r="E515" s="1"/>
  <c r="D516"/>
  <c r="E516" s="1"/>
  <c r="D517"/>
  <c r="E517" s="1"/>
  <c r="D518"/>
  <c r="E518" s="1"/>
  <c r="D519"/>
  <c r="E519" s="1"/>
  <c r="D520"/>
  <c r="E520" s="1"/>
  <c r="D521"/>
  <c r="E521" s="1"/>
  <c r="D522"/>
  <c r="E522" s="1"/>
  <c r="D523"/>
  <c r="E523" s="1"/>
  <c r="D524"/>
  <c r="E524" s="1"/>
  <c r="D525"/>
  <c r="E525" s="1"/>
  <c r="D526"/>
  <c r="E526" s="1"/>
  <c r="D527"/>
  <c r="E527" s="1"/>
  <c r="D531"/>
  <c r="E531" s="1"/>
  <c r="D532"/>
  <c r="E532" s="1"/>
  <c r="D533"/>
  <c r="E533" s="1"/>
  <c r="D534"/>
  <c r="E534" s="1"/>
  <c r="D535"/>
  <c r="E535" s="1"/>
  <c r="D536"/>
  <c r="E536" s="1"/>
  <c r="D537"/>
  <c r="E537" s="1"/>
  <c r="D538"/>
  <c r="E538" s="1"/>
  <c r="D539"/>
  <c r="E539" s="1"/>
  <c r="D540"/>
  <c r="E540" s="1"/>
  <c r="D541"/>
  <c r="E541" s="1"/>
  <c r="D542"/>
  <c r="E542" s="1"/>
  <c r="D543"/>
  <c r="E543" s="1"/>
  <c r="D544"/>
  <c r="E544" s="1"/>
  <c r="D545"/>
  <c r="E545" s="1"/>
  <c r="D546"/>
  <c r="E546" s="1"/>
  <c r="D547"/>
  <c r="E547" s="1"/>
  <c r="D548"/>
  <c r="E548" s="1"/>
  <c r="D549"/>
  <c r="E549" s="1"/>
  <c r="D550"/>
  <c r="E550" s="1"/>
  <c r="D551"/>
  <c r="E551" s="1"/>
  <c r="D552"/>
  <c r="E552" s="1"/>
  <c r="D553"/>
  <c r="E553" s="1"/>
  <c r="D554"/>
  <c r="E554" s="1"/>
  <c r="D555"/>
  <c r="E555" s="1"/>
  <c r="D556"/>
  <c r="E556" s="1"/>
  <c r="D557"/>
  <c r="E557" s="1"/>
  <c r="D559"/>
  <c r="E559" s="1"/>
  <c r="D560"/>
  <c r="D561"/>
  <c r="E561" s="1"/>
  <c r="D566"/>
  <c r="E566" s="1"/>
  <c r="D567"/>
  <c r="E567" s="1"/>
  <c r="D568"/>
  <c r="E568" s="1"/>
  <c r="D569"/>
  <c r="E569" s="1"/>
  <c r="D570"/>
  <c r="E570" s="1"/>
  <c r="D571"/>
  <c r="E571" s="1"/>
  <c r="D572"/>
  <c r="E572" s="1"/>
  <c r="D573"/>
  <c r="E573" s="1"/>
  <c r="D574"/>
  <c r="E574" s="1"/>
  <c r="D575"/>
  <c r="E575" s="1"/>
  <c r="D576"/>
  <c r="E576" s="1"/>
  <c r="D577"/>
  <c r="E577" s="1"/>
  <c r="D578"/>
  <c r="E578" s="1"/>
  <c r="D580"/>
  <c r="E580" s="1"/>
  <c r="D581"/>
  <c r="E581" s="1"/>
  <c r="D582"/>
  <c r="E582" s="1"/>
  <c r="D583"/>
  <c r="E583" s="1"/>
  <c r="D584"/>
  <c r="E584" s="1"/>
  <c r="D585"/>
  <c r="E585" s="1"/>
  <c r="D586"/>
  <c r="E586" s="1"/>
  <c r="D587"/>
  <c r="E587" s="1"/>
  <c r="D588"/>
  <c r="E588" s="1"/>
  <c r="D589"/>
  <c r="E589" s="1"/>
  <c r="D590"/>
  <c r="E590" s="1"/>
  <c r="D591"/>
  <c r="E591" s="1"/>
  <c r="D592"/>
  <c r="E592" s="1"/>
  <c r="D593"/>
  <c r="E593" s="1"/>
  <c r="D594"/>
  <c r="E594" s="1"/>
  <c r="D595"/>
  <c r="E595" s="1"/>
  <c r="D596"/>
  <c r="E596" s="1"/>
  <c r="D597"/>
  <c r="E597" s="1"/>
  <c r="D598"/>
  <c r="E598" s="1"/>
  <c r="D599"/>
  <c r="E599" s="1"/>
  <c r="D601"/>
  <c r="E601" s="1"/>
  <c r="D602"/>
  <c r="E602" s="1"/>
  <c r="D603"/>
  <c r="E603" s="1"/>
  <c r="D604"/>
  <c r="E604" s="1"/>
  <c r="D605"/>
  <c r="E605" s="1"/>
  <c r="D606"/>
  <c r="E606" s="1"/>
  <c r="D607"/>
  <c r="E607" s="1"/>
  <c r="D608"/>
  <c r="E608" s="1"/>
  <c r="D609"/>
  <c r="E609" s="1"/>
  <c r="D610"/>
  <c r="E610" s="1"/>
  <c r="D611"/>
  <c r="E611" s="1"/>
  <c r="D612"/>
  <c r="E612" s="1"/>
  <c r="D613"/>
  <c r="E613" s="1"/>
  <c r="D614"/>
  <c r="E614" s="1"/>
  <c r="D615"/>
  <c r="E615" s="1"/>
  <c r="D616"/>
  <c r="E616" s="1"/>
  <c r="D617"/>
  <c r="E617" s="1"/>
  <c r="D618"/>
  <c r="E618" s="1"/>
  <c r="D619"/>
  <c r="E619" s="1"/>
  <c r="D620"/>
  <c r="E620" s="1"/>
  <c r="D622"/>
  <c r="E622" s="1"/>
  <c r="D623"/>
  <c r="E623" s="1"/>
  <c r="D624"/>
  <c r="E624" s="1"/>
  <c r="D625"/>
  <c r="E625" s="1"/>
  <c r="D626"/>
  <c r="E626" s="1"/>
  <c r="D627"/>
  <c r="E627" s="1"/>
  <c r="D628"/>
  <c r="E628" s="1"/>
  <c r="D629"/>
  <c r="E629" s="1"/>
  <c r="D630"/>
  <c r="E630" s="1"/>
  <c r="D631"/>
  <c r="E631" s="1"/>
  <c r="D632"/>
  <c r="E632" s="1"/>
  <c r="D633"/>
  <c r="E633" s="1"/>
  <c r="D634"/>
  <c r="E634" s="1"/>
  <c r="D635"/>
  <c r="E635" s="1"/>
  <c r="D636"/>
  <c r="E636" s="1"/>
  <c r="D637"/>
  <c r="E637" s="1"/>
  <c r="D638"/>
  <c r="E638" s="1"/>
  <c r="D639"/>
  <c r="E639" s="1"/>
  <c r="D640"/>
  <c r="E640" s="1"/>
  <c r="D648"/>
  <c r="E648" s="1"/>
  <c r="D649"/>
  <c r="E649" s="1"/>
  <c r="D650"/>
  <c r="E650" s="1"/>
  <c r="D652"/>
  <c r="E652" s="1"/>
  <c r="D653"/>
  <c r="E653" s="1"/>
  <c r="D654"/>
  <c r="E654" s="1"/>
  <c r="D655"/>
  <c r="E655" s="1"/>
  <c r="D656"/>
  <c r="E656" s="1"/>
  <c r="D657"/>
  <c r="E657" s="1"/>
  <c r="D658"/>
  <c r="E658" s="1"/>
  <c r="D659"/>
  <c r="E659" s="1"/>
  <c r="D660"/>
  <c r="E660" s="1"/>
  <c r="D661"/>
  <c r="E661" s="1"/>
  <c r="D669"/>
  <c r="E669" s="1"/>
  <c r="D670"/>
  <c r="E670" s="1"/>
  <c r="D671"/>
  <c r="E671" s="1"/>
  <c r="D673"/>
  <c r="E673" s="1"/>
  <c r="D674"/>
  <c r="E674" s="1"/>
  <c r="D675"/>
  <c r="E675" s="1"/>
  <c r="D676"/>
  <c r="E676" s="1"/>
  <c r="D677"/>
  <c r="E677" s="1"/>
  <c r="D678"/>
  <c r="E678" s="1"/>
  <c r="D679"/>
  <c r="E679" s="1"/>
  <c r="D680"/>
  <c r="E680" s="1"/>
  <c r="D681"/>
  <c r="E681" s="1"/>
  <c r="C682"/>
  <c r="D682" s="1"/>
  <c r="E682" s="1"/>
  <c r="D683"/>
  <c r="E683" s="1"/>
  <c r="D684"/>
  <c r="E684" s="1"/>
  <c r="D685"/>
  <c r="E685" s="1"/>
  <c r="D686"/>
  <c r="E686" s="1"/>
  <c r="D687"/>
  <c r="E687" s="1"/>
  <c r="D688"/>
  <c r="E688" s="1"/>
  <c r="D689"/>
  <c r="E689" s="1"/>
  <c r="D690"/>
  <c r="E690" s="1"/>
  <c r="D691"/>
  <c r="E691" s="1"/>
  <c r="D692"/>
  <c r="E692" s="1"/>
  <c r="D693"/>
  <c r="E693" s="1"/>
  <c r="D694"/>
  <c r="E694" s="1"/>
  <c r="D695"/>
  <c r="E695" s="1"/>
  <c r="D696"/>
  <c r="E696" s="1"/>
  <c r="D697"/>
  <c r="E697" s="1"/>
  <c r="D698"/>
  <c r="E698" s="1"/>
  <c r="D699"/>
  <c r="E699" s="1"/>
  <c r="D703"/>
  <c r="E703" s="1"/>
  <c r="D704"/>
  <c r="E704" s="1"/>
  <c r="D705"/>
  <c r="E705" s="1"/>
  <c r="D706"/>
  <c r="E706" s="1"/>
  <c r="D707"/>
  <c r="E707" s="1"/>
  <c r="D708"/>
  <c r="E708" s="1"/>
  <c r="D709"/>
  <c r="E709" s="1"/>
  <c r="D710"/>
  <c r="E710" s="1"/>
  <c r="D711"/>
  <c r="E711" s="1"/>
  <c r="D712"/>
  <c r="E712" s="1"/>
  <c r="D713"/>
  <c r="E713" s="1"/>
  <c r="D714"/>
  <c r="E714" s="1"/>
  <c r="D715"/>
  <c r="E715" s="1"/>
  <c r="D716"/>
  <c r="E716" s="1"/>
  <c r="D717"/>
  <c r="E717" s="1"/>
  <c r="D718"/>
  <c r="E718" s="1"/>
  <c r="D719"/>
  <c r="E719" s="1"/>
  <c r="D720"/>
  <c r="E720" s="1"/>
  <c r="D721"/>
  <c r="E721" s="1"/>
  <c r="D722"/>
  <c r="E722" s="1"/>
  <c r="D723"/>
  <c r="E723" s="1"/>
  <c r="D724"/>
  <c r="E724" s="1"/>
  <c r="D725"/>
  <c r="E725" s="1"/>
  <c r="D726"/>
  <c r="E726" s="1"/>
  <c r="D727"/>
  <c r="E727" s="1"/>
  <c r="D728"/>
  <c r="E728" s="1"/>
  <c r="D729"/>
  <c r="E729" s="1"/>
  <c r="D730"/>
  <c r="E730" s="1"/>
  <c r="D731"/>
  <c r="E731" s="1"/>
  <c r="D732"/>
  <c r="E732" s="1"/>
  <c r="D733"/>
  <c r="E733" s="1"/>
  <c r="D735"/>
  <c r="E735" s="1"/>
  <c r="D736"/>
  <c r="E736" s="1"/>
  <c r="D737"/>
  <c r="E737" s="1"/>
  <c r="D738"/>
  <c r="E738" s="1"/>
  <c r="D739"/>
  <c r="E739" s="1"/>
  <c r="D740"/>
  <c r="E740" s="1"/>
  <c r="D741"/>
  <c r="E741" s="1"/>
  <c r="D742"/>
  <c r="E742" s="1"/>
  <c r="D743"/>
  <c r="E743" s="1"/>
  <c r="D744"/>
  <c r="E744" s="1"/>
  <c r="D745"/>
  <c r="E745" s="1"/>
  <c r="D746"/>
  <c r="E746" s="1"/>
  <c r="D747"/>
  <c r="E747" s="1"/>
  <c r="D748"/>
  <c r="E748" s="1"/>
  <c r="D749"/>
  <c r="E749" s="1"/>
  <c r="D750"/>
  <c r="E750" s="1"/>
  <c r="D751"/>
  <c r="E751" s="1"/>
  <c r="D752"/>
  <c r="E752" s="1"/>
  <c r="D753"/>
  <c r="E753" s="1"/>
  <c r="D754"/>
  <c r="E754" s="1"/>
  <c r="D755"/>
  <c r="E755" s="1"/>
  <c r="D756"/>
  <c r="E756" s="1"/>
  <c r="D757"/>
  <c r="E757" s="1"/>
  <c r="D758"/>
  <c r="E758" s="1"/>
  <c r="D759"/>
  <c r="E759" s="1"/>
  <c r="D760"/>
  <c r="E760" s="1"/>
  <c r="D761"/>
  <c r="E761" s="1"/>
  <c r="D762"/>
  <c r="E762" s="1"/>
  <c r="D763"/>
  <c r="E763" s="1"/>
  <c r="D764"/>
  <c r="E764" s="1"/>
  <c r="D765"/>
  <c r="E765" s="1"/>
  <c r="D766"/>
  <c r="E766" s="1"/>
  <c r="D767"/>
  <c r="E767" s="1"/>
  <c r="D768"/>
  <c r="E768" s="1"/>
  <c r="D769"/>
  <c r="E769" s="1"/>
  <c r="D770"/>
  <c r="E770" s="1"/>
  <c r="D771"/>
  <c r="E771" s="1"/>
  <c r="D772"/>
  <c r="E772" s="1"/>
  <c r="D773"/>
  <c r="E773" s="1"/>
  <c r="D774"/>
  <c r="E774" s="1"/>
  <c r="D775"/>
  <c r="E775" s="1"/>
  <c r="D776"/>
  <c r="E776" s="1"/>
  <c r="D777"/>
  <c r="E777" s="1"/>
  <c r="D778"/>
  <c r="E778" s="1"/>
  <c r="D779"/>
  <c r="E779" s="1"/>
  <c r="D780"/>
  <c r="E780" s="1"/>
  <c r="D781"/>
  <c r="E781" s="1"/>
  <c r="D782"/>
  <c r="E782" s="1"/>
  <c r="D783"/>
  <c r="E783" s="1"/>
  <c r="D784"/>
  <c r="E784" s="1"/>
  <c r="D785"/>
  <c r="E785" s="1"/>
  <c r="D786"/>
  <c r="E786" s="1"/>
  <c r="D787"/>
  <c r="E787" s="1"/>
  <c r="D788"/>
  <c r="E788" s="1"/>
  <c r="D789"/>
  <c r="E789" s="1"/>
  <c r="D790"/>
  <c r="E790" s="1"/>
  <c r="D791"/>
  <c r="E791" s="1"/>
  <c r="D792"/>
  <c r="E792" s="1"/>
  <c r="D793"/>
  <c r="E793" s="1"/>
  <c r="D794"/>
  <c r="E794" s="1"/>
  <c r="D795"/>
  <c r="E795" s="1"/>
  <c r="D797"/>
  <c r="E797" s="1"/>
  <c r="D798"/>
  <c r="D799"/>
  <c r="E799" s="1"/>
  <c r="D800"/>
  <c r="E800" s="1"/>
  <c r="D801"/>
  <c r="E801" s="1"/>
  <c r="D802"/>
  <c r="D803"/>
  <c r="E803" s="1"/>
  <c r="D804"/>
  <c r="E804" s="1"/>
  <c r="D805"/>
  <c r="E805" s="1"/>
  <c r="D806"/>
  <c r="D807"/>
  <c r="E807" s="1"/>
  <c r="D808"/>
  <c r="E808" s="1"/>
  <c r="D809"/>
  <c r="E809" s="1"/>
  <c r="D810"/>
  <c r="D811"/>
  <c r="E811" s="1"/>
  <c r="D812"/>
  <c r="E812" s="1"/>
  <c r="D813"/>
  <c r="E813" s="1"/>
  <c r="D814"/>
  <c r="D817"/>
  <c r="E817" s="1"/>
  <c r="D818"/>
  <c r="E818" s="1"/>
  <c r="D819"/>
  <c r="E819" s="1"/>
  <c r="D820"/>
  <c r="D821"/>
  <c r="E821" s="1"/>
  <c r="D822"/>
  <c r="E822" s="1"/>
  <c r="D823"/>
  <c r="E823" s="1"/>
  <c r="D824"/>
  <c r="D825"/>
  <c r="E825" s="1"/>
  <c r="D826"/>
  <c r="E826" s="1"/>
  <c r="D827"/>
  <c r="E827" s="1"/>
  <c r="D828"/>
  <c r="D829"/>
  <c r="E829" s="1"/>
  <c r="D830"/>
  <c r="E830" s="1"/>
  <c r="D831"/>
  <c r="E831" s="1"/>
  <c r="D832"/>
  <c r="D833"/>
  <c r="E833" s="1"/>
  <c r="D834"/>
  <c r="E834" s="1"/>
  <c r="D835"/>
  <c r="E835" s="1"/>
  <c r="D836"/>
  <c r="D837"/>
  <c r="E837" s="1"/>
  <c r="D838"/>
  <c r="E838" s="1"/>
  <c r="D839"/>
  <c r="E839" s="1"/>
  <c r="D840"/>
  <c r="D841"/>
  <c r="E841" s="1"/>
  <c r="D843"/>
  <c r="E843" s="1"/>
  <c r="D844"/>
  <c r="E844" s="1"/>
  <c r="D845"/>
  <c r="E845" s="1"/>
  <c r="D846"/>
  <c r="E846" s="1"/>
  <c r="D847"/>
  <c r="E847" s="1"/>
  <c r="D848"/>
  <c r="E848" s="1"/>
  <c r="D849"/>
  <c r="E849" s="1"/>
  <c r="D850"/>
  <c r="E850" s="1"/>
  <c r="D851"/>
  <c r="E851" s="1"/>
  <c r="D852"/>
  <c r="E852" s="1"/>
  <c r="D853"/>
  <c r="E853" s="1"/>
  <c r="D854"/>
  <c r="E854" s="1"/>
  <c r="D855"/>
  <c r="E855" s="1"/>
  <c r="D856"/>
  <c r="E856" s="1"/>
  <c r="D857"/>
  <c r="E857" s="1"/>
  <c r="D858"/>
  <c r="E858" s="1"/>
  <c r="D859"/>
  <c r="E859" s="1"/>
  <c r="D860"/>
  <c r="E860" s="1"/>
  <c r="D863"/>
  <c r="E863" s="1"/>
  <c r="D864"/>
  <c r="E864" s="1"/>
  <c r="D865"/>
  <c r="E865" s="1"/>
  <c r="D866"/>
  <c r="E866" s="1"/>
  <c r="D867"/>
  <c r="E867" s="1"/>
  <c r="D868"/>
  <c r="E868" s="1"/>
  <c r="D869"/>
  <c r="E869" s="1"/>
  <c r="D870"/>
  <c r="E870" s="1"/>
  <c r="D871"/>
  <c r="E871" s="1"/>
  <c r="D872"/>
  <c r="E872" s="1"/>
  <c r="D873"/>
  <c r="E873" s="1"/>
  <c r="D874"/>
  <c r="E874" s="1"/>
  <c r="D875"/>
  <c r="E875" s="1"/>
  <c r="D876"/>
  <c r="E876" s="1"/>
  <c r="D877"/>
  <c r="E877" s="1"/>
  <c r="D878"/>
  <c r="E878" s="1"/>
  <c r="D879"/>
  <c r="E879" s="1"/>
  <c r="D880"/>
  <c r="E880" s="1"/>
  <c r="D881"/>
  <c r="E881" s="1"/>
  <c r="D882"/>
  <c r="E882" s="1"/>
  <c r="D883"/>
  <c r="E883" s="1"/>
  <c r="D884"/>
  <c r="E884" s="1"/>
  <c r="D885"/>
  <c r="E885" s="1"/>
  <c r="D886"/>
  <c r="E886" s="1"/>
  <c r="D887"/>
  <c r="E887" s="1"/>
  <c r="D889"/>
  <c r="E889" s="1"/>
  <c r="D890"/>
  <c r="E890" s="1"/>
  <c r="D891"/>
  <c r="E891" s="1"/>
  <c r="D892"/>
  <c r="D893"/>
  <c r="E893" s="1"/>
  <c r="D894"/>
  <c r="E894" s="1"/>
  <c r="D895"/>
  <c r="E895" s="1"/>
  <c r="D896"/>
  <c r="D897"/>
  <c r="E897" s="1"/>
  <c r="D898"/>
  <c r="E898" s="1"/>
  <c r="D899"/>
  <c r="E899" s="1"/>
  <c r="D900"/>
  <c r="D901"/>
  <c r="E901" s="1"/>
  <c r="D902"/>
  <c r="E902" s="1"/>
  <c r="D903"/>
  <c r="E903" s="1"/>
  <c r="D904"/>
  <c r="D905"/>
  <c r="E905" s="1"/>
  <c r="D906"/>
  <c r="E906" s="1"/>
  <c r="D909"/>
  <c r="E909" s="1"/>
  <c r="D910"/>
  <c r="D911"/>
  <c r="E911" s="1"/>
  <c r="D912"/>
  <c r="E912" s="1"/>
  <c r="D913"/>
  <c r="E913" s="1"/>
  <c r="D914"/>
  <c r="D915"/>
  <c r="E915" s="1"/>
  <c r="D916"/>
  <c r="E916" s="1"/>
  <c r="D917"/>
  <c r="E917" s="1"/>
  <c r="D918"/>
  <c r="D919"/>
  <c r="E919" s="1"/>
  <c r="D920"/>
  <c r="E920" s="1"/>
  <c r="D921"/>
  <c r="E921" s="1"/>
  <c r="D922"/>
  <c r="D923"/>
  <c r="E923" s="1"/>
  <c r="D924"/>
  <c r="E924" s="1"/>
  <c r="D925"/>
  <c r="E925" s="1"/>
  <c r="D926"/>
  <c r="D927"/>
  <c r="E927" s="1"/>
  <c r="D928"/>
  <c r="E928" s="1"/>
  <c r="D929"/>
  <c r="E929" s="1"/>
  <c r="D930"/>
  <c r="D931"/>
  <c r="E931" s="1"/>
  <c r="D932"/>
  <c r="E932" s="1"/>
  <c r="D933"/>
  <c r="E933" s="1"/>
  <c r="D935"/>
  <c r="E935" s="1"/>
  <c r="D936"/>
  <c r="E936" s="1"/>
  <c r="D937"/>
  <c r="E937" s="1"/>
  <c r="D938"/>
  <c r="E938" s="1"/>
  <c r="D939"/>
  <c r="E939" s="1"/>
  <c r="D940"/>
  <c r="E940" s="1"/>
  <c r="D941"/>
  <c r="E941" s="1"/>
  <c r="D942"/>
  <c r="E942" s="1"/>
  <c r="D943"/>
  <c r="E943" s="1"/>
  <c r="D944"/>
  <c r="E944" s="1"/>
  <c r="D945"/>
  <c r="E945" s="1"/>
  <c r="D946"/>
  <c r="E946" s="1"/>
  <c r="D947"/>
  <c r="E947" s="1"/>
  <c r="D948"/>
  <c r="E948" s="1"/>
  <c r="D949"/>
  <c r="E949" s="1"/>
  <c r="D950"/>
  <c r="E950" s="1"/>
  <c r="D951"/>
  <c r="E951" s="1"/>
  <c r="D952"/>
  <c r="E952" s="1"/>
  <c r="D955"/>
  <c r="E955" s="1"/>
  <c r="D956"/>
  <c r="E956" s="1"/>
  <c r="D957"/>
  <c r="E957" s="1"/>
  <c r="D958"/>
  <c r="E958" s="1"/>
  <c r="D959"/>
  <c r="E959" s="1"/>
  <c r="D960"/>
  <c r="E960" s="1"/>
  <c r="D961"/>
  <c r="E961" s="1"/>
  <c r="D962"/>
  <c r="E962" s="1"/>
  <c r="D963"/>
  <c r="E963" s="1"/>
  <c r="D964"/>
  <c r="E964" s="1"/>
  <c r="D965"/>
  <c r="E965" s="1"/>
  <c r="D966"/>
  <c r="E966" s="1"/>
  <c r="D967"/>
  <c r="E967" s="1"/>
  <c r="D968"/>
  <c r="E968" s="1"/>
  <c r="D969"/>
  <c r="E969" s="1"/>
  <c r="D970"/>
  <c r="E970" s="1"/>
  <c r="D971"/>
  <c r="E971" s="1"/>
  <c r="D972"/>
  <c r="E972" s="1"/>
  <c r="D973"/>
  <c r="E973" s="1"/>
  <c r="D974"/>
  <c r="E974" s="1"/>
  <c r="D975"/>
  <c r="E975" s="1"/>
  <c r="D976"/>
  <c r="E976" s="1"/>
  <c r="D977"/>
  <c r="E977" s="1"/>
  <c r="D978"/>
  <c r="E978" s="1"/>
  <c r="D979"/>
  <c r="E979" s="1"/>
  <c r="D981"/>
  <c r="E981" s="1"/>
  <c r="D982"/>
  <c r="D983"/>
  <c r="E983" s="1"/>
  <c r="D984"/>
  <c r="E984" s="1"/>
  <c r="D985"/>
  <c r="E985" s="1"/>
  <c r="D986"/>
  <c r="D987"/>
  <c r="E987" s="1"/>
  <c r="D988"/>
  <c r="E988" s="1"/>
  <c r="D989"/>
  <c r="E989" s="1"/>
  <c r="D990"/>
  <c r="D991"/>
  <c r="E991" s="1"/>
  <c r="D992"/>
  <c r="E992" s="1"/>
  <c r="D993"/>
  <c r="E993" s="1"/>
  <c r="D994"/>
  <c r="D995"/>
  <c r="E995" s="1"/>
  <c r="D996"/>
  <c r="E996" s="1"/>
  <c r="D997"/>
  <c r="E997" s="1"/>
  <c r="D998"/>
  <c r="D1001"/>
  <c r="E1001" s="1"/>
  <c r="D1002"/>
  <c r="E1002" s="1"/>
  <c r="D1003"/>
  <c r="E1003" s="1"/>
  <c r="D1004"/>
  <c r="D1005"/>
  <c r="E1005" s="1"/>
  <c r="D1006"/>
  <c r="E1006" s="1"/>
  <c r="D1007"/>
  <c r="E1007" s="1"/>
  <c r="D1008"/>
  <c r="D1009"/>
  <c r="E1009" s="1"/>
  <c r="D1010"/>
  <c r="E1010" s="1"/>
  <c r="D1011"/>
  <c r="E1011" s="1"/>
  <c r="D1012"/>
  <c r="D1013"/>
  <c r="E1013" s="1"/>
  <c r="D1014"/>
  <c r="E1014" s="1"/>
  <c r="D1015"/>
  <c r="E1015" s="1"/>
  <c r="D1016"/>
  <c r="D1017"/>
  <c r="E1017" s="1"/>
  <c r="D1018"/>
  <c r="E1018" s="1"/>
  <c r="D1019"/>
  <c r="E1019" s="1"/>
  <c r="D1020"/>
  <c r="D1021"/>
  <c r="E1021" s="1"/>
  <c r="D1022"/>
  <c r="E1022" s="1"/>
  <c r="D1023"/>
  <c r="E1023" s="1"/>
  <c r="D1024"/>
  <c r="D1025"/>
  <c r="E1025" s="1"/>
  <c r="D1027"/>
  <c r="E1027" s="1"/>
  <c r="D1028"/>
  <c r="E1028" s="1"/>
  <c r="D1029"/>
  <c r="E1029" s="1"/>
  <c r="D1030"/>
  <c r="E1030" s="1"/>
  <c r="D1031"/>
  <c r="E1031" s="1"/>
  <c r="D1032"/>
  <c r="E1032" s="1"/>
  <c r="D1033"/>
  <c r="E1033" s="1"/>
  <c r="D1034"/>
  <c r="E1034" s="1"/>
  <c r="D1035"/>
  <c r="E1035" s="1"/>
  <c r="D1036"/>
  <c r="E1036" s="1"/>
  <c r="D1037"/>
  <c r="E1037" s="1"/>
  <c r="D1038"/>
  <c r="E1038" s="1"/>
  <c r="D1039"/>
  <c r="E1039" s="1"/>
  <c r="D1040"/>
  <c r="E1040" s="1"/>
  <c r="D1041"/>
  <c r="E1041" s="1"/>
  <c r="D1042"/>
  <c r="E1042" s="1"/>
  <c r="D1043"/>
  <c r="E1043" s="1"/>
  <c r="D1044"/>
  <c r="E1044" s="1"/>
  <c r="D1047"/>
  <c r="E1047" s="1"/>
  <c r="D1048"/>
  <c r="E1048" s="1"/>
  <c r="D1049"/>
  <c r="E1049" s="1"/>
  <c r="D1050"/>
  <c r="E1050" s="1"/>
  <c r="D1051"/>
  <c r="E1051" s="1"/>
  <c r="D1052"/>
  <c r="E1052" s="1"/>
  <c r="D1053"/>
  <c r="E1053" s="1"/>
  <c r="D1054"/>
  <c r="E1054" s="1"/>
  <c r="D1055"/>
  <c r="E1055" s="1"/>
  <c r="D1056"/>
  <c r="E1056" s="1"/>
  <c r="D1057"/>
  <c r="E1057" s="1"/>
  <c r="D1058"/>
  <c r="E1058" s="1"/>
  <c r="D1059"/>
  <c r="E1059" s="1"/>
  <c r="D1060"/>
  <c r="E1060" s="1"/>
  <c r="D1061"/>
  <c r="E1061" s="1"/>
  <c r="D1062"/>
  <c r="E1062" s="1"/>
  <c r="D1063"/>
  <c r="E1063" s="1"/>
  <c r="D1064"/>
  <c r="E1064" s="1"/>
  <c r="D1065"/>
  <c r="E1065" s="1"/>
  <c r="D1066"/>
  <c r="E1066" s="1"/>
  <c r="D1067"/>
  <c r="E1067" s="1"/>
  <c r="D1068"/>
  <c r="E1068" s="1"/>
  <c r="D1069"/>
  <c r="E1069" s="1"/>
  <c r="D1070"/>
  <c r="E1070" s="1"/>
  <c r="D1071"/>
  <c r="E1071" s="1"/>
  <c r="D1074"/>
  <c r="E1074" s="1"/>
  <c r="D1075"/>
  <c r="E1075" s="1"/>
  <c r="D1076"/>
  <c r="E1076" s="1"/>
  <c r="D1077"/>
  <c r="E1077" s="1"/>
  <c r="D1078"/>
  <c r="E1078" s="1"/>
  <c r="D1079"/>
  <c r="E1079" s="1"/>
  <c r="D1080"/>
  <c r="E1080" s="1"/>
  <c r="D1081"/>
  <c r="E1081" s="1"/>
  <c r="D1082"/>
  <c r="E1082" s="1"/>
  <c r="D1083"/>
  <c r="E1083" s="1"/>
  <c r="D1084"/>
  <c r="E1084" s="1"/>
  <c r="D1085"/>
  <c r="E1085" s="1"/>
  <c r="D1086"/>
  <c r="E1086" s="1"/>
  <c r="D1087"/>
  <c r="E1087" s="1"/>
  <c r="D1088"/>
  <c r="E1088" s="1"/>
  <c r="D1089"/>
  <c r="E1089" s="1"/>
  <c r="D1090"/>
  <c r="E1090" s="1"/>
  <c r="D1093"/>
  <c r="E1093" s="1"/>
  <c r="D1094"/>
  <c r="E1094" s="1"/>
  <c r="D1095"/>
  <c r="E1095" s="1"/>
  <c r="D1096"/>
  <c r="E1096" s="1"/>
  <c r="D1097"/>
  <c r="E1097" s="1"/>
  <c r="D1098"/>
  <c r="E1098" s="1"/>
  <c r="D1099"/>
  <c r="E1099" s="1"/>
  <c r="D1100"/>
  <c r="E1100" s="1"/>
  <c r="D1101"/>
  <c r="E1101" s="1"/>
  <c r="D1102"/>
  <c r="E1102" s="1"/>
  <c r="D1103"/>
  <c r="E1103" s="1"/>
  <c r="D1104"/>
  <c r="E1104" s="1"/>
  <c r="D1105"/>
  <c r="E1105" s="1"/>
  <c r="D1106"/>
  <c r="E1106" s="1"/>
  <c r="D1107"/>
  <c r="E1107" s="1"/>
  <c r="D1108"/>
  <c r="E1108" s="1"/>
  <c r="D1109"/>
  <c r="E1109" s="1"/>
  <c r="D1110"/>
  <c r="E1110" s="1"/>
  <c r="D1111"/>
  <c r="E1111" s="1"/>
  <c r="D1112"/>
  <c r="E1112" s="1"/>
  <c r="D1113"/>
  <c r="E1113" s="1"/>
  <c r="D1114"/>
  <c r="E1114" s="1"/>
  <c r="D1115"/>
  <c r="E1115" s="1"/>
  <c r="D1116"/>
  <c r="E1116" s="1"/>
  <c r="D1117"/>
  <c r="E1117" s="1"/>
  <c r="D1118"/>
  <c r="E1118" s="1"/>
  <c r="D1120"/>
  <c r="E1120" s="1"/>
  <c r="D1121"/>
  <c r="E1121" s="1"/>
  <c r="D1122"/>
  <c r="D1123"/>
  <c r="E1123" s="1"/>
  <c r="D1124"/>
  <c r="E1124" s="1"/>
  <c r="D1125"/>
  <c r="E1125" s="1"/>
  <c r="D1126"/>
  <c r="D1127"/>
  <c r="E1127" s="1"/>
  <c r="D1128"/>
  <c r="E1128" s="1"/>
  <c r="D1129"/>
  <c r="E1129" s="1"/>
  <c r="D1130"/>
  <c r="D1131"/>
  <c r="E1131" s="1"/>
  <c r="D1132"/>
  <c r="E1132" s="1"/>
  <c r="D1133"/>
  <c r="E1133" s="1"/>
  <c r="D1134"/>
  <c r="D1135"/>
  <c r="E1135" s="1"/>
  <c r="D1136"/>
  <c r="E1136" s="1"/>
  <c r="D1139"/>
  <c r="E1139" s="1"/>
  <c r="D1140"/>
  <c r="D1141"/>
  <c r="E1141" s="1"/>
  <c r="D1142"/>
  <c r="E1142" s="1"/>
  <c r="D1143"/>
  <c r="E1143" s="1"/>
  <c r="D1144"/>
  <c r="D1145"/>
  <c r="E1145" s="1"/>
  <c r="D1146"/>
  <c r="E1146" s="1"/>
  <c r="D1147"/>
  <c r="E1147" s="1"/>
  <c r="D1148"/>
  <c r="D1149"/>
  <c r="E1149" s="1"/>
  <c r="D1150"/>
  <c r="E1150" s="1"/>
  <c r="D1151"/>
  <c r="E1151" s="1"/>
  <c r="D1152"/>
  <c r="D1153"/>
  <c r="E1153" s="1"/>
  <c r="D1154"/>
  <c r="E1154" s="1"/>
  <c r="D1155"/>
  <c r="E1155" s="1"/>
  <c r="D1156"/>
  <c r="D1157"/>
  <c r="E1157" s="1"/>
  <c r="D1158"/>
  <c r="E1158" s="1"/>
  <c r="D1159"/>
  <c r="E1159" s="1"/>
  <c r="D1160"/>
  <c r="D1161"/>
  <c r="E1161" s="1"/>
  <c r="D1162"/>
  <c r="E1162" s="1"/>
  <c r="D1163"/>
  <c r="E1163" s="1"/>
  <c r="D1164"/>
  <c r="D1166"/>
  <c r="E1166" s="1"/>
  <c r="D1167"/>
  <c r="E1167" s="1"/>
  <c r="D1168"/>
  <c r="E1168" s="1"/>
  <c r="D1169"/>
  <c r="E1169" s="1"/>
  <c r="D1170"/>
  <c r="E1170" s="1"/>
  <c r="D1171"/>
  <c r="E1171" s="1"/>
  <c r="D1172"/>
  <c r="E1172" s="1"/>
  <c r="D1173"/>
  <c r="E1173" s="1"/>
  <c r="D1174"/>
  <c r="E1174" s="1"/>
  <c r="D1175"/>
  <c r="E1175" s="1"/>
  <c r="D1176"/>
  <c r="E1176" s="1"/>
  <c r="D1177"/>
  <c r="E1177" s="1"/>
  <c r="D1178"/>
  <c r="E1178" s="1"/>
  <c r="D1179"/>
  <c r="E1179" s="1"/>
  <c r="D1180"/>
  <c r="E1180" s="1"/>
  <c r="D1181"/>
  <c r="E1181" s="1"/>
  <c r="D1182"/>
  <c r="E1182" s="1"/>
  <c r="D1183"/>
  <c r="E1183" s="1"/>
  <c r="B1184"/>
  <c r="D1184" s="1"/>
  <c r="E1184" s="1"/>
  <c r="D1185"/>
  <c r="E1185" s="1"/>
  <c r="D1186"/>
  <c r="E1186" s="1"/>
  <c r="D1187"/>
  <c r="E1187" s="1"/>
  <c r="D1188"/>
  <c r="E1188" s="1"/>
  <c r="D1189"/>
  <c r="E1189" s="1"/>
  <c r="D1190"/>
  <c r="E1190" s="1"/>
  <c r="D1191"/>
  <c r="E1191" s="1"/>
  <c r="D1192"/>
  <c r="E1192" s="1"/>
  <c r="D1193"/>
  <c r="E1193" s="1"/>
  <c r="D1194"/>
  <c r="E1194" s="1"/>
  <c r="D1195"/>
  <c r="E1195" s="1"/>
  <c r="D1196"/>
  <c r="E1196" s="1"/>
  <c r="D1197"/>
  <c r="E1197" s="1"/>
  <c r="D1198"/>
  <c r="E1198" s="1"/>
  <c r="D1199"/>
  <c r="E1199" s="1"/>
  <c r="D1200"/>
  <c r="E1200" s="1"/>
  <c r="D1201"/>
  <c r="E1201" s="1"/>
  <c r="D1202"/>
  <c r="E1202" s="1"/>
  <c r="D1203"/>
  <c r="E1203" s="1"/>
  <c r="D1204"/>
  <c r="E1204" s="1"/>
  <c r="D1205"/>
  <c r="E1205" s="1"/>
  <c r="D1206"/>
  <c r="E1206" s="1"/>
  <c r="D1207"/>
  <c r="E1207" s="1"/>
  <c r="D1208"/>
  <c r="E1208" s="1"/>
  <c r="C1209"/>
  <c r="D1209" s="1"/>
  <c r="E1209" s="1"/>
  <c r="C1210"/>
  <c r="D1210" s="1"/>
  <c r="D1211"/>
  <c r="D1212"/>
  <c r="B1213"/>
  <c r="B1210" s="1"/>
  <c r="D1214"/>
  <c r="D1215"/>
  <c r="D1216"/>
  <c r="D1217"/>
  <c r="D1218"/>
  <c r="D1219"/>
  <c r="D1220"/>
  <c r="D1221"/>
  <c r="D1222"/>
  <c r="D1223"/>
  <c r="D1224"/>
  <c r="D1225"/>
  <c r="D1226"/>
  <c r="D1230"/>
  <c r="D1231"/>
  <c r="D1232"/>
  <c r="D1233"/>
  <c r="D1234"/>
  <c r="D1235"/>
  <c r="D1236"/>
  <c r="D1237"/>
  <c r="D1238"/>
  <c r="D1239"/>
  <c r="D1240"/>
  <c r="D1241"/>
  <c r="D1242"/>
  <c r="D1243"/>
  <c r="D1244"/>
  <c r="D1245"/>
  <c r="D1246"/>
  <c r="D1247"/>
  <c r="D1248"/>
  <c r="D1249"/>
  <c r="D1250"/>
  <c r="D1251"/>
  <c r="D1252"/>
  <c r="D1253"/>
  <c r="D1254"/>
  <c r="D1255"/>
  <c r="D1256"/>
  <c r="D1257"/>
  <c r="D1258"/>
  <c r="D1259"/>
  <c r="D1260"/>
  <c r="D1261"/>
  <c r="D1262"/>
  <c r="D1263"/>
  <c r="D1264"/>
  <c r="D1265"/>
  <c r="D1266"/>
  <c r="D1267"/>
  <c r="D1268"/>
  <c r="D1269"/>
  <c r="D1270"/>
  <c r="D1271"/>
  <c r="D1272"/>
  <c r="D1273"/>
  <c r="D1274"/>
  <c r="D1275"/>
  <c r="D1276"/>
  <c r="D1277"/>
  <c r="D1278"/>
  <c r="D1279"/>
  <c r="D1280"/>
  <c r="D1281"/>
  <c r="D1282"/>
  <c r="D1283"/>
  <c r="D1284"/>
  <c r="D1285"/>
  <c r="B1286"/>
  <c r="D1286" s="1"/>
  <c r="D1287"/>
  <c r="D1288"/>
  <c r="D1289"/>
  <c r="D1290"/>
  <c r="D1291"/>
  <c r="D1292"/>
  <c r="D1293"/>
  <c r="D1294"/>
  <c r="D1295"/>
  <c r="D1296"/>
  <c r="D1297"/>
  <c r="D1298"/>
  <c r="D1299"/>
  <c r="D1300"/>
  <c r="D1301"/>
  <c r="D1302"/>
  <c r="D1303"/>
  <c r="D1304"/>
  <c r="D1305"/>
  <c r="D1306"/>
  <c r="D1307"/>
  <c r="D1308"/>
  <c r="D1309"/>
  <c r="D1310"/>
  <c r="D1311"/>
  <c r="D1312"/>
  <c r="D1313"/>
  <c r="D1314"/>
  <c r="D1315"/>
  <c r="D1316"/>
  <c r="D1317"/>
  <c r="D1318"/>
  <c r="D1319"/>
  <c r="D1320"/>
  <c r="D1322"/>
  <c r="B1323"/>
  <c r="D1323" s="1"/>
  <c r="D1324"/>
  <c r="D1325"/>
  <c r="D1326"/>
  <c r="D1327"/>
  <c r="D1328"/>
  <c r="D1329"/>
  <c r="D1330"/>
  <c r="D1331"/>
  <c r="D1332"/>
  <c r="D1333"/>
  <c r="D1334"/>
  <c r="D1335"/>
  <c r="D1336"/>
  <c r="D1337"/>
  <c r="D1338"/>
  <c r="D1339"/>
  <c r="D1340"/>
  <c r="D1341"/>
  <c r="D1342"/>
  <c r="D1343"/>
  <c r="D1344"/>
  <c r="D1345"/>
  <c r="D1347"/>
  <c r="D1348"/>
  <c r="D1349"/>
  <c r="D1350"/>
  <c r="D1351"/>
  <c r="D1352"/>
  <c r="D1353"/>
  <c r="D1354"/>
  <c r="D1355"/>
  <c r="D1356"/>
  <c r="C1357"/>
  <c r="D1357" s="1"/>
  <c r="D1358"/>
  <c r="D1359"/>
  <c r="D1360"/>
  <c r="D1361"/>
  <c r="D1362"/>
  <c r="D1363"/>
  <c r="D1364"/>
  <c r="D1365"/>
  <c r="D1366"/>
  <c r="D1367"/>
  <c r="D1368"/>
  <c r="D1369"/>
  <c r="D1370"/>
  <c r="D1371"/>
  <c r="D1372"/>
  <c r="D1373"/>
  <c r="D1374"/>
  <c r="D1375"/>
  <c r="D1376"/>
  <c r="D1377"/>
  <c r="D1378"/>
  <c r="D1379"/>
  <c r="D1380"/>
  <c r="D1381"/>
  <c r="D1382"/>
  <c r="D1383"/>
  <c r="D1384"/>
  <c r="D1385"/>
  <c r="D1386"/>
  <c r="D1387"/>
  <c r="D1388"/>
  <c r="D1389"/>
  <c r="D1390"/>
  <c r="D1391"/>
  <c r="D1392"/>
  <c r="D1393"/>
  <c r="D1394"/>
  <c r="D1395"/>
  <c r="D1396"/>
  <c r="D1397"/>
  <c r="D1398"/>
  <c r="D1399"/>
  <c r="D1400"/>
  <c r="D1401"/>
  <c r="D1402"/>
  <c r="D1403"/>
  <c r="D1404"/>
  <c r="D1405"/>
  <c r="D1406"/>
  <c r="D1407"/>
  <c r="B1408"/>
  <c r="D1408" s="1"/>
  <c r="D1409"/>
  <c r="D1410"/>
  <c r="D1411"/>
  <c r="D1413"/>
  <c r="D1414"/>
  <c r="D1415"/>
  <c r="D1416"/>
  <c r="D1417"/>
  <c r="D1418"/>
  <c r="D1419"/>
  <c r="D1420"/>
  <c r="D1421"/>
  <c r="D1422"/>
  <c r="D1423"/>
  <c r="D1424"/>
  <c r="D1425"/>
  <c r="D1426"/>
  <c r="D1427"/>
  <c r="D1428"/>
  <c r="D1429"/>
  <c r="D1430"/>
  <c r="D1431"/>
  <c r="D1432"/>
  <c r="D1433"/>
  <c r="D1434"/>
  <c r="D1435"/>
  <c r="D1436"/>
  <c r="D1437"/>
  <c r="D1438"/>
  <c r="D1439"/>
  <c r="D1440"/>
  <c r="D1441"/>
  <c r="D1442"/>
  <c r="D1443"/>
  <c r="D1444"/>
  <c r="D1445"/>
  <c r="D1446"/>
  <c r="D1447"/>
  <c r="D1448"/>
  <c r="D1449"/>
  <c r="D1450"/>
  <c r="D1451"/>
  <c r="D1452"/>
  <c r="D1453"/>
  <c r="D1454"/>
  <c r="D1455"/>
  <c r="D1456"/>
  <c r="D1457"/>
  <c r="D1458"/>
  <c r="D1459"/>
  <c r="D1460"/>
  <c r="D1461"/>
  <c r="D1462"/>
  <c r="D1463"/>
  <c r="D1464"/>
  <c r="D1465"/>
  <c r="D1466"/>
  <c r="D1467"/>
  <c r="D1468"/>
  <c r="D1469"/>
  <c r="D1470"/>
  <c r="D1471"/>
  <c r="D1472"/>
  <c r="D1473"/>
  <c r="D1474"/>
  <c r="D1475"/>
  <c r="D1476"/>
  <c r="D1477"/>
  <c r="D1478"/>
  <c r="D1479"/>
  <c r="D1480"/>
  <c r="D1481"/>
  <c r="D1482"/>
  <c r="D1483"/>
  <c r="D1484"/>
  <c r="D1485"/>
  <c r="D1486"/>
  <c r="D1487"/>
  <c r="D1488"/>
  <c r="D1489"/>
  <c r="D1490"/>
  <c r="D1491"/>
  <c r="D1492"/>
  <c r="D1493"/>
  <c r="D1494"/>
  <c r="D1495"/>
  <c r="D1496"/>
  <c r="D1497"/>
  <c r="D1498"/>
  <c r="D1499"/>
  <c r="D1500"/>
  <c r="D1501"/>
  <c r="D1502"/>
  <c r="D1503"/>
  <c r="D1504"/>
  <c r="D1505"/>
  <c r="D1506"/>
  <c r="D1507"/>
  <c r="D1508"/>
  <c r="D1509"/>
  <c r="D1510"/>
  <c r="D1511"/>
  <c r="D1512"/>
  <c r="D1513"/>
  <c r="D1514"/>
  <c r="D1515"/>
  <c r="D1516"/>
  <c r="D1517"/>
  <c r="D1518"/>
  <c r="D1519"/>
  <c r="D1520"/>
  <c r="D1521"/>
  <c r="D1522"/>
  <c r="D1523"/>
  <c r="C1525"/>
  <c r="D1525" s="1"/>
  <c r="D1526"/>
  <c r="D1527"/>
  <c r="D1528"/>
  <c r="D1529"/>
  <c r="D1530"/>
  <c r="D1531"/>
  <c r="D1532"/>
  <c r="D1533"/>
  <c r="D1534"/>
  <c r="D1535"/>
  <c r="D1536"/>
  <c r="D1537"/>
  <c r="D1538"/>
  <c r="D1539"/>
  <c r="D1540"/>
  <c r="D1541"/>
  <c r="D1542"/>
  <c r="D1543"/>
  <c r="D1545"/>
  <c r="D1546"/>
  <c r="D1547"/>
  <c r="D1548"/>
  <c r="D1549"/>
  <c r="D1550"/>
  <c r="D1551"/>
  <c r="D1552"/>
  <c r="D1553"/>
  <c r="D1554"/>
  <c r="D1555"/>
  <c r="D1556"/>
  <c r="D1557"/>
  <c r="D1558"/>
  <c r="D1559"/>
  <c r="D1560"/>
  <c r="D1561"/>
  <c r="D1562"/>
  <c r="D1563"/>
  <c r="D1564"/>
  <c r="D1565"/>
  <c r="D1566"/>
  <c r="D1567"/>
  <c r="D1568"/>
  <c r="D1569"/>
  <c r="D1570"/>
  <c r="D1571"/>
  <c r="D1572"/>
  <c r="D1573"/>
  <c r="D1574"/>
  <c r="D1575"/>
  <c r="B1577"/>
  <c r="D1577" s="1"/>
  <c r="B1578"/>
  <c r="D1578" s="1"/>
  <c r="D1580"/>
  <c r="D1581"/>
  <c r="D1582"/>
  <c r="D1583"/>
  <c r="D1584"/>
  <c r="D1585"/>
  <c r="D1586"/>
  <c r="D1587"/>
  <c r="D1588"/>
  <c r="D1589"/>
  <c r="D1590"/>
  <c r="D1591"/>
  <c r="D1592"/>
  <c r="D1593"/>
  <c r="D1594"/>
  <c r="D1595"/>
  <c r="D1596"/>
  <c r="D1597"/>
  <c r="D1598"/>
  <c r="D1599"/>
  <c r="D1600"/>
  <c r="D1601"/>
  <c r="D1602"/>
  <c r="D1603"/>
  <c r="D1604"/>
  <c r="D1605"/>
  <c r="D1606"/>
  <c r="D1607"/>
  <c r="D1608"/>
  <c r="D1609"/>
  <c r="D1610"/>
  <c r="D1611"/>
  <c r="D1612"/>
  <c r="D1613"/>
  <c r="D1614"/>
  <c r="D1615"/>
  <c r="D1616"/>
  <c r="D1617"/>
  <c r="D1618"/>
  <c r="D1619"/>
  <c r="D1620"/>
  <c r="D1621"/>
  <c r="D1622"/>
  <c r="D1623"/>
  <c r="D1624"/>
  <c r="D1625"/>
  <c r="D1626"/>
  <c r="D1627"/>
  <c r="D1628"/>
  <c r="D1629"/>
  <c r="D1630"/>
  <c r="D1631"/>
  <c r="D1632"/>
  <c r="D1633"/>
  <c r="D1637"/>
  <c r="D1640"/>
  <c r="D1641"/>
  <c r="D1642"/>
  <c r="D1643"/>
  <c r="D1644"/>
  <c r="D1645"/>
  <c r="D1646"/>
  <c r="D1647"/>
  <c r="D1648"/>
  <c r="D1649"/>
  <c r="D1650"/>
  <c r="D1651"/>
  <c r="D1652"/>
  <c r="D1653"/>
  <c r="D1656"/>
  <c r="D1657"/>
  <c r="D1658"/>
  <c r="D1659"/>
  <c r="D1660"/>
  <c r="D1661"/>
  <c r="D1662"/>
  <c r="D1663"/>
  <c r="D1664"/>
  <c r="D1665"/>
  <c r="D1666"/>
  <c r="D1667"/>
  <c r="D1668"/>
  <c r="D1669"/>
  <c r="D1670"/>
  <c r="D1671"/>
  <c r="D1672"/>
  <c r="D1673"/>
  <c r="D1674"/>
  <c r="D1675"/>
  <c r="D1676"/>
  <c r="D1677"/>
  <c r="D1678"/>
  <c r="D1679"/>
  <c r="D1680"/>
  <c r="D1681"/>
  <c r="D1682"/>
  <c r="D1683"/>
  <c r="D1684"/>
  <c r="D1685"/>
  <c r="D1686"/>
  <c r="D1687"/>
  <c r="D1688"/>
  <c r="D1689"/>
  <c r="D1690"/>
  <c r="D1691"/>
  <c r="D1692"/>
  <c r="D1693"/>
  <c r="D1694"/>
  <c r="D1695"/>
  <c r="D1696"/>
  <c r="D1697"/>
  <c r="D1698"/>
  <c r="D1699"/>
  <c r="D1700"/>
  <c r="D1701"/>
  <c r="D1702"/>
  <c r="D1703"/>
  <c r="D1704"/>
  <c r="D1705"/>
  <c r="D1706"/>
  <c r="D1708"/>
  <c r="D1709"/>
  <c r="D1710"/>
  <c r="D1711"/>
  <c r="D1712"/>
  <c r="D1713"/>
  <c r="D1714"/>
  <c r="D1716"/>
  <c r="D1717"/>
  <c r="D1718"/>
  <c r="D1719"/>
  <c r="D1720"/>
  <c r="D1721"/>
  <c r="D1722"/>
  <c r="D1723"/>
  <c r="D1724"/>
  <c r="D1725"/>
  <c r="D1726"/>
  <c r="D1727"/>
  <c r="D1728"/>
  <c r="D1729"/>
  <c r="D1730"/>
  <c r="D1731"/>
  <c r="D1733"/>
  <c r="D1734"/>
  <c r="D1735"/>
  <c r="D1736"/>
  <c r="D1737"/>
  <c r="D1738"/>
  <c r="D1739"/>
  <c r="D1740"/>
  <c r="D1741"/>
  <c r="C1743"/>
  <c r="D1743" s="1"/>
  <c r="D1744"/>
  <c r="D1745"/>
  <c r="B1746"/>
  <c r="B1743" s="1"/>
  <c r="D1747"/>
  <c r="D1748"/>
  <c r="D1749"/>
  <c r="D1750"/>
  <c r="D1751"/>
  <c r="D1752"/>
  <c r="D1753"/>
  <c r="D1754"/>
  <c r="D1755"/>
  <c r="D1756"/>
  <c r="D1757"/>
  <c r="D1758"/>
  <c r="D1759"/>
  <c r="D1763"/>
  <c r="D1764"/>
  <c r="D1765"/>
  <c r="D1766"/>
  <c r="D1767"/>
  <c r="D1768"/>
  <c r="D1769"/>
  <c r="D1770"/>
  <c r="D1771"/>
  <c r="D1772"/>
  <c r="D1773"/>
  <c r="D1774"/>
  <c r="D1775"/>
  <c r="D1776"/>
  <c r="D1777"/>
  <c r="D1778"/>
  <c r="D1779"/>
  <c r="D1780"/>
  <c r="D1781"/>
  <c r="D1782"/>
  <c r="D1783"/>
  <c r="D1784"/>
  <c r="D1785"/>
  <c r="D1786"/>
  <c r="D1787"/>
  <c r="D1788"/>
  <c r="D1789"/>
  <c r="D1790"/>
  <c r="D1791"/>
  <c r="D1792"/>
  <c r="D1793"/>
  <c r="D1794"/>
  <c r="D1795"/>
  <c r="D1796"/>
  <c r="D1797"/>
  <c r="D1798"/>
  <c r="D1799"/>
  <c r="D1800"/>
  <c r="D1801"/>
  <c r="D1802"/>
  <c r="B1803"/>
  <c r="D1803" s="1"/>
  <c r="D1804"/>
  <c r="B1805"/>
  <c r="D1805" s="1"/>
  <c r="B1806"/>
  <c r="D1806" s="1"/>
  <c r="B1807"/>
  <c r="D1807" s="1"/>
  <c r="B1808"/>
  <c r="D1808" s="1"/>
  <c r="B1809"/>
  <c r="D1809" s="1"/>
  <c r="B1810"/>
  <c r="D1810" s="1"/>
  <c r="B1811"/>
  <c r="D1811" s="1"/>
  <c r="B1812"/>
  <c r="D1812" s="1"/>
  <c r="B1813"/>
  <c r="D1813" s="1"/>
  <c r="B1814"/>
  <c r="D1814" s="1"/>
  <c r="B1815"/>
  <c r="D1815" s="1"/>
  <c r="B1816"/>
  <c r="D1816" s="1"/>
  <c r="B1817"/>
  <c r="D1817" s="1"/>
  <c r="B1818"/>
  <c r="D1818" s="1"/>
  <c r="B1820"/>
  <c r="D1820" s="1"/>
  <c r="B1821"/>
  <c r="D1821" s="1"/>
  <c r="B1822"/>
  <c r="D1822" s="1"/>
  <c r="B1823"/>
  <c r="D1823" s="1"/>
  <c r="B1824"/>
  <c r="D1824" s="1"/>
  <c r="B1825"/>
  <c r="D1825" s="1"/>
  <c r="B1826"/>
  <c r="D1826" s="1"/>
  <c r="B1827"/>
  <c r="D1827" s="1"/>
  <c r="B1828"/>
  <c r="D1828" s="1"/>
  <c r="B1829"/>
  <c r="D1829" s="1"/>
  <c r="B1830"/>
  <c r="D1830" s="1"/>
  <c r="B1831"/>
  <c r="D1831" s="1"/>
  <c r="B1832"/>
  <c r="D1832" s="1"/>
  <c r="B1833"/>
  <c r="D1833" s="1"/>
  <c r="B1834"/>
  <c r="D1834" s="1"/>
  <c r="B1835"/>
  <c r="D1835" s="1"/>
  <c r="B1836"/>
  <c r="D1836" s="1"/>
  <c r="B1837"/>
  <c r="D1837" s="1"/>
  <c r="B1838"/>
  <c r="D1838" s="1"/>
  <c r="B1839"/>
  <c r="D1839" s="1"/>
  <c r="B1840"/>
  <c r="D1840" s="1"/>
  <c r="B1841"/>
  <c r="D1841" s="1"/>
  <c r="B1842"/>
  <c r="D1842" s="1"/>
  <c r="B1843"/>
  <c r="D1843" s="1"/>
  <c r="B1844"/>
  <c r="D1844" s="1"/>
  <c r="B1845"/>
  <c r="D1845" s="1"/>
  <c r="B1846"/>
  <c r="D1846" s="1"/>
  <c r="B1847"/>
  <c r="D1847" s="1"/>
  <c r="B1848"/>
  <c r="D1848" s="1"/>
  <c r="D1849"/>
  <c r="D1850"/>
  <c r="D1851"/>
  <c r="D1852"/>
  <c r="B1853"/>
  <c r="D1853" s="1"/>
  <c r="B1855"/>
  <c r="D1855" s="1"/>
  <c r="B1857"/>
  <c r="D1857" s="1"/>
  <c r="B1858"/>
  <c r="D1858" s="1"/>
  <c r="B1859"/>
  <c r="D1859" s="1"/>
  <c r="B1860"/>
  <c r="D1860" s="1"/>
  <c r="B1861"/>
  <c r="D1861" s="1"/>
  <c r="B1862"/>
  <c r="D1862" s="1"/>
  <c r="B1863"/>
  <c r="D1863" s="1"/>
  <c r="B1864"/>
  <c r="D1864" s="1"/>
  <c r="B1865"/>
  <c r="D1865" s="1"/>
  <c r="B1866"/>
  <c r="D1866" s="1"/>
  <c r="B1867"/>
  <c r="D1867" s="1"/>
  <c r="B1868"/>
  <c r="D1868" s="1"/>
  <c r="B1869"/>
  <c r="D1869" s="1"/>
  <c r="B1870"/>
  <c r="D1870" s="1"/>
  <c r="B1871"/>
  <c r="D1871" s="1"/>
  <c r="B1872"/>
  <c r="D1872" s="1"/>
  <c r="B1873"/>
  <c r="D1873" s="1"/>
  <c r="B1874"/>
  <c r="D1874" s="1"/>
  <c r="B1875"/>
  <c r="D1875" s="1"/>
  <c r="B1876"/>
  <c r="D1876" s="1"/>
  <c r="B1877"/>
  <c r="D1877" s="1"/>
  <c r="B1878"/>
  <c r="D1878" s="1"/>
  <c r="B1880"/>
  <c r="D1880" s="1"/>
  <c r="B1881"/>
  <c r="D1881" s="1"/>
  <c r="B1882"/>
  <c r="D1882" s="1"/>
  <c r="B1883"/>
  <c r="D1883" s="1"/>
  <c r="B1884"/>
  <c r="D1884" s="1"/>
  <c r="B1885"/>
  <c r="D1885" s="1"/>
  <c r="B1886"/>
  <c r="D1886" s="1"/>
  <c r="B1887"/>
  <c r="D1887" s="1"/>
  <c r="D1888"/>
  <c r="D1889"/>
  <c r="C1890"/>
  <c r="D1890" s="1"/>
  <c r="D1891"/>
  <c r="D1892"/>
  <c r="B1893"/>
  <c r="D1893" s="1"/>
  <c r="B1894"/>
  <c r="B1895"/>
  <c r="D1895" s="1"/>
  <c r="B1896"/>
  <c r="D1896" s="1"/>
  <c r="B1897"/>
  <c r="D1897" s="1"/>
  <c r="B1898"/>
  <c r="B1899"/>
  <c r="D1899" s="1"/>
  <c r="B1900"/>
  <c r="D1900" s="1"/>
  <c r="B1901"/>
  <c r="D1901" s="1"/>
  <c r="B1902"/>
  <c r="B1903"/>
  <c r="D1903" s="1"/>
  <c r="B1904"/>
  <c r="D1904" s="1"/>
  <c r="B1905"/>
  <c r="D1905" s="1"/>
  <c r="B1906"/>
  <c r="B1907"/>
  <c r="D1907" s="1"/>
  <c r="B1908"/>
  <c r="D1908" s="1"/>
  <c r="B1909"/>
  <c r="D1909" s="1"/>
  <c r="B1910"/>
  <c r="B1911"/>
  <c r="D1911" s="1"/>
  <c r="B1912"/>
  <c r="D1912" s="1"/>
  <c r="B1913"/>
  <c r="D1913" s="1"/>
  <c r="B1914"/>
  <c r="B1915"/>
  <c r="D1915" s="1"/>
  <c r="B1916"/>
  <c r="D1916" s="1"/>
  <c r="B1917"/>
  <c r="D1917" s="1"/>
  <c r="B1918"/>
  <c r="B1919"/>
  <c r="D1919" s="1"/>
  <c r="B1920"/>
  <c r="D1920" s="1"/>
  <c r="B1921"/>
  <c r="D1921" s="1"/>
  <c r="B1922"/>
  <c r="B1923"/>
  <c r="D1923" s="1"/>
  <c r="B1924"/>
  <c r="D1924" s="1"/>
  <c r="B1925"/>
  <c r="D1925" s="1"/>
  <c r="B1926"/>
  <c r="B1927"/>
  <c r="D1927" s="1"/>
  <c r="B1928"/>
  <c r="D1928" s="1"/>
  <c r="B1929"/>
  <c r="D1929" s="1"/>
  <c r="B1930"/>
  <c r="B1931"/>
  <c r="D1931" s="1"/>
  <c r="B1932"/>
  <c r="D1932" s="1"/>
  <c r="B1933"/>
  <c r="D1933" s="1"/>
  <c r="B1934"/>
  <c r="B1935"/>
  <c r="D1935" s="1"/>
  <c r="B1936"/>
  <c r="D1936" s="1"/>
  <c r="D1937"/>
  <c r="D1938"/>
  <c r="D1939"/>
  <c r="D1940"/>
  <c r="B1942"/>
  <c r="D1942" s="1"/>
  <c r="B1943"/>
  <c r="B1944"/>
  <c r="D1944" s="1"/>
  <c r="B1946"/>
  <c r="D1946" s="1"/>
  <c r="B1947"/>
  <c r="D1947" s="1"/>
  <c r="D1948"/>
  <c r="B1949"/>
  <c r="D1949" s="1"/>
  <c r="B1950"/>
  <c r="D1950" s="1"/>
  <c r="B1951"/>
  <c r="D1951" s="1"/>
  <c r="B1952"/>
  <c r="D1952" s="1"/>
  <c r="D1953"/>
  <c r="B1954"/>
  <c r="D1954" s="1"/>
  <c r="B1955"/>
  <c r="D1955" s="1"/>
  <c r="B1956"/>
  <c r="D1956" s="1"/>
  <c r="B1957"/>
  <c r="D1957" s="1"/>
  <c r="B1958"/>
  <c r="D1958" s="1"/>
  <c r="B1959"/>
  <c r="D1959" s="1"/>
  <c r="B1960"/>
  <c r="D1960" s="1"/>
  <c r="B1961"/>
  <c r="D1961" s="1"/>
  <c r="B1962"/>
  <c r="D1962" s="1"/>
  <c r="B1963"/>
  <c r="D1963" s="1"/>
  <c r="B1964"/>
  <c r="D1964" s="1"/>
  <c r="B1965"/>
  <c r="D1965" s="1"/>
  <c r="B1966"/>
  <c r="D1966" s="1"/>
  <c r="B1967"/>
  <c r="D1967" s="1"/>
  <c r="B1968"/>
  <c r="D1968" s="1"/>
  <c r="B1969"/>
  <c r="D1969" s="1"/>
  <c r="B1970"/>
  <c r="D1970" s="1"/>
  <c r="B1971"/>
  <c r="D1971" s="1"/>
  <c r="B1972"/>
  <c r="D1972" s="1"/>
  <c r="D1973"/>
  <c r="D1974"/>
  <c r="D1975"/>
  <c r="B1976"/>
  <c r="B1977"/>
  <c r="D1977" s="1"/>
  <c r="B1978"/>
  <c r="B1979"/>
  <c r="D1979" s="1"/>
  <c r="D1980"/>
  <c r="B1981"/>
  <c r="D1981" s="1"/>
  <c r="B1982"/>
  <c r="D1982" s="1"/>
  <c r="B1983"/>
  <c r="D1983" s="1"/>
  <c r="B1984"/>
  <c r="D1984" s="1"/>
  <c r="B1985"/>
  <c r="D1985" s="1"/>
  <c r="B1986"/>
  <c r="D1986" s="1"/>
  <c r="B1987"/>
  <c r="D1987" s="1"/>
  <c r="B1988"/>
  <c r="D1988" s="1"/>
  <c r="B1989"/>
  <c r="D1989" s="1"/>
  <c r="B1990"/>
  <c r="D1990" s="1"/>
  <c r="B1991"/>
  <c r="D1991" s="1"/>
  <c r="B1992"/>
  <c r="D1992" s="1"/>
  <c r="B1993"/>
  <c r="D1993" s="1"/>
  <c r="B1994"/>
  <c r="D1994" s="1"/>
  <c r="B1995"/>
  <c r="D1995" s="1"/>
  <c r="B1996"/>
  <c r="D1996" s="1"/>
  <c r="B1997"/>
  <c r="D1997" s="1"/>
  <c r="B1998"/>
  <c r="D1998" s="1"/>
  <c r="B1999"/>
  <c r="D1999" s="1"/>
  <c r="D2000"/>
  <c r="D2001"/>
  <c r="D2002"/>
  <c r="B2003"/>
  <c r="D2003" s="1"/>
  <c r="B2004"/>
  <c r="D2004" s="1"/>
  <c r="B2005"/>
  <c r="D2005" s="1"/>
  <c r="B2006"/>
  <c r="D2006" s="1"/>
  <c r="D2007"/>
  <c r="B2008"/>
  <c r="D2008" s="1"/>
  <c r="B2009"/>
  <c r="D2009" s="1"/>
  <c r="B2010"/>
  <c r="D2010" s="1"/>
  <c r="B2011"/>
  <c r="D2011" s="1"/>
  <c r="B2012"/>
  <c r="D2012" s="1"/>
  <c r="B2013"/>
  <c r="D2013" s="1"/>
  <c r="B2014"/>
  <c r="D2014" s="1"/>
  <c r="B2015"/>
  <c r="D2015" s="1"/>
  <c r="B2016"/>
  <c r="D2016" s="1"/>
  <c r="B2017"/>
  <c r="D2017"/>
  <c r="B2018"/>
  <c r="D2018"/>
  <c r="B2019"/>
  <c r="D2019"/>
  <c r="B2020"/>
  <c r="D2020"/>
  <c r="B2021"/>
  <c r="D2021"/>
  <c r="B2022"/>
  <c r="D2022"/>
  <c r="B2023"/>
  <c r="D2023"/>
  <c r="B2024"/>
  <c r="D2024"/>
  <c r="B2025"/>
  <c r="D2025"/>
  <c r="B2026"/>
  <c r="D2026"/>
  <c r="D2027"/>
  <c r="D2028"/>
  <c r="D2029"/>
  <c r="B2030"/>
  <c r="B2031"/>
  <c r="D2031" s="1"/>
  <c r="B2032"/>
  <c r="B2033"/>
  <c r="D2033" s="1"/>
  <c r="D2034"/>
  <c r="B2035"/>
  <c r="D2035"/>
  <c r="B2036"/>
  <c r="D2036"/>
  <c r="B2037"/>
  <c r="D2037"/>
  <c r="B2038"/>
  <c r="D2038"/>
  <c r="B2039"/>
  <c r="D2039"/>
  <c r="B2040"/>
  <c r="D2040"/>
  <c r="B2041"/>
  <c r="D2041"/>
  <c r="B2042"/>
  <c r="D2042"/>
  <c r="B2043"/>
  <c r="D2043"/>
  <c r="B2044"/>
  <c r="D2044"/>
  <c r="B2045"/>
  <c r="D2045"/>
  <c r="B2046"/>
  <c r="D2046"/>
  <c r="B2047"/>
  <c r="D2047"/>
  <c r="B2048"/>
  <c r="D2048"/>
  <c r="B2049"/>
  <c r="B2050"/>
  <c r="D2050" s="1"/>
  <c r="B2051"/>
  <c r="B2052"/>
  <c r="B2053"/>
  <c r="D2054"/>
  <c r="D2055"/>
  <c r="D2056"/>
  <c r="C2058"/>
  <c r="D2058" s="1"/>
  <c r="D2059"/>
  <c r="D2060"/>
  <c r="B2061"/>
  <c r="D2061" s="1"/>
  <c r="B2062"/>
  <c r="D2062" s="1"/>
  <c r="B2063"/>
  <c r="D2063" s="1"/>
  <c r="B2064"/>
  <c r="D2064" s="1"/>
  <c r="B2065"/>
  <c r="D2065" s="1"/>
  <c r="B2066"/>
  <c r="D2066" s="1"/>
  <c r="B2067"/>
  <c r="D2067" s="1"/>
  <c r="B2068"/>
  <c r="D2068" s="1"/>
  <c r="B2069"/>
  <c r="D2069" s="1"/>
  <c r="B2070"/>
  <c r="D2070" s="1"/>
  <c r="B2071"/>
  <c r="D2071" s="1"/>
  <c r="B2072"/>
  <c r="D2072" s="1"/>
  <c r="B2073"/>
  <c r="D2073" s="1"/>
  <c r="B2074"/>
  <c r="D2074" s="1"/>
  <c r="B2075"/>
  <c r="D2075" s="1"/>
  <c r="B2076"/>
  <c r="D2076" s="1"/>
  <c r="B2078"/>
  <c r="D2078" s="1"/>
  <c r="B2079"/>
  <c r="D2079" s="1"/>
  <c r="B2080"/>
  <c r="D2080" s="1"/>
  <c r="B2081"/>
  <c r="D2081" s="1"/>
  <c r="B2082"/>
  <c r="D2082" s="1"/>
  <c r="B2083"/>
  <c r="D2083" s="1"/>
  <c r="B2084"/>
  <c r="D2084" s="1"/>
  <c r="B2085"/>
  <c r="D2085" s="1"/>
  <c r="B2086"/>
  <c r="D2086" s="1"/>
  <c r="B2087"/>
  <c r="D2087" s="1"/>
  <c r="B2088"/>
  <c r="D2088" s="1"/>
  <c r="B2089"/>
  <c r="D2089" s="1"/>
  <c r="B2090"/>
  <c r="D2090" s="1"/>
  <c r="B2091"/>
  <c r="D2091" s="1"/>
  <c r="B2092"/>
  <c r="D2092" s="1"/>
  <c r="B2093"/>
  <c r="D2093" s="1"/>
  <c r="B2094"/>
  <c r="D2094" s="1"/>
  <c r="B2095"/>
  <c r="D2095" s="1"/>
  <c r="B2096"/>
  <c r="D2096" s="1"/>
  <c r="B2097"/>
  <c r="D2097" s="1"/>
  <c r="B2098"/>
  <c r="D2098" s="1"/>
  <c r="B2099"/>
  <c r="D2099" s="1"/>
  <c r="B2100"/>
  <c r="D2100" s="1"/>
  <c r="B2101"/>
  <c r="D2101" s="1"/>
  <c r="B2102"/>
  <c r="D2102" s="1"/>
  <c r="B2103"/>
  <c r="D2103" s="1"/>
  <c r="B2104"/>
  <c r="D2104" s="1"/>
  <c r="D2105"/>
  <c r="D2106"/>
  <c r="D2107"/>
  <c r="D2108"/>
  <c r="B2113"/>
  <c r="D2113" s="1"/>
  <c r="B2114"/>
  <c r="D2114" s="1"/>
  <c r="B2115"/>
  <c r="D2115" s="1"/>
  <c r="B2116"/>
  <c r="B2117"/>
  <c r="D2117" s="1"/>
  <c r="B2118"/>
  <c r="D2118" s="1"/>
  <c r="D2119"/>
  <c r="D2120"/>
  <c r="D2121"/>
  <c r="B2122"/>
  <c r="D2122" s="1"/>
  <c r="B2123"/>
  <c r="B2124"/>
  <c r="B2125"/>
  <c r="B2126"/>
  <c r="B2127"/>
  <c r="B2128"/>
  <c r="B2129"/>
  <c r="B2130"/>
  <c r="D2130" s="1"/>
  <c r="B2131"/>
  <c r="B2132"/>
  <c r="B2133"/>
  <c r="B2134"/>
  <c r="D2134" s="1"/>
  <c r="B2135"/>
  <c r="B2136"/>
  <c r="B2137"/>
  <c r="B2138"/>
  <c r="D2138" s="1"/>
  <c r="B2139"/>
  <c r="B2140"/>
  <c r="D2141"/>
  <c r="D2142"/>
  <c r="B2143"/>
  <c r="B2144"/>
  <c r="D2144" s="1"/>
  <c r="B2145"/>
  <c r="B2146"/>
  <c r="B2147"/>
  <c r="B2148"/>
  <c r="D2148" s="1"/>
  <c r="B2149"/>
  <c r="D2149" s="1"/>
  <c r="B2150"/>
  <c r="B2151"/>
  <c r="D2151" s="1"/>
  <c r="B2152"/>
  <c r="B2153"/>
  <c r="D2153" s="1"/>
  <c r="B2154"/>
  <c r="B2155"/>
  <c r="D2155" s="1"/>
  <c r="B2156"/>
  <c r="D2156" s="1"/>
  <c r="B2157"/>
  <c r="D2157" s="1"/>
  <c r="B2158"/>
  <c r="B2159"/>
  <c r="D2159" s="1"/>
  <c r="B2160"/>
  <c r="B2161"/>
  <c r="D2161" s="1"/>
  <c r="D2162"/>
  <c r="D2163"/>
  <c r="D2164"/>
  <c r="D2165"/>
  <c r="B2166"/>
  <c r="B2170"/>
  <c r="B2110" s="1"/>
  <c r="D2110" s="1"/>
  <c r="B2173"/>
  <c r="B2174"/>
  <c r="D2174" s="1"/>
  <c r="B2175"/>
  <c r="D2175" s="1"/>
  <c r="B2176"/>
  <c r="D2176" s="1"/>
  <c r="B2177"/>
  <c r="B2178"/>
  <c r="D2178" s="1"/>
  <c r="B2179"/>
  <c r="B2180"/>
  <c r="B2713" s="1"/>
  <c r="D2713" s="1"/>
  <c r="B2181"/>
  <c r="B2182"/>
  <c r="B2715" s="1"/>
  <c r="D2715" s="1"/>
  <c r="B2183"/>
  <c r="D2183" s="1"/>
  <c r="B2184"/>
  <c r="B2717" s="1"/>
  <c r="D2717" s="1"/>
  <c r="D2185"/>
  <c r="D2186"/>
  <c r="D2189"/>
  <c r="D2190"/>
  <c r="B2191"/>
  <c r="B2192"/>
  <c r="D2192" s="1"/>
  <c r="B2193"/>
  <c r="B2194"/>
  <c r="D2194" s="1"/>
  <c r="B2195"/>
  <c r="B2196"/>
  <c r="D2196" s="1"/>
  <c r="B2197"/>
  <c r="B2198"/>
  <c r="D2198" s="1"/>
  <c r="B2199"/>
  <c r="B2200"/>
  <c r="D2200" s="1"/>
  <c r="B2201"/>
  <c r="B2202"/>
  <c r="D2202" s="1"/>
  <c r="B2203"/>
  <c r="B2204"/>
  <c r="D2204" s="1"/>
  <c r="B2205"/>
  <c r="B2206"/>
  <c r="B2739" s="1"/>
  <c r="D2739" s="1"/>
  <c r="B2207"/>
  <c r="B2208"/>
  <c r="B2741" s="1"/>
  <c r="D2741" s="1"/>
  <c r="B2209"/>
  <c r="B2210"/>
  <c r="B2743" s="1"/>
  <c r="D2743" s="1"/>
  <c r="B2211"/>
  <c r="B2212"/>
  <c r="B2745" s="1"/>
  <c r="D2745" s="1"/>
  <c r="B2213"/>
  <c r="B2214"/>
  <c r="B2747" s="1"/>
  <c r="D2747" s="1"/>
  <c r="B2215"/>
  <c r="B2216"/>
  <c r="B2749" s="1"/>
  <c r="D2749" s="1"/>
  <c r="B2217"/>
  <c r="B2218"/>
  <c r="B2751" s="1"/>
  <c r="D2751" s="1"/>
  <c r="B2219"/>
  <c r="B2220"/>
  <c r="B2753" s="1"/>
  <c r="D2753" s="1"/>
  <c r="B2221"/>
  <c r="B2222"/>
  <c r="D2222" s="1"/>
  <c r="B2223"/>
  <c r="B2224"/>
  <c r="D2224" s="1"/>
  <c r="B2225"/>
  <c r="B2226"/>
  <c r="D2226" s="1"/>
  <c r="B2227"/>
  <c r="B2228"/>
  <c r="D2228" s="1"/>
  <c r="B2229"/>
  <c r="B2230"/>
  <c r="D2230" s="1"/>
  <c r="B2231"/>
  <c r="B2232"/>
  <c r="D2232" s="1"/>
  <c r="B2233"/>
  <c r="B2234"/>
  <c r="D2234" s="1"/>
  <c r="D2235"/>
  <c r="D2236"/>
  <c r="D2237"/>
  <c r="D2238"/>
  <c r="B2239"/>
  <c r="B2241"/>
  <c r="D2241" s="1"/>
  <c r="B2242"/>
  <c r="B2243"/>
  <c r="B2776" s="1"/>
  <c r="B2244"/>
  <c r="B2245"/>
  <c r="B2778" s="1"/>
  <c r="D2778" s="1"/>
  <c r="B2246"/>
  <c r="B2247"/>
  <c r="B2780" s="1"/>
  <c r="D2780" s="1"/>
  <c r="B2249"/>
  <c r="B2250"/>
  <c r="B2783" s="1"/>
  <c r="D2783" s="1"/>
  <c r="B2251"/>
  <c r="B2252"/>
  <c r="B2785" s="1"/>
  <c r="D2785" s="1"/>
  <c r="B2253"/>
  <c r="B2254"/>
  <c r="B2787" s="1"/>
  <c r="D2787" s="1"/>
  <c r="B2255"/>
  <c r="B2256"/>
  <c r="B2789" s="1"/>
  <c r="D2789" s="1"/>
  <c r="B2257"/>
  <c r="B2258"/>
  <c r="B2791" s="1"/>
  <c r="D2791" s="1"/>
  <c r="B2259"/>
  <c r="B2260"/>
  <c r="D2260" s="1"/>
  <c r="B2261"/>
  <c r="B2262"/>
  <c r="D2262" s="1"/>
  <c r="B2263"/>
  <c r="B2264"/>
  <c r="D2264" s="1"/>
  <c r="B2266"/>
  <c r="B2267"/>
  <c r="D2267" s="1"/>
  <c r="B2268"/>
  <c r="B2269"/>
  <c r="D2269" s="1"/>
  <c r="B2270"/>
  <c r="B2271"/>
  <c r="D2271" s="1"/>
  <c r="B2272"/>
  <c r="B2273"/>
  <c r="D2273" s="1"/>
  <c r="D2274"/>
  <c r="C2276"/>
  <c r="D2276" s="1"/>
  <c r="D2277"/>
  <c r="D2278"/>
  <c r="B2279"/>
  <c r="B2276" s="1"/>
  <c r="D2280"/>
  <c r="D2281"/>
  <c r="D2282"/>
  <c r="D2283"/>
  <c r="D2284"/>
  <c r="D2285"/>
  <c r="D2286"/>
  <c r="D2287"/>
  <c r="D2288"/>
  <c r="D2289"/>
  <c r="D2290"/>
  <c r="D2291"/>
  <c r="D2292"/>
  <c r="D2296"/>
  <c r="D2297"/>
  <c r="D2298"/>
  <c r="D2299"/>
  <c r="D2300"/>
  <c r="D2301"/>
  <c r="D2302"/>
  <c r="D2303"/>
  <c r="D2304"/>
  <c r="D2305"/>
  <c r="D2306"/>
  <c r="D2307"/>
  <c r="D2308"/>
  <c r="D2309"/>
  <c r="D2310"/>
  <c r="D2311"/>
  <c r="D2312"/>
  <c r="D2313"/>
  <c r="D2314"/>
  <c r="D2315"/>
  <c r="D2316"/>
  <c r="D2317"/>
  <c r="D2318"/>
  <c r="D2319"/>
  <c r="D2320"/>
  <c r="D2321"/>
  <c r="D2322"/>
  <c r="D2323"/>
  <c r="D2324"/>
  <c r="D2325"/>
  <c r="D2326"/>
  <c r="D2327"/>
  <c r="D2328"/>
  <c r="D2329"/>
  <c r="D2330"/>
  <c r="D2331"/>
  <c r="D2332"/>
  <c r="D2333"/>
  <c r="D2334"/>
  <c r="D2335"/>
  <c r="D2337"/>
  <c r="D2382"/>
  <c r="D2383"/>
  <c r="D2384"/>
  <c r="D2385"/>
  <c r="D2421"/>
  <c r="D2422"/>
  <c r="C2423"/>
  <c r="D2423" s="1"/>
  <c r="D2424"/>
  <c r="D2425"/>
  <c r="B2441"/>
  <c r="D2441" s="1"/>
  <c r="B2457"/>
  <c r="D2457" s="1"/>
  <c r="D2470"/>
  <c r="D2471"/>
  <c r="D2472"/>
  <c r="D2473"/>
  <c r="B2479"/>
  <c r="D2479" s="1"/>
  <c r="B2481"/>
  <c r="D2481"/>
  <c r="B2482"/>
  <c r="D2482" s="1"/>
  <c r="B2483"/>
  <c r="D2483" s="1"/>
  <c r="B2484"/>
  <c r="D2484" s="1"/>
  <c r="B2485"/>
  <c r="D2485" s="1"/>
  <c r="D2486"/>
  <c r="B2487"/>
  <c r="D2487" s="1"/>
  <c r="B2488"/>
  <c r="D2488" s="1"/>
  <c r="B2489"/>
  <c r="D2489" s="1"/>
  <c r="B2490"/>
  <c r="D2490" s="1"/>
  <c r="B2491"/>
  <c r="D2491" s="1"/>
  <c r="B2492"/>
  <c r="D2492" s="1"/>
  <c r="B2493"/>
  <c r="D2493" s="1"/>
  <c r="B2494"/>
  <c r="D2494" s="1"/>
  <c r="B2495"/>
  <c r="D2495" s="1"/>
  <c r="B2496"/>
  <c r="D2496" s="1"/>
  <c r="B2497"/>
  <c r="D2497" s="1"/>
  <c r="B2498"/>
  <c r="D2498" s="1"/>
  <c r="B2499"/>
  <c r="D2499" s="1"/>
  <c r="B2500"/>
  <c r="D2500" s="1"/>
  <c r="B2501"/>
  <c r="D2501" s="1"/>
  <c r="B2502"/>
  <c r="D2502" s="1"/>
  <c r="B2503"/>
  <c r="D2503" s="1"/>
  <c r="B2504"/>
  <c r="D2504" s="1"/>
  <c r="B2505"/>
  <c r="D2505" s="1"/>
  <c r="D2506"/>
  <c r="D2507"/>
  <c r="D2508"/>
  <c r="B2510"/>
  <c r="D2510" s="1"/>
  <c r="B2512"/>
  <c r="D2512" s="1"/>
  <c r="D2513"/>
  <c r="B2514"/>
  <c r="D2514" s="1"/>
  <c r="B2515"/>
  <c r="D2515" s="1"/>
  <c r="B2516"/>
  <c r="D2516" s="1"/>
  <c r="B2517"/>
  <c r="D2517" s="1"/>
  <c r="B2518"/>
  <c r="D2518" s="1"/>
  <c r="B2519"/>
  <c r="D2519" s="1"/>
  <c r="B2520"/>
  <c r="D2520" s="1"/>
  <c r="B2521"/>
  <c r="D2521" s="1"/>
  <c r="B2522"/>
  <c r="D2522" s="1"/>
  <c r="B2523"/>
  <c r="D2523" s="1"/>
  <c r="B2524"/>
  <c r="D2524" s="1"/>
  <c r="B2525"/>
  <c r="D2525" s="1"/>
  <c r="B2526"/>
  <c r="D2526" s="1"/>
  <c r="B2527"/>
  <c r="D2527" s="1"/>
  <c r="B2528"/>
  <c r="D2528" s="1"/>
  <c r="B2529"/>
  <c r="D2529" s="1"/>
  <c r="B2530"/>
  <c r="D2530" s="1"/>
  <c r="B2531"/>
  <c r="D2531" s="1"/>
  <c r="B2532"/>
  <c r="D2532" s="1"/>
  <c r="D2533"/>
  <c r="D2534"/>
  <c r="D2535"/>
  <c r="B2536"/>
  <c r="D2536" s="1"/>
  <c r="B2537"/>
  <c r="D2537" s="1"/>
  <c r="B2538"/>
  <c r="D2538" s="1"/>
  <c r="B2539"/>
  <c r="D2539" s="1"/>
  <c r="D2540"/>
  <c r="B2541"/>
  <c r="D2541" s="1"/>
  <c r="B2542"/>
  <c r="D2542" s="1"/>
  <c r="B2543"/>
  <c r="D2543" s="1"/>
  <c r="B2544"/>
  <c r="D2544" s="1"/>
  <c r="B2545"/>
  <c r="D2545" s="1"/>
  <c r="B2546"/>
  <c r="D2546" s="1"/>
  <c r="B2547"/>
  <c r="D2547" s="1"/>
  <c r="B2548"/>
  <c r="D2548" s="1"/>
  <c r="B2549"/>
  <c r="D2549" s="1"/>
  <c r="B2550"/>
  <c r="D2550" s="1"/>
  <c r="B2551"/>
  <c r="D2551" s="1"/>
  <c r="B2552"/>
  <c r="D2552" s="1"/>
  <c r="B2553"/>
  <c r="D2553" s="1"/>
  <c r="B2554"/>
  <c r="D2554" s="1"/>
  <c r="B2555"/>
  <c r="D2555" s="1"/>
  <c r="B2556"/>
  <c r="D2556" s="1"/>
  <c r="B2557"/>
  <c r="D2557" s="1"/>
  <c r="B2558"/>
  <c r="D2558" s="1"/>
  <c r="B2559"/>
  <c r="D2559" s="1"/>
  <c r="D2560"/>
  <c r="D2561"/>
  <c r="D2562"/>
  <c r="B2564"/>
  <c r="D2564" s="1"/>
  <c r="B2566"/>
  <c r="D2566" s="1"/>
  <c r="B2567"/>
  <c r="D2567"/>
  <c r="B2569"/>
  <c r="D2569" s="1"/>
  <c r="B2571"/>
  <c r="D2571" s="1"/>
  <c r="B2573"/>
  <c r="D2573" s="1"/>
  <c r="B2575"/>
  <c r="D2575" s="1"/>
  <c r="B2577"/>
  <c r="D2577" s="1"/>
  <c r="B2579"/>
  <c r="D2579" s="1"/>
  <c r="B2581"/>
  <c r="D2581" s="1"/>
  <c r="D2587"/>
  <c r="D2588"/>
  <c r="D2589"/>
  <c r="C2591"/>
  <c r="D2591" s="1"/>
  <c r="D2592"/>
  <c r="D2593"/>
  <c r="D2638"/>
  <c r="D2639"/>
  <c r="D2640"/>
  <c r="D2641"/>
  <c r="D2652"/>
  <c r="D2653"/>
  <c r="D2654"/>
  <c r="B2667"/>
  <c r="D2667" s="1"/>
  <c r="D2674"/>
  <c r="D2675"/>
  <c r="B2677"/>
  <c r="D2677" s="1"/>
  <c r="B2689"/>
  <c r="D2689" s="1"/>
  <c r="D2695"/>
  <c r="D2696"/>
  <c r="D2697"/>
  <c r="D2698"/>
  <c r="B2708"/>
  <c r="D2708" s="1"/>
  <c r="B2716"/>
  <c r="D2716" s="1"/>
  <c r="D2718"/>
  <c r="D2719"/>
  <c r="D2722"/>
  <c r="D2723"/>
  <c r="D2768"/>
  <c r="D2769"/>
  <c r="D2770"/>
  <c r="D2771"/>
  <c r="D2807"/>
  <c r="C2809"/>
  <c r="D2809" s="1"/>
  <c r="D2810"/>
  <c r="D2811"/>
  <c r="B2812"/>
  <c r="D2812" s="1"/>
  <c r="D2813"/>
  <c r="D2814"/>
  <c r="D2815"/>
  <c r="D2816"/>
  <c r="D2817"/>
  <c r="D2818"/>
  <c r="D2819"/>
  <c r="D2820"/>
  <c r="D2821"/>
  <c r="D2822"/>
  <c r="D2823"/>
  <c r="D2824"/>
  <c r="D2825"/>
  <c r="D2829"/>
  <c r="D2830"/>
  <c r="D2831"/>
  <c r="D2832"/>
  <c r="D2833"/>
  <c r="D2834"/>
  <c r="D2835"/>
  <c r="D2836"/>
  <c r="D2837"/>
  <c r="D2838"/>
  <c r="D2839"/>
  <c r="D2840"/>
  <c r="D2841"/>
  <c r="D2842"/>
  <c r="D2843"/>
  <c r="D2844"/>
  <c r="D2845"/>
  <c r="D2846"/>
  <c r="D2847"/>
  <c r="D2848"/>
  <c r="D2849"/>
  <c r="D2850"/>
  <c r="D2851"/>
  <c r="D2852"/>
  <c r="D2853"/>
  <c r="D2854"/>
  <c r="D2855"/>
  <c r="D2856"/>
  <c r="D2857"/>
  <c r="D2858"/>
  <c r="D2859"/>
  <c r="D2860"/>
  <c r="D2861"/>
  <c r="D2862"/>
  <c r="D2863"/>
  <c r="D2864"/>
  <c r="D2865"/>
  <c r="D2866"/>
  <c r="D2867"/>
  <c r="D2868"/>
  <c r="D2869"/>
  <c r="D2870"/>
  <c r="B2871"/>
  <c r="D2871" s="1"/>
  <c r="B2872"/>
  <c r="D2872" s="1"/>
  <c r="B2873"/>
  <c r="D2873" s="1"/>
  <c r="B2874"/>
  <c r="D2874" s="1"/>
  <c r="B2875"/>
  <c r="D2875" s="1"/>
  <c r="B2876"/>
  <c r="D2876" s="1"/>
  <c r="B2877"/>
  <c r="D2877" s="1"/>
  <c r="B2878"/>
  <c r="D2878" s="1"/>
  <c r="B2879"/>
  <c r="D2879" s="1"/>
  <c r="B2880"/>
  <c r="D2880" s="1"/>
  <c r="B2881"/>
  <c r="D2881" s="1"/>
  <c r="B2882"/>
  <c r="D2882" s="1"/>
  <c r="B2883"/>
  <c r="D2883" s="1"/>
  <c r="B2884"/>
  <c r="D2884" s="1"/>
  <c r="B2886"/>
  <c r="D2886" s="1"/>
  <c r="B2887"/>
  <c r="D2887" s="1"/>
  <c r="B2888"/>
  <c r="D2888" s="1"/>
  <c r="B2889"/>
  <c r="D2889" s="1"/>
  <c r="B2890"/>
  <c r="D2890" s="1"/>
  <c r="B2891"/>
  <c r="D2891" s="1"/>
  <c r="B2892"/>
  <c r="D2892" s="1"/>
  <c r="B2893"/>
  <c r="D2893" s="1"/>
  <c r="B2894"/>
  <c r="D2894" s="1"/>
  <c r="B2895"/>
  <c r="D2895" s="1"/>
  <c r="B2896"/>
  <c r="D2896" s="1"/>
  <c r="B2897"/>
  <c r="D2897" s="1"/>
  <c r="B2898"/>
  <c r="D2898" s="1"/>
  <c r="B2899"/>
  <c r="D2899" s="1"/>
  <c r="B2900"/>
  <c r="D2900" s="1"/>
  <c r="B2901"/>
  <c r="D2901" s="1"/>
  <c r="B2902"/>
  <c r="D2902" s="1"/>
  <c r="B2903"/>
  <c r="D2903" s="1"/>
  <c r="B2904"/>
  <c r="D2904" s="1"/>
  <c r="B2905"/>
  <c r="D2905" s="1"/>
  <c r="B2906"/>
  <c r="D2906" s="1"/>
  <c r="B2907"/>
  <c r="D2907" s="1"/>
  <c r="B2908"/>
  <c r="D2908" s="1"/>
  <c r="B2909"/>
  <c r="D2909" s="1"/>
  <c r="B2910"/>
  <c r="D2910" s="1"/>
  <c r="B2911"/>
  <c r="D2911" s="1"/>
  <c r="B2912"/>
  <c r="D2912" s="1"/>
  <c r="B2913"/>
  <c r="D2913" s="1"/>
  <c r="B2914"/>
  <c r="D2914" s="1"/>
  <c r="D2915"/>
  <c r="D2916"/>
  <c r="D2917"/>
  <c r="D2918"/>
  <c r="B2919"/>
  <c r="D2919" s="1"/>
  <c r="B2921"/>
  <c r="D2921" s="1"/>
  <c r="B2923"/>
  <c r="D2923" s="1"/>
  <c r="B2924"/>
  <c r="D2924" s="1"/>
  <c r="B2925"/>
  <c r="D2925" s="1"/>
  <c r="B2926"/>
  <c r="D2926" s="1"/>
  <c r="B2927"/>
  <c r="D2927" s="1"/>
  <c r="B2928"/>
  <c r="D2928" s="1"/>
  <c r="B2929"/>
  <c r="D2929" s="1"/>
  <c r="B2930"/>
  <c r="D2930" s="1"/>
  <c r="B2931"/>
  <c r="D2931" s="1"/>
  <c r="B2932"/>
  <c r="D2932" s="1"/>
  <c r="B2933"/>
  <c r="D2933" s="1"/>
  <c r="B2934"/>
  <c r="D2934" s="1"/>
  <c r="B2935"/>
  <c r="D2935" s="1"/>
  <c r="B2936"/>
  <c r="D2936" s="1"/>
  <c r="B2937"/>
  <c r="D2937" s="1"/>
  <c r="B2938"/>
  <c r="D2938" s="1"/>
  <c r="B2939"/>
  <c r="D2939" s="1"/>
  <c r="B2940"/>
  <c r="D2940" s="1"/>
  <c r="B2941"/>
  <c r="D2941" s="1"/>
  <c r="B2942"/>
  <c r="D2942" s="1"/>
  <c r="B2943"/>
  <c r="D2943" s="1"/>
  <c r="B2944"/>
  <c r="D2944" s="1"/>
  <c r="B2946"/>
  <c r="D2946" s="1"/>
  <c r="B2947"/>
  <c r="D2947" s="1"/>
  <c r="B2948"/>
  <c r="D2948" s="1"/>
  <c r="B2949"/>
  <c r="D2949" s="1"/>
  <c r="B2950"/>
  <c r="D2950" s="1"/>
  <c r="B2951"/>
  <c r="D2951" s="1"/>
  <c r="B2952"/>
  <c r="D2952" s="1"/>
  <c r="B2953"/>
  <c r="D2953" s="1"/>
  <c r="D2954"/>
  <c r="D2955"/>
  <c r="C2956"/>
  <c r="D2956" s="1"/>
  <c r="D2957"/>
  <c r="D2958"/>
  <c r="B2959"/>
  <c r="D2959" s="1"/>
  <c r="B2960"/>
  <c r="D2960" s="1"/>
  <c r="B2961"/>
  <c r="D2961" s="1"/>
  <c r="B2962"/>
  <c r="D2962" s="1"/>
  <c r="B2963"/>
  <c r="D2963" s="1"/>
  <c r="B2964"/>
  <c r="D2964" s="1"/>
  <c r="B2965"/>
  <c r="D2965" s="1"/>
  <c r="B2966"/>
  <c r="D2966" s="1"/>
  <c r="B2967"/>
  <c r="D2967" s="1"/>
  <c r="B2968"/>
  <c r="D2968" s="1"/>
  <c r="B2969"/>
  <c r="D2969" s="1"/>
  <c r="B2970"/>
  <c r="D2970" s="1"/>
  <c r="B2971"/>
  <c r="D2971" s="1"/>
  <c r="B2972"/>
  <c r="D2972" s="1"/>
  <c r="B2973"/>
  <c r="D2973" s="1"/>
  <c r="B2974"/>
  <c r="D2974" s="1"/>
  <c r="B2975"/>
  <c r="D2975" s="1"/>
  <c r="B2976"/>
  <c r="D2976" s="1"/>
  <c r="B2977"/>
  <c r="D2977" s="1"/>
  <c r="B2978"/>
  <c r="D2978" s="1"/>
  <c r="B2979"/>
  <c r="D2979" s="1"/>
  <c r="B2980"/>
  <c r="D2980" s="1"/>
  <c r="B2981"/>
  <c r="D2981" s="1"/>
  <c r="B2982"/>
  <c r="D2982" s="1"/>
  <c r="B2983"/>
  <c r="D2983" s="1"/>
  <c r="B2984"/>
  <c r="D2984" s="1"/>
  <c r="B2985"/>
  <c r="D2985" s="1"/>
  <c r="B2986"/>
  <c r="D2986" s="1"/>
  <c r="B2987"/>
  <c r="D2987" s="1"/>
  <c r="B2988"/>
  <c r="D2988" s="1"/>
  <c r="B2989"/>
  <c r="D2989" s="1"/>
  <c r="B2990"/>
  <c r="D2990" s="1"/>
  <c r="B2991"/>
  <c r="D2991" s="1"/>
  <c r="B2992"/>
  <c r="D2992" s="1"/>
  <c r="B2993"/>
  <c r="D2993" s="1"/>
  <c r="B2994"/>
  <c r="D2994" s="1"/>
  <c r="B2995"/>
  <c r="D2995" s="1"/>
  <c r="B2996"/>
  <c r="D2996" s="1"/>
  <c r="B2997"/>
  <c r="D2997" s="1"/>
  <c r="B2998"/>
  <c r="D2998" s="1"/>
  <c r="B2999"/>
  <c r="D2999" s="1"/>
  <c r="B3000"/>
  <c r="D3000" s="1"/>
  <c r="B3001"/>
  <c r="D3001" s="1"/>
  <c r="B3002"/>
  <c r="D3002" s="1"/>
  <c r="D3003"/>
  <c r="D3004"/>
  <c r="D3005"/>
  <c r="D3006"/>
  <c r="B3008"/>
  <c r="D3008" s="1"/>
  <c r="B3009"/>
  <c r="D3009" s="1"/>
  <c r="B3010"/>
  <c r="D3010" s="1"/>
  <c r="B3012"/>
  <c r="D3012" s="1"/>
  <c r="B3013"/>
  <c r="D3013" s="1"/>
  <c r="D3014"/>
  <c r="B3015"/>
  <c r="D3015" s="1"/>
  <c r="B3016"/>
  <c r="D3016" s="1"/>
  <c r="B3017"/>
  <c r="D3017" s="1"/>
  <c r="B3018"/>
  <c r="D3018" s="1"/>
  <c r="D3019"/>
  <c r="B3020"/>
  <c r="D3020" s="1"/>
  <c r="B3021"/>
  <c r="D3021" s="1"/>
  <c r="B3022"/>
  <c r="D3022" s="1"/>
  <c r="B3023"/>
  <c r="D3023" s="1"/>
  <c r="B3024"/>
  <c r="D3024" s="1"/>
  <c r="B3025"/>
  <c r="D3025" s="1"/>
  <c r="B3026"/>
  <c r="D3026" s="1"/>
  <c r="B3027"/>
  <c r="D3027" s="1"/>
  <c r="B3028"/>
  <c r="D3028" s="1"/>
  <c r="B3029"/>
  <c r="D3029" s="1"/>
  <c r="B3030"/>
  <c r="D3030" s="1"/>
  <c r="B3031"/>
  <c r="D3031" s="1"/>
  <c r="B3032"/>
  <c r="D3032" s="1"/>
  <c r="B3033"/>
  <c r="D3033" s="1"/>
  <c r="B3034"/>
  <c r="D3034" s="1"/>
  <c r="B3035"/>
  <c r="D3035" s="1"/>
  <c r="B3036"/>
  <c r="D3036" s="1"/>
  <c r="B3037"/>
  <c r="D3037" s="1"/>
  <c r="B3038"/>
  <c r="D3038" s="1"/>
  <c r="D3039"/>
  <c r="D3040"/>
  <c r="D3041"/>
  <c r="B3042"/>
  <c r="D3042" s="1"/>
  <c r="B3043"/>
  <c r="D3043" s="1"/>
  <c r="B3044"/>
  <c r="D3044" s="1"/>
  <c r="B3045"/>
  <c r="D3045" s="1"/>
  <c r="D3046"/>
  <c r="B3047"/>
  <c r="D3047" s="1"/>
  <c r="B3048"/>
  <c r="D3048" s="1"/>
  <c r="B3049"/>
  <c r="D3049" s="1"/>
  <c r="B3050"/>
  <c r="D3050" s="1"/>
  <c r="B3051"/>
  <c r="D3051" s="1"/>
  <c r="B3052"/>
  <c r="D3052" s="1"/>
  <c r="B3053"/>
  <c r="D3053" s="1"/>
  <c r="B3054"/>
  <c r="D3054" s="1"/>
  <c r="B3055"/>
  <c r="D3055" s="1"/>
  <c r="B3056"/>
  <c r="D3056" s="1"/>
  <c r="B3057"/>
  <c r="D3057" s="1"/>
  <c r="B3058"/>
  <c r="D3058" s="1"/>
  <c r="B3059"/>
  <c r="D3059" s="1"/>
  <c r="B3060"/>
  <c r="D3060" s="1"/>
  <c r="B3061"/>
  <c r="D3061" s="1"/>
  <c r="B3062"/>
  <c r="D3062" s="1"/>
  <c r="B3063"/>
  <c r="D3063" s="1"/>
  <c r="B3064"/>
  <c r="D3064" s="1"/>
  <c r="B3065"/>
  <c r="D3065" s="1"/>
  <c r="D3066"/>
  <c r="D3067"/>
  <c r="D3068"/>
  <c r="B3069"/>
  <c r="D3069" s="1"/>
  <c r="B3070"/>
  <c r="D3070" s="1"/>
  <c r="B3071"/>
  <c r="D3071" s="1"/>
  <c r="B3072"/>
  <c r="D3072" s="1"/>
  <c r="D3073"/>
  <c r="B3074"/>
  <c r="D3074" s="1"/>
  <c r="B3075"/>
  <c r="D3075" s="1"/>
  <c r="B3076"/>
  <c r="D3076" s="1"/>
  <c r="B3077"/>
  <c r="D3077" s="1"/>
  <c r="B3078"/>
  <c r="D3078" s="1"/>
  <c r="B3079"/>
  <c r="D3079" s="1"/>
  <c r="B3080"/>
  <c r="D3080" s="1"/>
  <c r="B3081"/>
  <c r="D3081" s="1"/>
  <c r="B3082"/>
  <c r="D3082" s="1"/>
  <c r="B3083"/>
  <c r="D3083" s="1"/>
  <c r="B3084"/>
  <c r="D3084" s="1"/>
  <c r="B3085"/>
  <c r="D3085" s="1"/>
  <c r="B3086"/>
  <c r="D3086" s="1"/>
  <c r="B3087"/>
  <c r="D3087" s="1"/>
  <c r="B3088"/>
  <c r="D3088" s="1"/>
  <c r="B3089"/>
  <c r="D3089" s="1"/>
  <c r="B3090"/>
  <c r="D3090" s="1"/>
  <c r="B3091"/>
  <c r="D3091" s="1"/>
  <c r="B3092"/>
  <c r="D3092" s="1"/>
  <c r="D3093"/>
  <c r="D3094"/>
  <c r="D3095"/>
  <c r="B3096"/>
  <c r="D3096" s="1"/>
  <c r="B3097"/>
  <c r="D3097" s="1"/>
  <c r="B3098"/>
  <c r="D3098" s="1"/>
  <c r="B3099"/>
  <c r="D3099" s="1"/>
  <c r="D3100"/>
  <c r="B3101"/>
  <c r="D3101" s="1"/>
  <c r="B3102"/>
  <c r="D3102" s="1"/>
  <c r="B3103"/>
  <c r="D3103" s="1"/>
  <c r="B3104"/>
  <c r="D3104" s="1"/>
  <c r="B3105"/>
  <c r="D3105" s="1"/>
  <c r="B3106"/>
  <c r="D3106" s="1"/>
  <c r="B3107"/>
  <c r="D3107" s="1"/>
  <c r="B3108"/>
  <c r="D3108" s="1"/>
  <c r="B3109"/>
  <c r="D3109" s="1"/>
  <c r="B3110"/>
  <c r="D3110" s="1"/>
  <c r="B3111"/>
  <c r="D3111" s="1"/>
  <c r="B3112"/>
  <c r="D3112" s="1"/>
  <c r="B3113"/>
  <c r="D3113" s="1"/>
  <c r="B3114"/>
  <c r="D3114" s="1"/>
  <c r="B3115"/>
  <c r="D3115" s="1"/>
  <c r="B3116"/>
  <c r="D3116" s="1"/>
  <c r="B3117"/>
  <c r="D3117" s="1"/>
  <c r="B3118"/>
  <c r="D3118" s="1"/>
  <c r="B3119"/>
  <c r="D3119" s="1"/>
  <c r="D3120"/>
  <c r="D3121"/>
  <c r="D3122"/>
  <c r="C3124"/>
  <c r="D3124" s="1"/>
  <c r="D3125"/>
  <c r="D3126"/>
  <c r="B3127"/>
  <c r="D3127" s="1"/>
  <c r="B3128"/>
  <c r="D3128" s="1"/>
  <c r="B3129"/>
  <c r="D3129" s="1"/>
  <c r="B3130"/>
  <c r="D3130" s="1"/>
  <c r="B3131"/>
  <c r="D3131" s="1"/>
  <c r="B3132"/>
  <c r="D3132" s="1"/>
  <c r="B3133"/>
  <c r="D3133" s="1"/>
  <c r="B3134"/>
  <c r="D3134" s="1"/>
  <c r="B3135"/>
  <c r="D3135" s="1"/>
  <c r="B3136"/>
  <c r="D3136" s="1"/>
  <c r="B3137"/>
  <c r="D3137" s="1"/>
  <c r="B3138"/>
  <c r="D3138" s="1"/>
  <c r="B3139"/>
  <c r="D3139" s="1"/>
  <c r="B3140"/>
  <c r="D3140" s="1"/>
  <c r="B3141"/>
  <c r="D3141" s="1"/>
  <c r="B3142"/>
  <c r="D3142" s="1"/>
  <c r="B3144"/>
  <c r="D3144" s="1"/>
  <c r="B3145"/>
  <c r="D3145" s="1"/>
  <c r="B3146"/>
  <c r="D3146" s="1"/>
  <c r="B3147"/>
  <c r="D3147" s="1"/>
  <c r="B3148"/>
  <c r="D3148" s="1"/>
  <c r="B3149"/>
  <c r="D3149" s="1"/>
  <c r="B3150"/>
  <c r="D3150" s="1"/>
  <c r="B3151"/>
  <c r="D3151" s="1"/>
  <c r="B3152"/>
  <c r="D3152" s="1"/>
  <c r="B3153"/>
  <c r="D3153" s="1"/>
  <c r="B3154"/>
  <c r="D3154" s="1"/>
  <c r="B3155"/>
  <c r="D3155" s="1"/>
  <c r="B3156"/>
  <c r="D3156" s="1"/>
  <c r="B3157"/>
  <c r="D3157" s="1"/>
  <c r="B3158"/>
  <c r="D3158" s="1"/>
  <c r="B3159"/>
  <c r="D3159" s="1"/>
  <c r="B3160"/>
  <c r="D3160" s="1"/>
  <c r="B3161"/>
  <c r="D3161" s="1"/>
  <c r="B3162"/>
  <c r="D3162" s="1"/>
  <c r="B3163"/>
  <c r="D3163" s="1"/>
  <c r="B3164"/>
  <c r="D3164" s="1"/>
  <c r="B3165"/>
  <c r="D3165" s="1"/>
  <c r="B3166"/>
  <c r="D3166" s="1"/>
  <c r="B3167"/>
  <c r="D3167" s="1"/>
  <c r="B3168"/>
  <c r="D3168" s="1"/>
  <c r="B3169"/>
  <c r="D3169" s="1"/>
  <c r="B3170"/>
  <c r="D3170" s="1"/>
  <c r="D3171"/>
  <c r="D3172"/>
  <c r="D3173"/>
  <c r="D3174"/>
  <c r="B3179"/>
  <c r="D3179" s="1"/>
  <c r="B3180"/>
  <c r="D3180" s="1"/>
  <c r="B3181"/>
  <c r="D3181" s="1"/>
  <c r="B3182"/>
  <c r="D3182" s="1"/>
  <c r="B3183"/>
  <c r="D3183" s="1"/>
  <c r="B3184"/>
  <c r="D3184" s="1"/>
  <c r="D3185"/>
  <c r="D3186"/>
  <c r="D3187"/>
  <c r="B3188"/>
  <c r="D3188" s="1"/>
  <c r="B3189"/>
  <c r="D3189" s="1"/>
  <c r="B3190"/>
  <c r="D3190" s="1"/>
  <c r="B3191"/>
  <c r="D3191" s="1"/>
  <c r="B3192"/>
  <c r="D3192" s="1"/>
  <c r="B3193"/>
  <c r="D3193" s="1"/>
  <c r="B3194"/>
  <c r="D3194" s="1"/>
  <c r="B3195"/>
  <c r="D3195" s="1"/>
  <c r="B3196"/>
  <c r="D3196" s="1"/>
  <c r="B3197"/>
  <c r="D3197" s="1"/>
  <c r="B3198"/>
  <c r="D3198" s="1"/>
  <c r="B3199"/>
  <c r="D3199" s="1"/>
  <c r="B3200"/>
  <c r="D3200" s="1"/>
  <c r="B3201"/>
  <c r="D3201" s="1"/>
  <c r="B3202"/>
  <c r="D3202" s="1"/>
  <c r="B3203"/>
  <c r="D3203" s="1"/>
  <c r="B3204"/>
  <c r="D3204" s="1"/>
  <c r="B3205"/>
  <c r="D3205" s="1"/>
  <c r="B3206"/>
  <c r="D3206" s="1"/>
  <c r="D3207"/>
  <c r="D3208"/>
  <c r="B3209"/>
  <c r="D3209" s="1"/>
  <c r="B3210"/>
  <c r="D3210" s="1"/>
  <c r="B3211"/>
  <c r="D3211" s="1"/>
  <c r="B3212"/>
  <c r="D3212" s="1"/>
  <c r="B3213"/>
  <c r="D3213" s="1"/>
  <c r="B3214"/>
  <c r="D3214" s="1"/>
  <c r="B3215"/>
  <c r="D3215" s="1"/>
  <c r="B3216"/>
  <c r="D3216" s="1"/>
  <c r="B3217"/>
  <c r="D3217" s="1"/>
  <c r="B3218"/>
  <c r="D3218" s="1"/>
  <c r="B3219"/>
  <c r="D3219" s="1"/>
  <c r="B3220"/>
  <c r="D3220" s="1"/>
  <c r="B3221"/>
  <c r="D3221" s="1"/>
  <c r="B3222"/>
  <c r="D3222" s="1"/>
  <c r="B3223"/>
  <c r="D3223" s="1"/>
  <c r="B3224"/>
  <c r="D3224" s="1"/>
  <c r="B3225"/>
  <c r="D3225" s="1"/>
  <c r="B3226"/>
  <c r="D3226" s="1"/>
  <c r="B3227"/>
  <c r="D3227" s="1"/>
  <c r="D3228"/>
  <c r="D3229"/>
  <c r="D3230"/>
  <c r="D3231"/>
  <c r="B3232"/>
  <c r="D3232" s="1"/>
  <c r="B3239"/>
  <c r="D3239" s="1"/>
  <c r="B3240"/>
  <c r="D3240" s="1"/>
  <c r="B3241"/>
  <c r="D3241" s="1"/>
  <c r="B3242"/>
  <c r="D3242" s="1"/>
  <c r="B3243"/>
  <c r="D3243" s="1"/>
  <c r="B3244"/>
  <c r="D3244" s="1"/>
  <c r="B3245"/>
  <c r="D3245" s="1"/>
  <c r="B3246"/>
  <c r="D3246" s="1"/>
  <c r="B3247"/>
  <c r="D3247" s="1"/>
  <c r="B3248"/>
  <c r="D3248" s="1"/>
  <c r="B3249"/>
  <c r="D3249" s="1"/>
  <c r="B3250"/>
  <c r="D3250" s="1"/>
  <c r="D3251"/>
  <c r="D3252"/>
  <c r="D3255"/>
  <c r="D3256"/>
  <c r="B3257"/>
  <c r="D3257" s="1"/>
  <c r="B3258"/>
  <c r="D3258" s="1"/>
  <c r="B3259"/>
  <c r="D3259" s="1"/>
  <c r="B3260"/>
  <c r="D3260" s="1"/>
  <c r="B3261"/>
  <c r="D3261" s="1"/>
  <c r="B3262"/>
  <c r="D3262" s="1"/>
  <c r="B3263"/>
  <c r="D3263" s="1"/>
  <c r="B3264"/>
  <c r="D3264" s="1"/>
  <c r="B3265"/>
  <c r="D3265" s="1"/>
  <c r="B3266"/>
  <c r="D3266" s="1"/>
  <c r="B3267"/>
  <c r="D3267" s="1"/>
  <c r="B3268"/>
  <c r="D3268" s="1"/>
  <c r="B3269"/>
  <c r="D3269" s="1"/>
  <c r="B3270"/>
  <c r="D3270" s="1"/>
  <c r="B3271"/>
  <c r="D3271" s="1"/>
  <c r="B3272"/>
  <c r="D3272" s="1"/>
  <c r="B3273"/>
  <c r="D3273" s="1"/>
  <c r="B3274"/>
  <c r="D3274" s="1"/>
  <c r="B3275"/>
  <c r="D3275" s="1"/>
  <c r="B3276"/>
  <c r="D3276" s="1"/>
  <c r="B3277"/>
  <c r="D3277" s="1"/>
  <c r="B3278"/>
  <c r="D3278" s="1"/>
  <c r="B3279"/>
  <c r="D3279" s="1"/>
  <c r="B3280"/>
  <c r="D3280" s="1"/>
  <c r="B3281"/>
  <c r="D3281" s="1"/>
  <c r="B3282"/>
  <c r="D3282" s="1"/>
  <c r="B3283"/>
  <c r="D3283" s="1"/>
  <c r="B3284"/>
  <c r="D3284" s="1"/>
  <c r="B3285"/>
  <c r="D3285" s="1"/>
  <c r="B3286"/>
  <c r="D3286" s="1"/>
  <c r="B3287"/>
  <c r="D3287" s="1"/>
  <c r="B3288"/>
  <c r="D3288" s="1"/>
  <c r="B3289"/>
  <c r="D3289" s="1"/>
  <c r="B3290"/>
  <c r="D3290" s="1"/>
  <c r="B3291"/>
  <c r="D3291" s="1"/>
  <c r="B3292"/>
  <c r="D3292" s="1"/>
  <c r="B3293"/>
  <c r="D3293" s="1"/>
  <c r="B3294"/>
  <c r="D3294" s="1"/>
  <c r="B3295"/>
  <c r="D3295" s="1"/>
  <c r="B3296"/>
  <c r="D3296" s="1"/>
  <c r="B3297"/>
  <c r="D3297" s="1"/>
  <c r="B3298"/>
  <c r="D3298" s="1"/>
  <c r="B3299"/>
  <c r="D3299" s="1"/>
  <c r="B3300"/>
  <c r="D3300" s="1"/>
  <c r="D3301"/>
  <c r="D3302"/>
  <c r="D3303"/>
  <c r="D3304"/>
  <c r="B3305"/>
  <c r="D3305" s="1"/>
  <c r="B3307"/>
  <c r="D3307" s="1"/>
  <c r="B3308"/>
  <c r="D3308" s="1"/>
  <c r="B3309"/>
  <c r="D3309" s="1"/>
  <c r="B3310"/>
  <c r="D3310" s="1"/>
  <c r="B3311"/>
  <c r="D3311" s="1"/>
  <c r="B3312"/>
  <c r="D3312" s="1"/>
  <c r="B3313"/>
  <c r="D3313" s="1"/>
  <c r="B3315"/>
  <c r="D3315" s="1"/>
  <c r="B3316"/>
  <c r="D3316" s="1"/>
  <c r="B3317"/>
  <c r="D3317" s="1"/>
  <c r="B3318"/>
  <c r="D3318" s="1"/>
  <c r="B3319"/>
  <c r="D3319" s="1"/>
  <c r="B3320"/>
  <c r="D3320" s="1"/>
  <c r="B3321"/>
  <c r="D3321" s="1"/>
  <c r="B3322"/>
  <c r="D3322" s="1"/>
  <c r="B3323"/>
  <c r="D3323" s="1"/>
  <c r="B3324"/>
  <c r="D3324" s="1"/>
  <c r="B3325"/>
  <c r="D3325" s="1"/>
  <c r="B3326"/>
  <c r="D3326" s="1"/>
  <c r="B3327"/>
  <c r="D3327" s="1"/>
  <c r="B3328"/>
  <c r="D3328" s="1"/>
  <c r="B3329"/>
  <c r="D3329" s="1"/>
  <c r="B3330"/>
  <c r="D3330" s="1"/>
  <c r="B3332"/>
  <c r="D3332" s="1"/>
  <c r="B3333"/>
  <c r="D3333" s="1"/>
  <c r="B3334"/>
  <c r="D3334" s="1"/>
  <c r="B3335"/>
  <c r="D3335" s="1"/>
  <c r="B3336"/>
  <c r="D3336" s="1"/>
  <c r="B3337"/>
  <c r="D3337" s="1"/>
  <c r="B3338"/>
  <c r="D3338" s="1"/>
  <c r="B3339"/>
  <c r="D3339" s="1"/>
  <c r="D3340"/>
  <c r="D3342"/>
  <c r="D3343"/>
  <c r="D3344"/>
  <c r="B3345"/>
  <c r="D3345"/>
  <c r="D3346"/>
  <c r="D3347"/>
  <c r="D3348"/>
  <c r="D3349"/>
  <c r="D3350"/>
  <c r="D3351"/>
  <c r="D3352"/>
  <c r="D3353"/>
  <c r="D3354"/>
  <c r="D3355"/>
  <c r="D3356"/>
  <c r="D3357"/>
  <c r="D3358"/>
  <c r="D3362"/>
  <c r="D3363"/>
  <c r="D3364"/>
  <c r="D3365"/>
  <c r="D3366"/>
  <c r="D3367"/>
  <c r="D3368"/>
  <c r="D3369"/>
  <c r="D3370"/>
  <c r="D3371"/>
  <c r="D3372"/>
  <c r="D3373"/>
  <c r="D3374"/>
  <c r="D3375"/>
  <c r="D3376"/>
  <c r="D3377"/>
  <c r="D3378"/>
  <c r="D3379"/>
  <c r="D3380"/>
  <c r="D3381"/>
  <c r="D3382"/>
  <c r="D3383"/>
  <c r="D3384"/>
  <c r="D3385"/>
  <c r="D3386"/>
  <c r="D3387"/>
  <c r="D3388"/>
  <c r="D3389"/>
  <c r="D3390"/>
  <c r="D3391"/>
  <c r="D3392"/>
  <c r="D3393"/>
  <c r="D3394"/>
  <c r="D3395"/>
  <c r="D3396"/>
  <c r="B3397"/>
  <c r="D3397"/>
  <c r="B3398"/>
  <c r="D3398"/>
  <c r="D3399"/>
  <c r="D3400"/>
  <c r="D3401"/>
  <c r="D3402"/>
  <c r="D3403"/>
  <c r="D3404"/>
  <c r="D3405"/>
  <c r="D3406"/>
  <c r="D3407"/>
  <c r="D3408"/>
  <c r="D3409"/>
  <c r="D3410"/>
  <c r="D3411"/>
  <c r="D3412"/>
  <c r="D3413"/>
  <c r="D3414"/>
  <c r="D3415"/>
  <c r="D3416"/>
  <c r="D3417"/>
  <c r="D3418"/>
  <c r="D3419"/>
  <c r="D3420"/>
  <c r="D3421"/>
  <c r="C3422"/>
  <c r="D3422" s="1"/>
  <c r="D3423"/>
  <c r="D3424"/>
  <c r="D3425"/>
  <c r="B3426"/>
  <c r="B3423" s="1"/>
  <c r="D3426"/>
  <c r="B3427"/>
  <c r="D3427" s="1"/>
  <c r="B3428"/>
  <c r="D3428" s="1"/>
  <c r="B3429"/>
  <c r="D3429" s="1"/>
  <c r="B3430"/>
  <c r="D3430" s="1"/>
  <c r="B3431"/>
  <c r="D3431" s="1"/>
  <c r="B3432"/>
  <c r="D3432" s="1"/>
  <c r="B3433"/>
  <c r="D3433" s="1"/>
  <c r="B3434"/>
  <c r="D3434" s="1"/>
  <c r="B3435"/>
  <c r="D3435" s="1"/>
  <c r="B3436"/>
  <c r="D3436" s="1"/>
  <c r="B3437"/>
  <c r="D3437" s="1"/>
  <c r="B3438"/>
  <c r="D3438" s="1"/>
  <c r="B3439"/>
  <c r="D3439" s="1"/>
  <c r="B3443"/>
  <c r="D3443" s="1"/>
  <c r="B3444"/>
  <c r="D3444" s="1"/>
  <c r="B3445"/>
  <c r="D3445" s="1"/>
  <c r="B3446"/>
  <c r="D3446" s="1"/>
  <c r="B3447"/>
  <c r="D3447" s="1"/>
  <c r="B3448"/>
  <c r="D3448" s="1"/>
  <c r="B3449"/>
  <c r="D3449" s="1"/>
  <c r="B3450"/>
  <c r="D3450" s="1"/>
  <c r="B3451"/>
  <c r="D3451" s="1"/>
  <c r="B3452"/>
  <c r="D3452" s="1"/>
  <c r="B3453"/>
  <c r="D3453" s="1"/>
  <c r="B3454"/>
  <c r="D3454" s="1"/>
  <c r="B3455"/>
  <c r="D3455" s="1"/>
  <c r="B3456"/>
  <c r="D3456" s="1"/>
  <c r="B3457"/>
  <c r="D3457" s="1"/>
  <c r="B3458"/>
  <c r="D3458" s="1"/>
  <c r="B3459"/>
  <c r="D3459" s="1"/>
  <c r="B3460"/>
  <c r="D3460" s="1"/>
  <c r="B3461"/>
  <c r="D3461" s="1"/>
  <c r="B3462"/>
  <c r="D3462" s="1"/>
  <c r="B3463"/>
  <c r="D3463" s="1"/>
  <c r="B3464"/>
  <c r="D3464" s="1"/>
  <c r="B3465"/>
  <c r="D3465" s="1"/>
  <c r="B3466"/>
  <c r="D3466" s="1"/>
  <c r="B3467"/>
  <c r="D3467" s="1"/>
  <c r="B3468"/>
  <c r="D3468" s="1"/>
  <c r="B3469"/>
  <c r="D3469" s="1"/>
  <c r="D3470"/>
  <c r="D3471"/>
  <c r="D3472"/>
  <c r="D3473"/>
  <c r="B3474"/>
  <c r="D3474" s="1"/>
  <c r="B3475"/>
  <c r="D3475" s="1"/>
  <c r="B3476"/>
  <c r="D3476" s="1"/>
  <c r="B3477"/>
  <c r="D3477" s="1"/>
  <c r="B3480"/>
  <c r="D3480" s="1"/>
  <c r="D3481"/>
  <c r="D3482"/>
  <c r="B3483"/>
  <c r="D3483" s="1"/>
  <c r="B3484"/>
  <c r="D3484" s="1"/>
  <c r="B3485"/>
  <c r="D3485" s="1"/>
  <c r="B3486"/>
  <c r="D3486" s="1"/>
  <c r="B3487"/>
  <c r="D3487" s="1"/>
  <c r="B3488"/>
  <c r="D3488" s="1"/>
  <c r="B3489"/>
  <c r="D3489" s="1"/>
  <c r="B3490"/>
  <c r="D3490" s="1"/>
  <c r="B3491"/>
  <c r="D3491" s="1"/>
  <c r="B3492"/>
  <c r="D3492" s="1"/>
  <c r="B3493"/>
  <c r="D3493" s="1"/>
  <c r="B3494"/>
  <c r="D3494" s="1"/>
  <c r="B3495"/>
  <c r="D3495" s="1"/>
  <c r="B3496"/>
  <c r="D3496" s="1"/>
  <c r="B3497"/>
  <c r="D3497" s="1"/>
  <c r="B3498"/>
  <c r="D3498" s="1"/>
  <c r="B3499"/>
  <c r="D3499" s="1"/>
  <c r="B3500"/>
  <c r="D3500" s="1"/>
  <c r="B3501"/>
  <c r="D3501" s="1"/>
  <c r="D3502"/>
  <c r="C3503"/>
  <c r="D3503" s="1"/>
  <c r="D3504"/>
  <c r="D3505"/>
  <c r="D3506"/>
  <c r="B3507"/>
  <c r="D3507" s="1"/>
  <c r="B3508"/>
  <c r="D3508" s="1"/>
  <c r="B3509"/>
  <c r="D3509" s="1"/>
  <c r="B3510"/>
  <c r="D3510" s="1"/>
  <c r="B3511"/>
  <c r="D3511" s="1"/>
  <c r="B3512"/>
  <c r="D3512" s="1"/>
  <c r="B3513"/>
  <c r="D3513" s="1"/>
  <c r="B3514"/>
  <c r="D3514" s="1"/>
  <c r="B3515"/>
  <c r="D3515" s="1"/>
  <c r="B3516"/>
  <c r="D3516" s="1"/>
  <c r="B3517"/>
  <c r="D3517" s="1"/>
  <c r="B3518"/>
  <c r="D3518" s="1"/>
  <c r="B3519"/>
  <c r="D3519" s="1"/>
  <c r="B3520"/>
  <c r="D3520" s="1"/>
  <c r="B3524"/>
  <c r="D3524" s="1"/>
  <c r="B3525"/>
  <c r="D3525" s="1"/>
  <c r="B3526"/>
  <c r="D3526" s="1"/>
  <c r="B3527"/>
  <c r="D3527" s="1"/>
  <c r="B3528"/>
  <c r="D3528" s="1"/>
  <c r="B3529"/>
  <c r="D3529" s="1"/>
  <c r="B3530"/>
  <c r="D3530" s="1"/>
  <c r="B3531"/>
  <c r="D3531" s="1"/>
  <c r="B3532"/>
  <c r="D3532" s="1"/>
  <c r="B3533"/>
  <c r="D3533" s="1"/>
  <c r="B3534"/>
  <c r="D3534" s="1"/>
  <c r="B3535"/>
  <c r="D3535" s="1"/>
  <c r="B3536"/>
  <c r="D3536" s="1"/>
  <c r="B3537"/>
  <c r="D3537" s="1"/>
  <c r="B3538"/>
  <c r="D3538" s="1"/>
  <c r="B3539"/>
  <c r="D3539" s="1"/>
  <c r="B3540"/>
  <c r="D3540" s="1"/>
  <c r="B3541"/>
  <c r="D3541" s="1"/>
  <c r="B3542"/>
  <c r="D3542" s="1"/>
  <c r="B3543"/>
  <c r="D3543" s="1"/>
  <c r="B3544"/>
  <c r="D3544" s="1"/>
  <c r="B3545"/>
  <c r="D3545" s="1"/>
  <c r="B3546"/>
  <c r="D3546" s="1"/>
  <c r="B3547"/>
  <c r="D3547" s="1"/>
  <c r="B3548"/>
  <c r="D3548" s="1"/>
  <c r="B3549"/>
  <c r="D3549" s="1"/>
  <c r="B3550"/>
  <c r="D3550" s="1"/>
  <c r="D3551"/>
  <c r="D3552"/>
  <c r="D3553"/>
  <c r="D3554"/>
  <c r="B3555"/>
  <c r="D3555" s="1"/>
  <c r="B3556"/>
  <c r="D3556" s="1"/>
  <c r="B3557"/>
  <c r="D3557" s="1"/>
  <c r="B3558"/>
  <c r="D3558" s="1"/>
  <c r="B3559"/>
  <c r="D3559" s="1"/>
  <c r="B3560"/>
  <c r="D3560" s="1"/>
  <c r="B3561"/>
  <c r="D3561" s="1"/>
  <c r="D3562"/>
  <c r="D3563"/>
  <c r="B3564"/>
  <c r="D3564" s="1"/>
  <c r="B3565"/>
  <c r="D3565" s="1"/>
  <c r="B3566"/>
  <c r="D3566" s="1"/>
  <c r="B3567"/>
  <c r="D3567" s="1"/>
  <c r="B3568"/>
  <c r="D3568" s="1"/>
  <c r="B3569"/>
  <c r="D3569" s="1"/>
  <c r="B3570"/>
  <c r="D3570" s="1"/>
  <c r="B3571"/>
  <c r="D3571" s="1"/>
  <c r="B3572"/>
  <c r="D3572" s="1"/>
  <c r="B3573"/>
  <c r="D3573" s="1"/>
  <c r="B3574"/>
  <c r="D3574" s="1"/>
  <c r="B3575"/>
  <c r="D3575" s="1"/>
  <c r="B3576"/>
  <c r="D3576" s="1"/>
  <c r="B3577"/>
  <c r="D3577" s="1"/>
  <c r="B3578"/>
  <c r="D3578" s="1"/>
  <c r="B3579"/>
  <c r="D3579" s="1"/>
  <c r="B3580"/>
  <c r="D3580" s="1"/>
  <c r="B3581"/>
  <c r="D3581" s="1"/>
  <c r="B3582"/>
  <c r="D3582" s="1"/>
  <c r="D3583"/>
  <c r="C3584"/>
  <c r="D3584" s="1"/>
  <c r="I22" i="3"/>
  <c r="B29"/>
  <c r="B36"/>
  <c r="B50"/>
  <c r="I50"/>
  <c r="G54"/>
  <c r="I56"/>
  <c r="B61"/>
  <c r="I78"/>
  <c r="B318" i="2" s="1"/>
  <c r="D318" s="1"/>
  <c r="E318" s="1"/>
  <c r="I82" i="3"/>
  <c r="B328" i="2" s="1"/>
  <c r="D328" s="1"/>
  <c r="E328" s="1"/>
  <c r="I91" i="3"/>
  <c r="D91" s="1"/>
  <c r="B103"/>
  <c r="D111"/>
  <c r="B227" i="2" s="1"/>
  <c r="D227" s="1"/>
  <c r="E227" s="1"/>
  <c r="D112" i="3"/>
  <c r="B357" i="2" s="1"/>
  <c r="D357" s="1"/>
  <c r="E357" s="1"/>
  <c r="D113" i="3"/>
  <c r="B529" i="2" s="1"/>
  <c r="D529" s="1"/>
  <c r="E529" s="1"/>
  <c r="C114" i="3"/>
  <c r="B700" i="2" s="1"/>
  <c r="D700" s="1"/>
  <c r="E700" s="1"/>
  <c r="D114" i="3"/>
  <c r="B701" i="2" s="1"/>
  <c r="D701" s="1"/>
  <c r="E701" s="1"/>
  <c r="E114" i="3"/>
  <c r="B702" i="2" s="1"/>
  <c r="D702" s="1"/>
  <c r="E702" s="1"/>
  <c r="B118" i="3"/>
  <c r="G118"/>
  <c r="B122"/>
  <c r="G122"/>
  <c r="I125"/>
  <c r="D125" s="1"/>
  <c r="B3522" i="2" s="1"/>
  <c r="D3522" s="1"/>
  <c r="D2182"/>
  <c r="B2709"/>
  <c r="D2709" s="1"/>
  <c r="B2703"/>
  <c r="B2643" s="1"/>
  <c r="D2643" s="1"/>
  <c r="B2637"/>
  <c r="D2637" s="1"/>
  <c r="B2636"/>
  <c r="D2636" s="1"/>
  <c r="B2635"/>
  <c r="D2635" s="1"/>
  <c r="B2634"/>
  <c r="D2634" s="1"/>
  <c r="B2633"/>
  <c r="D2633" s="1"/>
  <c r="B2632"/>
  <c r="D2632" s="1"/>
  <c r="B2631"/>
  <c r="D2631" s="1"/>
  <c r="B2630"/>
  <c r="D2630" s="1"/>
  <c r="B2629"/>
  <c r="D2629" s="1"/>
  <c r="B2628"/>
  <c r="D2628" s="1"/>
  <c r="B2627"/>
  <c r="D2627" s="1"/>
  <c r="B2626"/>
  <c r="D2626" s="1"/>
  <c r="B2625"/>
  <c r="D2625" s="1"/>
  <c r="B2624"/>
  <c r="D2624" s="1"/>
  <c r="B2623"/>
  <c r="D2623" s="1"/>
  <c r="B2622"/>
  <c r="D2622" s="1"/>
  <c r="B2621"/>
  <c r="D2621" s="1"/>
  <c r="B2620"/>
  <c r="D2620" s="1"/>
  <c r="B2619"/>
  <c r="D2619" s="1"/>
  <c r="B2618"/>
  <c r="D2618" s="1"/>
  <c r="B2617"/>
  <c r="D2617" s="1"/>
  <c r="B2616"/>
  <c r="D2616" s="1"/>
  <c r="B2615"/>
  <c r="D2615" s="1"/>
  <c r="B2614"/>
  <c r="D2614" s="1"/>
  <c r="B2613"/>
  <c r="D2613" s="1"/>
  <c r="B2612"/>
  <c r="D2612" s="1"/>
  <c r="B2611"/>
  <c r="D2611" s="1"/>
  <c r="B2609"/>
  <c r="D2609" s="1"/>
  <c r="B2608"/>
  <c r="D2608" s="1"/>
  <c r="B2607"/>
  <c r="D2607" s="1"/>
  <c r="B2606"/>
  <c r="D2606" s="1"/>
  <c r="B2605"/>
  <c r="D2605" s="1"/>
  <c r="B2604"/>
  <c r="D2604" s="1"/>
  <c r="B2603"/>
  <c r="D2603" s="1"/>
  <c r="B2602"/>
  <c r="D2602" s="1"/>
  <c r="B2601"/>
  <c r="D2601" s="1"/>
  <c r="B2600"/>
  <c r="D2600" s="1"/>
  <c r="B2599"/>
  <c r="D2599" s="1"/>
  <c r="B2598"/>
  <c r="D2598" s="1"/>
  <c r="B2597"/>
  <c r="D2597" s="1"/>
  <c r="B2596"/>
  <c r="D2596" s="1"/>
  <c r="B2595"/>
  <c r="D2595" s="1"/>
  <c r="B2594"/>
  <c r="D2594" s="1"/>
  <c r="B3342"/>
  <c r="B3479"/>
  <c r="D3479" s="1"/>
  <c r="B3478"/>
  <c r="D3478" s="1"/>
  <c r="B2352"/>
  <c r="D2352" s="1"/>
  <c r="B116" i="3"/>
  <c r="C1742" i="2"/>
  <c r="D1742" s="1"/>
  <c r="C2057"/>
  <c r="D2057" s="1"/>
  <c r="C2720"/>
  <c r="D2720" s="1"/>
  <c r="C1655"/>
  <c r="D1655" s="1"/>
  <c r="C2188"/>
  <c r="D2188" s="1"/>
  <c r="B2922"/>
  <c r="D2922" s="1"/>
  <c r="I32" i="3"/>
  <c r="D32" s="1"/>
  <c r="I64"/>
  <c r="B2804" i="2"/>
  <c r="D2804" s="1"/>
  <c r="B2800"/>
  <c r="D2800" s="1"/>
  <c r="B2795"/>
  <c r="D2795" s="1"/>
  <c r="D2258"/>
  <c r="D2254"/>
  <c r="D2250"/>
  <c r="D2245"/>
  <c r="D2776"/>
  <c r="B2767"/>
  <c r="D2767" s="1"/>
  <c r="B2763"/>
  <c r="D2763" s="1"/>
  <c r="B2759"/>
  <c r="D2759" s="1"/>
  <c r="B2755"/>
  <c r="D2755" s="1"/>
  <c r="D2218"/>
  <c r="D2214"/>
  <c r="D2210"/>
  <c r="D2206"/>
  <c r="B2737"/>
  <c r="D2737" s="1"/>
  <c r="B2733"/>
  <c r="D2733" s="1"/>
  <c r="B2731"/>
  <c r="D2731" s="1"/>
  <c r="B2729"/>
  <c r="D2729" s="1"/>
  <c r="B2727"/>
  <c r="D2727" s="1"/>
  <c r="B2725"/>
  <c r="D2725" s="1"/>
  <c r="D2181"/>
  <c r="B2714"/>
  <c r="D2714" s="1"/>
  <c r="D2173"/>
  <c r="B2706"/>
  <c r="D2706" s="1"/>
  <c r="B2694"/>
  <c r="D2694" s="1"/>
  <c r="B2692"/>
  <c r="D2692" s="1"/>
  <c r="B2690"/>
  <c r="D2690" s="1"/>
  <c r="B2688"/>
  <c r="D2688" s="1"/>
  <c r="B2686"/>
  <c r="D2686" s="1"/>
  <c r="B2684"/>
  <c r="D2684" s="1"/>
  <c r="B2682"/>
  <c r="D2682" s="1"/>
  <c r="D2147"/>
  <c r="B2680"/>
  <c r="D2680" s="1"/>
  <c r="D2145"/>
  <c r="B2678"/>
  <c r="D2678" s="1"/>
  <c r="D2143"/>
  <c r="B2676"/>
  <c r="D2676" s="1"/>
  <c r="D2139"/>
  <c r="B2672"/>
  <c r="D2672" s="1"/>
  <c r="D2137"/>
  <c r="B2670"/>
  <c r="D2670" s="1"/>
  <c r="D2135"/>
  <c r="B2668"/>
  <c r="D2668" s="1"/>
  <c r="D2133"/>
  <c r="B2666"/>
  <c r="D2666" s="1"/>
  <c r="D2131"/>
  <c r="B2664"/>
  <c r="D2664" s="1"/>
  <c r="D2129"/>
  <c r="B2662"/>
  <c r="D2662" s="1"/>
  <c r="D2127"/>
  <c r="B2660"/>
  <c r="D2660" s="1"/>
  <c r="D2125"/>
  <c r="B2658"/>
  <c r="D2658" s="1"/>
  <c r="D2123"/>
  <c r="B2656"/>
  <c r="D2656" s="1"/>
  <c r="D2053"/>
  <c r="B2586"/>
  <c r="D2586" s="1"/>
  <c r="D2051"/>
  <c r="B2584"/>
  <c r="D2584" s="1"/>
  <c r="D2049"/>
  <c r="B2582"/>
  <c r="D2582" s="1"/>
  <c r="D2272"/>
  <c r="B2805"/>
  <c r="D2805"/>
  <c r="D2270"/>
  <c r="B2803"/>
  <c r="D2803" s="1"/>
  <c r="D2268"/>
  <c r="B2801"/>
  <c r="D2801" s="1"/>
  <c r="D2266"/>
  <c r="B2799"/>
  <c r="D2799" s="1"/>
  <c r="D2263"/>
  <c r="B2796"/>
  <c r="D2796" s="1"/>
  <c r="D2261"/>
  <c r="B2794"/>
  <c r="D2794" s="1"/>
  <c r="D2259"/>
  <c r="B2792"/>
  <c r="D2792" s="1"/>
  <c r="D2257"/>
  <c r="B2790"/>
  <c r="D2790" s="1"/>
  <c r="D2255"/>
  <c r="B2788"/>
  <c r="D2788" s="1"/>
  <c r="D2253"/>
  <c r="B2786"/>
  <c r="D2786" s="1"/>
  <c r="D2251"/>
  <c r="B2784"/>
  <c r="D2784" s="1"/>
  <c r="D2249"/>
  <c r="B2782"/>
  <c r="D2782" s="1"/>
  <c r="D2246"/>
  <c r="B2779"/>
  <c r="D2779" s="1"/>
  <c r="D2244"/>
  <c r="B2777"/>
  <c r="D2777" s="1"/>
  <c r="D2242"/>
  <c r="B2775"/>
  <c r="D2775" s="1"/>
  <c r="D2239"/>
  <c r="B2772"/>
  <c r="D2772" s="1"/>
  <c r="D2233"/>
  <c r="B2766"/>
  <c r="D2766" s="1"/>
  <c r="D2231"/>
  <c r="B2764"/>
  <c r="D2764" s="1"/>
  <c r="D2229"/>
  <c r="B2762"/>
  <c r="D2762" s="1"/>
  <c r="D2227"/>
  <c r="B2760"/>
  <c r="D2760" s="1"/>
  <c r="D2225"/>
  <c r="B2758"/>
  <c r="D2758" s="1"/>
  <c r="D2223"/>
  <c r="B2756"/>
  <c r="D2756" s="1"/>
  <c r="D2221"/>
  <c r="B2754"/>
  <c r="D2754" s="1"/>
  <c r="D2219"/>
  <c r="B2752"/>
  <c r="D2752" s="1"/>
  <c r="D2217"/>
  <c r="B2750"/>
  <c r="D2750" s="1"/>
  <c r="D2215"/>
  <c r="B2748"/>
  <c r="D2748" s="1"/>
  <c r="D2213"/>
  <c r="B2746"/>
  <c r="D2746" s="1"/>
  <c r="D2211"/>
  <c r="B2744"/>
  <c r="D2744" s="1"/>
  <c r="D2209"/>
  <c r="B2742"/>
  <c r="D2742" s="1"/>
  <c r="D2207"/>
  <c r="B2740"/>
  <c r="D2740" s="1"/>
  <c r="D2205"/>
  <c r="B2738"/>
  <c r="D2738" s="1"/>
  <c r="D2203"/>
  <c r="B2736"/>
  <c r="D2736" s="1"/>
  <c r="D2201"/>
  <c r="B2734"/>
  <c r="D2734"/>
  <c r="D2199"/>
  <c r="B2732"/>
  <c r="D2732" s="1"/>
  <c r="D2197"/>
  <c r="B2730"/>
  <c r="D2730" s="1"/>
  <c r="D2195"/>
  <c r="B2728"/>
  <c r="D2728" s="1"/>
  <c r="D2193"/>
  <c r="B2726"/>
  <c r="D2726" s="1"/>
  <c r="D2191"/>
  <c r="B2724"/>
  <c r="D2724" s="1"/>
  <c r="D2177"/>
  <c r="B2710"/>
  <c r="D2710" s="1"/>
  <c r="B2580"/>
  <c r="D2580" s="1"/>
  <c r="B2578"/>
  <c r="D2578" s="1"/>
  <c r="B2576"/>
  <c r="D2576" s="1"/>
  <c r="B2574"/>
  <c r="D2574" s="1"/>
  <c r="B2572"/>
  <c r="D2572" s="1"/>
  <c r="B2570"/>
  <c r="D2570" s="1"/>
  <c r="B2568"/>
  <c r="D2568" s="1"/>
  <c r="B2480"/>
  <c r="D2480" s="1"/>
  <c r="B2477"/>
  <c r="D2477" s="1"/>
  <c r="B2475"/>
  <c r="D2475" s="1"/>
  <c r="B2468"/>
  <c r="D2468" s="1"/>
  <c r="B2466"/>
  <c r="D2466" s="1"/>
  <c r="B2464"/>
  <c r="D2464" s="1"/>
  <c r="B2462"/>
  <c r="D2462" s="1"/>
  <c r="B2460"/>
  <c r="D2460" s="1"/>
  <c r="B2458"/>
  <c r="D2458" s="1"/>
  <c r="B2456"/>
  <c r="D2456" s="1"/>
  <c r="B2454"/>
  <c r="D2454" s="1"/>
  <c r="B2452"/>
  <c r="D2452" s="1"/>
  <c r="B2450"/>
  <c r="D2450" s="1"/>
  <c r="B2448"/>
  <c r="D2448" s="1"/>
  <c r="B2446"/>
  <c r="D2446" s="1"/>
  <c r="B2444"/>
  <c r="D2444" s="1"/>
  <c r="B2442"/>
  <c r="D2442" s="1"/>
  <c r="B2440"/>
  <c r="D2440" s="1"/>
  <c r="B2438"/>
  <c r="D2438" s="1"/>
  <c r="B2436"/>
  <c r="D2436" s="1"/>
  <c r="B2434"/>
  <c r="D2434" s="1"/>
  <c r="B2432"/>
  <c r="D2432" s="1"/>
  <c r="B2430"/>
  <c r="D2430" s="1"/>
  <c r="B2428"/>
  <c r="D2428" s="1"/>
  <c r="B2426"/>
  <c r="D2426" s="1"/>
  <c r="C2187" l="1"/>
  <c r="D2187" s="1"/>
  <c r="B119" i="3"/>
  <c r="B115"/>
  <c r="G116"/>
  <c r="B1941" i="2"/>
  <c r="B2474" s="1"/>
  <c r="D2474" s="1"/>
  <c r="D64" i="3"/>
  <c r="B647" i="2" s="1"/>
  <c r="D647" s="1"/>
  <c r="E647" s="1"/>
  <c r="G117" i="3"/>
  <c r="C2275" i="2"/>
  <c r="D2275" s="1"/>
  <c r="C3341"/>
  <c r="D3341" s="1"/>
  <c r="C1654"/>
  <c r="D1654" s="1"/>
  <c r="C1524"/>
  <c r="D1524" s="1"/>
  <c r="G121" i="3"/>
  <c r="B2644" i="2"/>
  <c r="D2644" s="1"/>
  <c r="B1856"/>
  <c r="C2721"/>
  <c r="D2721" s="1"/>
  <c r="D1746"/>
  <c r="B120" i="3"/>
  <c r="G120"/>
  <c r="B3007" i="2"/>
  <c r="D3007" s="1"/>
  <c r="D2703"/>
  <c r="B2707"/>
  <c r="D2707" s="1"/>
  <c r="D1213"/>
  <c r="C2808"/>
  <c r="D2808" s="1"/>
  <c r="C2590"/>
  <c r="D2590" s="1"/>
  <c r="C3253"/>
  <c r="D3253" s="1"/>
  <c r="B3236"/>
  <c r="B3176" s="1"/>
  <c r="D3176" s="1"/>
  <c r="B2735"/>
  <c r="D2735" s="1"/>
  <c r="D2208"/>
  <c r="D2212"/>
  <c r="D2216"/>
  <c r="D2220"/>
  <c r="B2757"/>
  <c r="D2757" s="1"/>
  <c r="B2761"/>
  <c r="D2761" s="1"/>
  <c r="B2765"/>
  <c r="D2765" s="1"/>
  <c r="B2774"/>
  <c r="D2774" s="1"/>
  <c r="D2243"/>
  <c r="D2247"/>
  <c r="D2252"/>
  <c r="D2256"/>
  <c r="B2793"/>
  <c r="D2793" s="1"/>
  <c r="B2797"/>
  <c r="D2797" s="1"/>
  <c r="B2802"/>
  <c r="D2802" s="1"/>
  <c r="B2806"/>
  <c r="D2806" s="1"/>
  <c r="B2111"/>
  <c r="D2111" s="1"/>
  <c r="D2170"/>
  <c r="B2711"/>
  <c r="D2711" s="1"/>
  <c r="D2180"/>
  <c r="D2184"/>
  <c r="B2681"/>
  <c r="D2681" s="1"/>
  <c r="B2671"/>
  <c r="D2671" s="1"/>
  <c r="B2655"/>
  <c r="D2655" s="1"/>
  <c r="B2651"/>
  <c r="D2651" s="1"/>
  <c r="B2465"/>
  <c r="D2465" s="1"/>
  <c r="B2449"/>
  <c r="D2449" s="1"/>
  <c r="B2433"/>
  <c r="D2433" s="1"/>
  <c r="D2126"/>
  <c r="B2659"/>
  <c r="D2659" s="1"/>
  <c r="D2116"/>
  <c r="B2649"/>
  <c r="D2649" s="1"/>
  <c r="D2032"/>
  <c r="B2565"/>
  <c r="D2565" s="1"/>
  <c r="D2030"/>
  <c r="B2563"/>
  <c r="D2563" s="1"/>
  <c r="D1978"/>
  <c r="B2511"/>
  <c r="D2511" s="1"/>
  <c r="D1976"/>
  <c r="B2509"/>
  <c r="D2509" s="1"/>
  <c r="D1943"/>
  <c r="B2476"/>
  <c r="D2476" s="1"/>
  <c r="D1934"/>
  <c r="B2467"/>
  <c r="D2467" s="1"/>
  <c r="D1930"/>
  <c r="B2463"/>
  <c r="D2463" s="1"/>
  <c r="D1926"/>
  <c r="B2459"/>
  <c r="D2459" s="1"/>
  <c r="D1922"/>
  <c r="B2455"/>
  <c r="D2455" s="1"/>
  <c r="D1918"/>
  <c r="B2451"/>
  <c r="D2451" s="1"/>
  <c r="D1914"/>
  <c r="B2447"/>
  <c r="D2447" s="1"/>
  <c r="D1910"/>
  <c r="B2443"/>
  <c r="D2443" s="1"/>
  <c r="D1906"/>
  <c r="B2439"/>
  <c r="D2439" s="1"/>
  <c r="D1902"/>
  <c r="B2435"/>
  <c r="D2435" s="1"/>
  <c r="D1898"/>
  <c r="B2431"/>
  <c r="D2431" s="1"/>
  <c r="D1894"/>
  <c r="B2427"/>
  <c r="D2427" s="1"/>
  <c r="D2160"/>
  <c r="B2693"/>
  <c r="D2693" s="1"/>
  <c r="D2152"/>
  <c r="B2685"/>
  <c r="D2685" s="1"/>
  <c r="B2663"/>
  <c r="D2663" s="1"/>
  <c r="B2647"/>
  <c r="D2647" s="1"/>
  <c r="B2469"/>
  <c r="D2469" s="1"/>
  <c r="B2461"/>
  <c r="D2461" s="1"/>
  <c r="B2453"/>
  <c r="D2453" s="1"/>
  <c r="B2445"/>
  <c r="D2445" s="1"/>
  <c r="B2437"/>
  <c r="D2437" s="1"/>
  <c r="B2429"/>
  <c r="D2429" s="1"/>
  <c r="B2885"/>
  <c r="D2885" s="1"/>
  <c r="B1819"/>
  <c r="D1819" s="1"/>
  <c r="B121" i="3"/>
  <c r="C3123" i="2"/>
  <c r="D3123" s="1"/>
  <c r="G115" i="3"/>
  <c r="G119"/>
  <c r="C3254" i="2"/>
  <c r="D3254" s="1"/>
  <c r="D2279"/>
  <c r="B117" i="3"/>
  <c r="B3177" i="2"/>
  <c r="D3177" s="1"/>
  <c r="B3504"/>
  <c r="D2052"/>
  <c r="B2585"/>
  <c r="D2585" s="1"/>
  <c r="D3236"/>
  <c r="B2420"/>
  <c r="D2420" s="1"/>
  <c r="B2419"/>
  <c r="D2419" s="1"/>
  <c r="B2418"/>
  <c r="D2418" s="1"/>
  <c r="B2417"/>
  <c r="D2417" s="1"/>
  <c r="B2416"/>
  <c r="D2416" s="1"/>
  <c r="B2415"/>
  <c r="D2415" s="1"/>
  <c r="B2414"/>
  <c r="D2414" s="1"/>
  <c r="B2413"/>
  <c r="D2413" s="1"/>
  <c r="B2411"/>
  <c r="D2411" s="1"/>
  <c r="B2410"/>
  <c r="D2410" s="1"/>
  <c r="B2409"/>
  <c r="D2409" s="1"/>
  <c r="B2408"/>
  <c r="D2408" s="1"/>
  <c r="B2407"/>
  <c r="D2407" s="1"/>
  <c r="B2406"/>
  <c r="D2406" s="1"/>
  <c r="B2405"/>
  <c r="D2405" s="1"/>
  <c r="B2404"/>
  <c r="D2404" s="1"/>
  <c r="B2403"/>
  <c r="D2403" s="1"/>
  <c r="B2402"/>
  <c r="D2402" s="1"/>
  <c r="B2401"/>
  <c r="D2401" s="1"/>
  <c r="B2400"/>
  <c r="D2400" s="1"/>
  <c r="B2399"/>
  <c r="D2399" s="1"/>
  <c r="B2398"/>
  <c r="D2398" s="1"/>
  <c r="B2397"/>
  <c r="D2397" s="1"/>
  <c r="B2396"/>
  <c r="D2396" s="1"/>
  <c r="B2395"/>
  <c r="D2395" s="1"/>
  <c r="B2394"/>
  <c r="D2394" s="1"/>
  <c r="B2393"/>
  <c r="D2393" s="1"/>
  <c r="B2392"/>
  <c r="D2392" s="1"/>
  <c r="B2391"/>
  <c r="D2391" s="1"/>
  <c r="B2390"/>
  <c r="D2390" s="1"/>
  <c r="B2388"/>
  <c r="D2388" s="1"/>
  <c r="B2386"/>
  <c r="D2386" s="1"/>
  <c r="B2381"/>
  <c r="D2381" s="1"/>
  <c r="B2380"/>
  <c r="D2380" s="1"/>
  <c r="B2379"/>
  <c r="D2379" s="1"/>
  <c r="B2378"/>
  <c r="D2378" s="1"/>
  <c r="B2377"/>
  <c r="D2377" s="1"/>
  <c r="B2376"/>
  <c r="D2376" s="1"/>
  <c r="B2375"/>
  <c r="D2375" s="1"/>
  <c r="B2374"/>
  <c r="D2374" s="1"/>
  <c r="B2373"/>
  <c r="D2373" s="1"/>
  <c r="B2372"/>
  <c r="D2372" s="1"/>
  <c r="B2371"/>
  <c r="D2371" s="1"/>
  <c r="B2370"/>
  <c r="D2370" s="1"/>
  <c r="B2369"/>
  <c r="D2369" s="1"/>
  <c r="B2368"/>
  <c r="D2368" s="1"/>
  <c r="B2367"/>
  <c r="D2367" s="1"/>
  <c r="B2366"/>
  <c r="D2366" s="1"/>
  <c r="B2365"/>
  <c r="D2365" s="1"/>
  <c r="B2364"/>
  <c r="D2364" s="1"/>
  <c r="B2363"/>
  <c r="D2363" s="1"/>
  <c r="B2362"/>
  <c r="D2362" s="1"/>
  <c r="B2361"/>
  <c r="D2361" s="1"/>
  <c r="B2360"/>
  <c r="D2360" s="1"/>
  <c r="B2359"/>
  <c r="D2359" s="1"/>
  <c r="B2358"/>
  <c r="D2358" s="1"/>
  <c r="B2357"/>
  <c r="D2357" s="1"/>
  <c r="B2356"/>
  <c r="D2356" s="1"/>
  <c r="B2355"/>
  <c r="D2355" s="1"/>
  <c r="B2354"/>
  <c r="D2354" s="1"/>
  <c r="B2353"/>
  <c r="D2353" s="1"/>
  <c r="B2351"/>
  <c r="D2351" s="1"/>
  <c r="B2350"/>
  <c r="D2350" s="1"/>
  <c r="B2349"/>
  <c r="D2349" s="1"/>
  <c r="B2348"/>
  <c r="D2348" s="1"/>
  <c r="B2347"/>
  <c r="D2347" s="1"/>
  <c r="B2346"/>
  <c r="D2346" s="1"/>
  <c r="B2345"/>
  <c r="D2345" s="1"/>
  <c r="B2344"/>
  <c r="D2344" s="1"/>
  <c r="B2343"/>
  <c r="D2343" s="1"/>
  <c r="B2342"/>
  <c r="D2342" s="1"/>
  <c r="B2341"/>
  <c r="D2341" s="1"/>
  <c r="B2340"/>
  <c r="D2340" s="1"/>
  <c r="B2339"/>
  <c r="D2339" s="1"/>
  <c r="B2338"/>
  <c r="D2338" s="1"/>
  <c r="B2336"/>
  <c r="D2336" s="1"/>
  <c r="I42" i="3"/>
  <c r="D42" s="1"/>
  <c r="B1412" i="2" s="1"/>
  <c r="B3011" s="1"/>
  <c r="D3011" s="1"/>
  <c r="I40" i="3"/>
  <c r="D40" s="1"/>
  <c r="I41"/>
  <c r="D41" s="1"/>
  <c r="D1941" i="2"/>
  <c r="B600"/>
  <c r="D600" s="1"/>
  <c r="E600" s="1"/>
  <c r="B579"/>
  <c r="D579" s="1"/>
  <c r="E579" s="1"/>
  <c r="B621"/>
  <c r="D621" s="1"/>
  <c r="E621" s="1"/>
  <c r="D2166"/>
  <c r="B2699"/>
  <c r="D2699" s="1"/>
  <c r="D2154"/>
  <c r="B2687"/>
  <c r="D2687" s="1"/>
  <c r="D2146"/>
  <c r="B2679"/>
  <c r="D2679" s="1"/>
  <c r="D2136"/>
  <c r="B2669"/>
  <c r="D2669" s="1"/>
  <c r="D2128"/>
  <c r="B2661"/>
  <c r="D2661" s="1"/>
  <c r="B2650"/>
  <c r="D2650" s="1"/>
  <c r="B2648"/>
  <c r="D2648" s="1"/>
  <c r="B2646"/>
  <c r="D2646" s="1"/>
  <c r="B2583"/>
  <c r="D2583" s="1"/>
  <c r="D2179"/>
  <c r="B2712"/>
  <c r="D2712" s="1"/>
  <c r="D2158"/>
  <c r="B2691"/>
  <c r="D2691" s="1"/>
  <c r="D2150"/>
  <c r="B2683"/>
  <c r="D2683" s="1"/>
  <c r="D2140"/>
  <c r="B2673"/>
  <c r="D2673" s="1"/>
  <c r="D2132"/>
  <c r="B2665"/>
  <c r="D2665" s="1"/>
  <c r="D2124"/>
  <c r="B2657"/>
  <c r="D2657" s="1"/>
  <c r="B2809"/>
  <c r="I51" i="3"/>
  <c r="I79" s="1"/>
  <c r="B319" i="2" s="1"/>
  <c r="D319" s="1"/>
  <c r="E319" s="1"/>
  <c r="I81" i="3"/>
  <c r="I59"/>
  <c r="J113"/>
  <c r="E113" s="1"/>
  <c r="I72"/>
  <c r="D72" s="1"/>
  <c r="J112"/>
  <c r="E112" s="1"/>
  <c r="B358" i="2" s="1"/>
  <c r="D358" s="1"/>
  <c r="E358" s="1"/>
  <c r="B815"/>
  <c r="I70" i="3"/>
  <c r="B999" i="2"/>
  <c r="B1045"/>
  <c r="J125" i="3"/>
  <c r="E125" s="1"/>
  <c r="I73"/>
  <c r="D73" s="1"/>
  <c r="H125"/>
  <c r="C125" s="1"/>
  <c r="B3521" i="2" s="1"/>
  <c r="D3521" s="1"/>
  <c r="I71" i="3"/>
  <c r="B562" i="2"/>
  <c r="D562" s="1"/>
  <c r="E562" s="1"/>
  <c r="I49" i="3"/>
  <c r="I92" s="1"/>
  <c r="B1321" i="2"/>
  <c r="B1346" s="1"/>
  <c r="B1707"/>
  <c r="B1544"/>
  <c r="H112" i="3"/>
  <c r="C112" s="1"/>
  <c r="B356" i="2" s="1"/>
  <c r="D356" s="1"/>
  <c r="E356" s="1"/>
  <c r="H111" i="3"/>
  <c r="C111" s="1"/>
  <c r="B226" i="2" s="1"/>
  <c r="D226" s="1"/>
  <c r="E226" s="1"/>
  <c r="B734"/>
  <c r="D734" s="1"/>
  <c r="E734" s="1"/>
  <c r="H113" i="3"/>
  <c r="C113" s="1"/>
  <c r="B1026" i="2"/>
  <c r="B980" l="1"/>
  <c r="D71" i="3"/>
  <c r="D1856" i="2"/>
  <c r="B2389"/>
  <c r="D2389" s="1"/>
  <c r="I119" i="3"/>
  <c r="D119" s="1"/>
  <c r="D1412" i="2"/>
  <c r="B1945"/>
  <c r="D1945" s="1"/>
  <c r="I65" i="3"/>
  <c r="B651" i="2"/>
  <c r="D651" s="1"/>
  <c r="E651" s="1"/>
  <c r="B672"/>
  <c r="D672" s="1"/>
  <c r="E672" s="1"/>
  <c r="B324"/>
  <c r="D324" s="1"/>
  <c r="E324" s="1"/>
  <c r="I97" i="3"/>
  <c r="B2945" i="2"/>
  <c r="D2945" s="1"/>
  <c r="B1879"/>
  <c r="D1879" s="1"/>
  <c r="D1346"/>
  <c r="B1732"/>
  <c r="D1707"/>
  <c r="B3306"/>
  <c r="D3306" s="1"/>
  <c r="B2240"/>
  <c r="B1715"/>
  <c r="I115" i="3"/>
  <c r="D115" s="1"/>
  <c r="J115" s="1"/>
  <c r="E115" s="1"/>
  <c r="I123"/>
  <c r="D123" s="1"/>
  <c r="B3360" i="2" s="1"/>
  <c r="D3360" s="1"/>
  <c r="I124" i="3"/>
  <c r="D124" s="1"/>
  <c r="B3441" i="2" s="1"/>
  <c r="D3441" s="1"/>
  <c r="I117" i="3"/>
  <c r="D117" s="1"/>
  <c r="B563" i="2"/>
  <c r="D563" s="1"/>
  <c r="E563" s="1"/>
  <c r="D980"/>
  <c r="E980" s="1"/>
  <c r="B934"/>
  <c r="B1091"/>
  <c r="B1046"/>
  <c r="D1045"/>
  <c r="E1045" s="1"/>
  <c r="B888"/>
  <c r="I74" i="3"/>
  <c r="B816" i="2"/>
  <c r="D815"/>
  <c r="E815" s="1"/>
  <c r="B2077"/>
  <c r="B3143"/>
  <c r="D3143" s="1"/>
  <c r="D1544"/>
  <c r="B2920"/>
  <c r="D2920" s="1"/>
  <c r="D1321"/>
  <c r="B1854"/>
  <c r="E123" i="3"/>
  <c r="B3361" i="2" s="1"/>
  <c r="D3361" s="1"/>
  <c r="B3523"/>
  <c r="D3523" s="1"/>
  <c r="E124" i="3"/>
  <c r="B3442" i="2" s="1"/>
  <c r="D3442" s="1"/>
  <c r="B1000"/>
  <c r="B953"/>
  <c r="D999"/>
  <c r="E999" s="1"/>
  <c r="B1137"/>
  <c r="B907"/>
  <c r="B861"/>
  <c r="I120" i="3"/>
  <c r="D120" s="1"/>
  <c r="J120" s="1"/>
  <c r="E120" s="1"/>
  <c r="I121"/>
  <c r="D121" s="1"/>
  <c r="I122" s="1"/>
  <c r="D122" s="1"/>
  <c r="J119"/>
  <c r="E119" s="1"/>
  <c r="J122"/>
  <c r="E122" s="1"/>
  <c r="J121"/>
  <c r="E121" s="1"/>
  <c r="B530" i="2"/>
  <c r="D530" s="1"/>
  <c r="E530" s="1"/>
  <c r="J117" i="3"/>
  <c r="E117" s="1"/>
  <c r="B2478" i="2"/>
  <c r="D2478" s="1"/>
  <c r="B1072"/>
  <c r="D1026"/>
  <c r="E1026" s="1"/>
  <c r="H123" i="3"/>
  <c r="C123" s="1"/>
  <c r="B528" i="2"/>
  <c r="D528" s="1"/>
  <c r="E528" s="1"/>
  <c r="I95" i="3"/>
  <c r="I93" s="1"/>
  <c r="D1046" i="2" l="1"/>
  <c r="E1046" s="1"/>
  <c r="D1072"/>
  <c r="E1072" s="1"/>
  <c r="B1119"/>
  <c r="D1000"/>
  <c r="E1000" s="1"/>
  <c r="D934"/>
  <c r="E934" s="1"/>
  <c r="D816"/>
  <c r="E816" s="1"/>
  <c r="B496"/>
  <c r="D496" s="1"/>
  <c r="E496" s="1"/>
  <c r="I98" i="3"/>
  <c r="I105" s="1"/>
  <c r="D105" s="1"/>
  <c r="I99"/>
  <c r="B475" i="2" s="1"/>
  <c r="D475" s="1"/>
  <c r="E475" s="1"/>
  <c r="B1229"/>
  <c r="D1229" s="1"/>
  <c r="J116" i="3"/>
  <c r="E116" s="1"/>
  <c r="B1762" i="2" s="1"/>
  <c r="D1762" s="1"/>
  <c r="B908"/>
  <c r="D907"/>
  <c r="E907" s="1"/>
  <c r="D1854"/>
  <c r="B2387"/>
  <c r="B1228"/>
  <c r="D1228" s="1"/>
  <c r="I116" i="3"/>
  <c r="D116" s="1"/>
  <c r="B1761" i="2" s="1"/>
  <c r="D1761" s="1"/>
  <c r="D2240"/>
  <c r="B2773"/>
  <c r="D2773" s="1"/>
  <c r="B2295"/>
  <c r="D2295" s="1"/>
  <c r="J118" i="3"/>
  <c r="E118" s="1"/>
  <c r="B2828" i="2" s="1"/>
  <c r="D2828" s="1"/>
  <c r="D861"/>
  <c r="E861" s="1"/>
  <c r="B862"/>
  <c r="B1138"/>
  <c r="D1137"/>
  <c r="E1137" s="1"/>
  <c r="B954"/>
  <c r="D953"/>
  <c r="E953" s="1"/>
  <c r="D2077"/>
  <c r="B2610"/>
  <c r="D2610" s="1"/>
  <c r="B842"/>
  <c r="B796"/>
  <c r="D888"/>
  <c r="E888" s="1"/>
  <c r="B1092"/>
  <c r="B1073"/>
  <c r="D1091"/>
  <c r="E1091" s="1"/>
  <c r="B2294"/>
  <c r="D2294" s="1"/>
  <c r="I118" i="3"/>
  <c r="D118" s="1"/>
  <c r="B2827" i="2" s="1"/>
  <c r="D2827" s="1"/>
  <c r="D1715"/>
  <c r="B3314"/>
  <c r="D3314" s="1"/>
  <c r="B2248"/>
  <c r="B3331"/>
  <c r="D3331" s="1"/>
  <c r="D1732"/>
  <c r="B2265"/>
  <c r="D2265" s="1"/>
  <c r="B493"/>
  <c r="J111" i="3"/>
  <c r="E111" s="1"/>
  <c r="B228" i="2" s="1"/>
  <c r="D228" s="1"/>
  <c r="E228" s="1"/>
  <c r="B472"/>
  <c r="H124" i="3"/>
  <c r="C124" s="1"/>
  <c r="B3440" i="2" s="1"/>
  <c r="D3440" s="1"/>
  <c r="B3359"/>
  <c r="D3359" s="1"/>
  <c r="I104" i="3"/>
  <c r="D104" s="1"/>
  <c r="I94"/>
  <c r="B494" i="2" s="1"/>
  <c r="B474"/>
  <c r="D474" s="1"/>
  <c r="E474" s="1"/>
  <c r="B1165" l="1"/>
  <c r="D1092"/>
  <c r="E1092" s="1"/>
  <c r="D1073"/>
  <c r="E1073" s="1"/>
  <c r="D1119"/>
  <c r="E1119" s="1"/>
  <c r="D1165"/>
  <c r="E1165" s="1"/>
  <c r="D1138"/>
  <c r="E1138" s="1"/>
  <c r="D954"/>
  <c r="E954" s="1"/>
  <c r="D908"/>
  <c r="E908" s="1"/>
  <c r="D796"/>
  <c r="E796" s="1"/>
  <c r="D842"/>
  <c r="E842" s="1"/>
  <c r="D862"/>
  <c r="E862" s="1"/>
  <c r="I106" i="3"/>
  <c r="B2798" i="2"/>
  <c r="D2798" s="1"/>
  <c r="B473"/>
  <c r="B495" s="1"/>
  <c r="B2781"/>
  <c r="D2781" s="1"/>
  <c r="D2248"/>
  <c r="D2387"/>
  <c r="B2412"/>
  <c r="D2412" s="1"/>
  <c r="D494"/>
  <c r="E494" s="1"/>
  <c r="B392"/>
  <c r="D472"/>
  <c r="E472" s="1"/>
  <c r="B391"/>
  <c r="D493"/>
  <c r="E493" s="1"/>
  <c r="D473"/>
  <c r="E473" s="1"/>
  <c r="D391" l="1"/>
  <c r="E391" s="1"/>
  <c r="D392"/>
  <c r="E392" s="1"/>
  <c r="D495"/>
  <c r="E495" s="1"/>
  <c r="B470"/>
  <c r="B471"/>
  <c r="B492"/>
  <c r="B491"/>
  <c r="D470" l="1"/>
  <c r="E470" s="1"/>
  <c r="D491"/>
  <c r="E491" s="1"/>
  <c r="D471"/>
  <c r="E471" s="1"/>
  <c r="B469"/>
  <c r="B390"/>
  <c r="D492"/>
  <c r="E492" s="1"/>
  <c r="B490"/>
  <c r="B393"/>
  <c r="D490" l="1"/>
  <c r="E490" s="1"/>
  <c r="D390"/>
  <c r="E390" s="1"/>
  <c r="D393"/>
  <c r="E393" s="1"/>
  <c r="D469"/>
  <c r="E469" s="1"/>
  <c r="H117" i="3"/>
  <c r="C117" s="1"/>
  <c r="B2293" i="2" s="1"/>
  <c r="D2293" s="1"/>
  <c r="H118" i="3"/>
  <c r="C118" s="1"/>
  <c r="B2826" i="2" s="1"/>
  <c r="D2826" s="1"/>
  <c r="H121" i="3"/>
  <c r="C121" s="1"/>
  <c r="H122"/>
  <c r="C122" s="1"/>
  <c r="B260" i="2" l="1"/>
  <c r="D260" s="1"/>
  <c r="E260" s="1"/>
  <c r="B320"/>
  <c r="D320" s="1"/>
  <c r="E320" s="1"/>
  <c r="B321"/>
  <c r="B261" l="1"/>
  <c r="D261" s="1"/>
  <c r="E261" s="1"/>
  <c r="B323"/>
  <c r="D321"/>
  <c r="E321" s="1"/>
  <c r="B262"/>
  <c r="D262" l="1"/>
  <c r="E262" s="1"/>
  <c r="B322"/>
  <c r="B263"/>
  <c r="D263" s="1"/>
  <c r="E263" s="1"/>
  <c r="D323"/>
  <c r="E323" s="1"/>
  <c r="D322" l="1"/>
  <c r="E322" s="1"/>
  <c r="B3237" l="1"/>
  <c r="D3237" s="1"/>
  <c r="AA59" i="3"/>
  <c r="B644" i="2" s="1"/>
  <c r="B3238" l="1"/>
  <c r="D3238" s="1"/>
  <c r="B665"/>
  <c r="B564" s="1"/>
  <c r="D564" s="1"/>
  <c r="E564" s="1"/>
  <c r="B3234"/>
  <c r="D3234" s="1"/>
  <c r="D665"/>
  <c r="E665" s="1"/>
  <c r="D644"/>
  <c r="E644" s="1"/>
  <c r="B3235" l="1"/>
  <c r="D3235" s="1"/>
  <c r="B3233" l="1"/>
  <c r="D3233" s="1"/>
  <c r="B3175"/>
  <c r="D3175"/>
  <c r="B3178"/>
  <c r="D3178" s="1"/>
  <c r="G1" l="1"/>
  <c r="B565"/>
  <c r="D565"/>
  <c r="E565"/>
  <c r="B641"/>
  <c r="D641"/>
  <c r="E641"/>
  <c r="B642"/>
  <c r="D642"/>
  <c r="E642"/>
  <c r="B643"/>
  <c r="D643"/>
  <c r="E643"/>
  <c r="B645"/>
  <c r="D645"/>
  <c r="E645"/>
  <c r="B646"/>
  <c r="D646"/>
  <c r="E646"/>
  <c r="B662"/>
  <c r="D662"/>
  <c r="E662"/>
  <c r="B663"/>
  <c r="D663"/>
  <c r="E663"/>
  <c r="B664"/>
  <c r="D664"/>
  <c r="E664"/>
  <c r="B666"/>
  <c r="D666"/>
  <c r="E666"/>
  <c r="B667"/>
  <c r="D667"/>
  <c r="E667"/>
  <c r="B668"/>
  <c r="D668"/>
  <c r="E668"/>
  <c r="B1227"/>
  <c r="D1227"/>
  <c r="B1576"/>
  <c r="D1576"/>
  <c r="B1579"/>
  <c r="D1579"/>
  <c r="B1634"/>
  <c r="D1634"/>
  <c r="B1635"/>
  <c r="D1635"/>
  <c r="B1636"/>
  <c r="D1636"/>
  <c r="B1638"/>
  <c r="D1638"/>
  <c r="B1639"/>
  <c r="D1639"/>
  <c r="B1760"/>
  <c r="D1760"/>
  <c r="B2109"/>
  <c r="D2109"/>
  <c r="B2112"/>
  <c r="D2112"/>
  <c r="B2167"/>
  <c r="D2167"/>
  <c r="B2168"/>
  <c r="D2168"/>
  <c r="B2169"/>
  <c r="D2169"/>
  <c r="B2171"/>
  <c r="D2171"/>
  <c r="B2172"/>
  <c r="D2172"/>
  <c r="B2642"/>
  <c r="D2642"/>
  <c r="B2645"/>
  <c r="D2645"/>
  <c r="B2700"/>
  <c r="D2700"/>
  <c r="B2701"/>
  <c r="D2701"/>
  <c r="B2702"/>
  <c r="D2702"/>
  <c r="B2704"/>
  <c r="D2704"/>
  <c r="B2705"/>
  <c r="D2705"/>
  <c r="I52" i="3"/>
  <c r="I53"/>
  <c r="I54"/>
  <c r="I55"/>
  <c r="AA56"/>
  <c r="AA57"/>
  <c r="AA58"/>
  <c r="AA60"/>
  <c r="D63"/>
  <c r="I63"/>
  <c r="I80"/>
  <c r="C115"/>
  <c r="H115"/>
  <c r="C116"/>
  <c r="H116"/>
  <c r="C119"/>
  <c r="H119"/>
  <c r="C120"/>
  <c r="H120"/>
</calcChain>
</file>

<file path=xl/comments1.xml><?xml version="1.0" encoding="utf-8"?>
<comments xmlns="http://schemas.openxmlformats.org/spreadsheetml/2006/main">
  <authors>
    <author>Dieter SCHOLZ</author>
    <author>Veso</author>
    <author>Tahir Sousa</author>
    <author>OEM</author>
    <author>Author</author>
  </authors>
  <commentList>
    <comment ref="C4" authorId="0">
      <text>
        <r>
          <rPr>
            <sz val="9"/>
            <color indexed="81"/>
            <rFont val="Tahoma"/>
            <family val="2"/>
          </rPr>
          <t xml:space="preserve">This will also be the OpenVSP file name for the aircraft. Please avoid blanks and limit to letters and numbers.
</t>
        </r>
      </text>
    </comment>
    <comment ref="C6" authorId="0">
      <text>
        <r>
          <rPr>
            <sz val="9"/>
            <color indexed="81"/>
            <rFont val="Tahoma"/>
            <family val="2"/>
          </rPr>
          <t xml:space="preserve">Hint: Use &lt;alt&gt;&lt;return&gt; in this window for a new line.
</t>
        </r>
      </text>
    </comment>
    <comment ref="F9" authorId="1">
      <text>
        <r>
          <rPr>
            <sz val="9"/>
            <color indexed="81"/>
            <rFont val="Tahoma"/>
            <family val="2"/>
          </rPr>
          <t>The cells where the parameters from your tool are stored must have the exact same names as the cells where the OpenVSP-Connect parameters are stored . Example: The name of the cell where Cruise Mach Number is stored is "M_CR". Use MyTool.xls as a template for the integration of your own Aircraft Design tool into the "Tool Chain".</t>
        </r>
      </text>
    </comment>
    <comment ref="H10" authorId="0">
      <text>
        <r>
          <rPr>
            <sz val="9"/>
            <color indexed="81"/>
            <rFont val="Tahoma"/>
            <family val="2"/>
          </rPr>
          <t xml:space="preserve">This is usually the path to the file vsp.exe in the directory where you installed OpenVSP-Connect.
</t>
        </r>
      </text>
    </comment>
    <comment ref="K11" authorId="0">
      <text>
        <r>
          <rPr>
            <b/>
            <sz val="9"/>
            <color indexed="81"/>
            <rFont val="Tahoma"/>
            <family val="2"/>
          </rPr>
          <t xml:space="preserve">Do not edit! </t>
        </r>
        <r>
          <rPr>
            <sz val="9"/>
            <color indexed="81"/>
            <rFont val="Tahoma"/>
            <family val="2"/>
          </rPr>
          <t xml:space="preserve">This is where OpenVSP-Connect stored the VSP-File used for plotting your aircraft during last preparation (i.e. after pressing "3D-Visualization").
</t>
        </r>
      </text>
    </comment>
    <comment ref="K12" authorId="0">
      <text>
        <r>
          <rPr>
            <sz val="9"/>
            <color indexed="81"/>
            <rFont val="Tahoma"/>
            <family val="2"/>
          </rPr>
          <t>Input to this cell is only required if data is transferred from an Aircraft Design tool and OpenVSP-Connect is used as part of the "Tool Chain".</t>
        </r>
      </text>
    </comment>
    <comment ref="K13" authorId="0">
      <text>
        <r>
          <rPr>
            <sz val="9"/>
            <color indexed="81"/>
            <rFont val="Tahoma"/>
            <family val="2"/>
          </rPr>
          <t xml:space="preserve">Input to this cell is only required if data is transferred from an Aircraft Design tool and OpenVSP-Connect is used as part ot the "Tool Chain".
In this case: Set up a tab called "Database" in your own Excel-based Aircraft Design tool. Use MyTool.xls from the OpenVSP-Connect installation as a template. If your Aircraft Design tool is not Excel-based, you have to produce an interface file like MyTool.xls from your Aircraft Design tool.
</t>
        </r>
      </text>
    </comment>
    <comment ref="D20" authorId="0">
      <text>
        <r>
          <rPr>
            <sz val="9"/>
            <color indexed="81"/>
            <rFont val="Tahoma"/>
            <family val="2"/>
          </rPr>
          <t xml:space="preserve">Input cells with a border show paramters, the novice user should change in order to produce his/her individual aircraft design.
</t>
        </r>
      </text>
    </comment>
    <comment ref="I22" authorId="2">
      <text>
        <r>
          <rPr>
            <sz val="9"/>
            <color indexed="81"/>
            <rFont val="Tahoma"/>
            <family val="2"/>
          </rPr>
          <t>Statistical equation</t>
        </r>
      </text>
    </comment>
    <comment ref="I32" authorId="2">
      <text>
        <r>
          <rPr>
            <sz val="9"/>
            <color indexed="81"/>
            <rFont val="Tahoma"/>
            <family val="2"/>
          </rPr>
          <t>Statistical equation</t>
        </r>
      </text>
    </comment>
    <comment ref="I33" authorId="2">
      <text>
        <r>
          <rPr>
            <sz val="9"/>
            <color indexed="81"/>
            <rFont val="Tahoma"/>
            <family val="2"/>
          </rPr>
          <t>Statistical equation</t>
        </r>
      </text>
    </comment>
    <comment ref="I38" authorId="1">
      <text>
        <r>
          <rPr>
            <sz val="9"/>
            <color indexed="81"/>
            <rFont val="Tahoma"/>
            <family val="2"/>
          </rPr>
          <t>Statistical equation</t>
        </r>
        <r>
          <rPr>
            <sz val="9"/>
            <color indexed="81"/>
            <rFont val="Tahoma"/>
            <family val="2"/>
            <charset val="204"/>
          </rPr>
          <t xml:space="preserve">
</t>
        </r>
      </text>
    </comment>
    <comment ref="I40" authorId="2">
      <text>
        <r>
          <rPr>
            <sz val="9"/>
            <color indexed="81"/>
            <rFont val="Tahoma"/>
            <family val="2"/>
          </rPr>
          <t>Statistical equation</t>
        </r>
      </text>
    </comment>
    <comment ref="I41" authorId="2">
      <text>
        <r>
          <rPr>
            <sz val="9"/>
            <color indexed="81"/>
            <rFont val="Tahoma"/>
            <family val="2"/>
          </rPr>
          <t>Statistical equation</t>
        </r>
      </text>
    </comment>
    <comment ref="I42" authorId="2">
      <text>
        <r>
          <rPr>
            <sz val="9"/>
            <color indexed="81"/>
            <rFont val="Tahoma"/>
            <family val="2"/>
          </rPr>
          <t>Statistical equation</t>
        </r>
      </text>
    </comment>
    <comment ref="I50" authorId="2">
      <text>
        <r>
          <rPr>
            <sz val="9"/>
            <color indexed="81"/>
            <rFont val="Tahoma"/>
            <family val="2"/>
          </rPr>
          <t>Statistical equation</t>
        </r>
      </text>
    </comment>
    <comment ref="I51" authorId="3">
      <text>
        <r>
          <rPr>
            <sz val="10"/>
            <color indexed="81"/>
            <rFont val="Arial"/>
            <family val="2"/>
          </rPr>
          <t>This value approximates an elliptical span loading over an untwisted wing</t>
        </r>
      </text>
    </comment>
    <comment ref="I56" authorId="2">
      <text>
        <r>
          <rPr>
            <sz val="9"/>
            <color indexed="81"/>
            <rFont val="Tahoma"/>
            <family val="2"/>
          </rPr>
          <t>Statistical equation</t>
        </r>
      </text>
    </comment>
    <comment ref="M70" authorId="2">
      <text>
        <r>
          <rPr>
            <sz val="9"/>
            <color indexed="81"/>
            <rFont val="Tahoma"/>
            <family val="2"/>
          </rPr>
          <t>Slenderness ratio = 11 is chosen. This may be changed by changing the constant in this formula.</t>
        </r>
      </text>
    </comment>
    <comment ref="I71" authorId="2">
      <text>
        <r>
          <rPr>
            <sz val="9"/>
            <color indexed="81"/>
            <rFont val="Tahoma"/>
            <family val="2"/>
          </rPr>
          <t>The equation for this suggestion is based on statistics of only jet transport aircraft.</t>
        </r>
      </text>
    </comment>
    <comment ref="I72" authorId="2">
      <text>
        <r>
          <rPr>
            <sz val="9"/>
            <color indexed="81"/>
            <rFont val="Tahoma"/>
            <family val="2"/>
          </rPr>
          <t>Statistical equation</t>
        </r>
      </text>
    </comment>
    <comment ref="I73" authorId="2">
      <text>
        <r>
          <rPr>
            <sz val="9"/>
            <color indexed="81"/>
            <rFont val="Tahoma"/>
            <family val="2"/>
          </rPr>
          <t>Statistical equation</t>
        </r>
      </text>
    </comment>
    <comment ref="I78" authorId="2">
      <text>
        <r>
          <rPr>
            <sz val="9"/>
            <color indexed="81"/>
            <rFont val="Tahoma"/>
            <family val="2"/>
          </rPr>
          <t>Statistical equation</t>
        </r>
      </text>
    </comment>
    <comment ref="I79" authorId="2">
      <text>
        <r>
          <rPr>
            <sz val="9"/>
            <color indexed="81"/>
            <rFont val="Tahoma"/>
            <family val="2"/>
          </rPr>
          <t>Statistical equation</t>
        </r>
      </text>
    </comment>
    <comment ref="M80" authorId="4">
      <text>
        <r>
          <rPr>
            <b/>
            <sz val="8"/>
            <color indexed="81"/>
            <rFont val="Courier"/>
            <family val="3"/>
          </rPr>
          <t>The table below can be used as reference to fix a value for C</t>
        </r>
        <r>
          <rPr>
            <b/>
            <vertAlign val="subscript"/>
            <sz val="8"/>
            <color indexed="81"/>
            <rFont val="Courier"/>
            <family val="3"/>
          </rPr>
          <t>H</t>
        </r>
        <r>
          <rPr>
            <b/>
            <sz val="8"/>
            <color indexed="81"/>
            <rFont val="Courier"/>
            <family val="3"/>
          </rPr>
          <t xml:space="preserve">:
---------------------------------------------------------------
Aircraft Type </t>
        </r>
        <r>
          <rPr>
            <sz val="8"/>
            <color indexed="81"/>
            <rFont val="Courier"/>
            <family val="3"/>
          </rPr>
          <t>-------------------------</t>
        </r>
        <r>
          <rPr>
            <b/>
            <sz val="8"/>
            <color indexed="81"/>
            <rFont val="Courier"/>
            <family val="3"/>
          </rPr>
          <t xml:space="preserve"> Average
---------------------------------------------------------------
</t>
        </r>
        <r>
          <rPr>
            <sz val="8"/>
            <color indexed="81"/>
            <rFont val="Courier"/>
            <family val="3"/>
          </rPr>
          <t xml:space="preserve">    Sailplane                    -------- 0.500</t>
        </r>
        <r>
          <rPr>
            <b/>
            <sz val="8"/>
            <color indexed="81"/>
            <rFont val="Courier"/>
            <family val="3"/>
          </rPr>
          <t xml:space="preserve">
Civil Props  
</t>
        </r>
        <r>
          <rPr>
            <sz val="8"/>
            <color indexed="81"/>
            <rFont val="Courier"/>
            <family val="3"/>
          </rPr>
          <t xml:space="preserve">    Homebuilt                    -------- 0.484
    Personal                     -------- 0.593
    GA - Single engine           -------- 0.672
    GA - twin engine             -------- 0.812
    Commuter                     -------- 0.930
    Regional Turboprop           -------- 1.004
</t>
        </r>
        <r>
          <rPr>
            <b/>
            <sz val="8"/>
            <color indexed="81"/>
            <rFont val="Courier"/>
            <family val="3"/>
          </rPr>
          <t xml:space="preserve">Jet  
</t>
        </r>
        <r>
          <rPr>
            <sz val="8"/>
            <color indexed="81"/>
            <rFont val="Courier"/>
            <family val="3"/>
          </rPr>
          <t xml:space="preserve">    Business Jets                -------- 0.694
    Jet transport                -------- 0.991
    Supersonic Cruise Airplanes  -------- 0.535
</t>
        </r>
        <r>
          <rPr>
            <b/>
            <sz val="8"/>
            <color indexed="81"/>
            <rFont val="Courier"/>
            <family val="3"/>
          </rPr>
          <t xml:space="preserve">Military  
</t>
        </r>
        <r>
          <rPr>
            <sz val="8"/>
            <color indexed="81"/>
            <rFont val="Courier"/>
            <family val="3"/>
          </rPr>
          <t xml:space="preserve">    Jet Trainer                  -------- 0.663
    Jet Fighter                  -------- 0.356
    Military Transport           -------- 0.859
</t>
        </r>
        <r>
          <rPr>
            <b/>
            <sz val="8"/>
            <color indexed="81"/>
            <rFont val="Courier"/>
            <family val="3"/>
          </rPr>
          <t xml:space="preserve">Special purpose  
</t>
        </r>
        <r>
          <rPr>
            <sz val="8"/>
            <color indexed="81"/>
            <rFont val="Courier"/>
            <family val="3"/>
          </rPr>
          <t xml:space="preserve">    Flying Boat                  -------- 0.671
    Agricultural                 -------- 0.513</t>
        </r>
      </text>
    </comment>
    <comment ref="I81" authorId="2">
      <text>
        <r>
          <rPr>
            <sz val="9"/>
            <color indexed="81"/>
            <rFont val="Tahoma"/>
            <family val="2"/>
          </rPr>
          <t>Statistical equation</t>
        </r>
      </text>
    </comment>
    <comment ref="I84" authorId="0">
      <text>
        <r>
          <rPr>
            <sz val="9"/>
            <color indexed="81"/>
            <rFont val="Tahoma"/>
            <family val="2"/>
          </rPr>
          <t xml:space="preserve">Default: Conventional tail: -15%
T-Tail: 100%
Cruciform Tail: 50%
</t>
        </r>
      </text>
    </comment>
    <comment ref="M92" authorId="4">
      <text>
        <r>
          <rPr>
            <b/>
            <sz val="8"/>
            <color indexed="81"/>
            <rFont val="Courier"/>
            <family val="3"/>
          </rPr>
          <t>The table below can be used as reference to fix a value for C</t>
        </r>
        <r>
          <rPr>
            <b/>
            <vertAlign val="subscript"/>
            <sz val="8"/>
            <color indexed="81"/>
            <rFont val="Courier"/>
            <family val="3"/>
          </rPr>
          <t>V</t>
        </r>
        <r>
          <rPr>
            <b/>
            <sz val="8"/>
            <color indexed="81"/>
            <rFont val="Courier"/>
            <family val="3"/>
          </rPr>
          <t xml:space="preserve">:
---------------------------------------------------------------
Aircraft Type </t>
        </r>
        <r>
          <rPr>
            <sz val="8"/>
            <color indexed="81"/>
            <rFont val="Courier"/>
            <family val="3"/>
          </rPr>
          <t>------------------------</t>
        </r>
        <r>
          <rPr>
            <b/>
            <sz val="8"/>
            <color indexed="81"/>
            <rFont val="Courier"/>
            <family val="3"/>
          </rPr>
          <t xml:space="preserve"> Average
---------------------------------------------------------------
</t>
        </r>
        <r>
          <rPr>
            <sz val="8"/>
            <color indexed="81"/>
            <rFont val="Courier"/>
            <family val="3"/>
          </rPr>
          <t xml:space="preserve">    Sailplane                    ------- 0.0190</t>
        </r>
        <r>
          <rPr>
            <b/>
            <sz val="8"/>
            <color indexed="81"/>
            <rFont val="Courier"/>
            <family val="3"/>
          </rPr>
          <t xml:space="preserve">
Civil Props  
</t>
        </r>
        <r>
          <rPr>
            <sz val="8"/>
            <color indexed="81"/>
            <rFont val="Courier"/>
            <family val="3"/>
          </rPr>
          <t xml:space="preserve">    Homebuilt                    ------- 0.0380
    Personal                     ------- 0.0601
    GA - Single engine           ------- 0.0443
    GA - twin engine             ------- 0.0657
    Commuter                     ------- 0.0707
    Regional Turboprop           ------- 0.0790
</t>
        </r>
        <r>
          <rPr>
            <b/>
            <sz val="8"/>
            <color indexed="81"/>
            <rFont val="Courier"/>
            <family val="3"/>
          </rPr>
          <t xml:space="preserve">Jet  
</t>
        </r>
        <r>
          <rPr>
            <sz val="8"/>
            <color indexed="81"/>
            <rFont val="Courier"/>
            <family val="3"/>
          </rPr>
          <t xml:space="preserve">    Business Jets                ------- 0.0722
    Jet transport                ------- 0.0793
    Supersonic Cruise Airplanes  ------- 0.0635
</t>
        </r>
        <r>
          <rPr>
            <b/>
            <sz val="8"/>
            <color indexed="81"/>
            <rFont val="Courier"/>
            <family val="3"/>
          </rPr>
          <t xml:space="preserve">Military  
</t>
        </r>
        <r>
          <rPr>
            <sz val="8"/>
            <color indexed="81"/>
            <rFont val="Courier"/>
            <family val="3"/>
          </rPr>
          <t xml:space="preserve">    Jet Trainer                  ------- 0.0620
    Jet Fighter                  ------- 0.0710
    Military Transport           ------- 0.0742
</t>
        </r>
        <r>
          <rPr>
            <b/>
            <sz val="8"/>
            <color indexed="81"/>
            <rFont val="Courier"/>
            <family val="3"/>
          </rPr>
          <t xml:space="preserve">Special purpose  
</t>
        </r>
        <r>
          <rPr>
            <sz val="8"/>
            <color indexed="81"/>
            <rFont val="Courier"/>
            <family val="3"/>
          </rPr>
          <t xml:space="preserve">    Flying Boat                  ------- 0.0550
    Agricultural                 ------- 0.0360</t>
        </r>
      </text>
    </comment>
    <comment ref="I97" authorId="2">
      <text>
        <r>
          <rPr>
            <sz val="9"/>
            <color indexed="81"/>
            <rFont val="Tahoma"/>
            <family val="2"/>
          </rPr>
          <t>Statistical equation</t>
        </r>
      </text>
    </comment>
    <comment ref="I104" authorId="2">
      <text>
        <r>
          <rPr>
            <sz val="9"/>
            <color indexed="81"/>
            <rFont val="Tahoma"/>
            <family val="2"/>
          </rPr>
          <t>Statistical equation</t>
        </r>
      </text>
    </comment>
    <comment ref="I105" authorId="2">
      <text>
        <r>
          <rPr>
            <sz val="9"/>
            <color indexed="81"/>
            <rFont val="Tahoma"/>
            <family val="2"/>
          </rPr>
          <t>Statistical equation</t>
        </r>
      </text>
    </comment>
    <comment ref="I119" authorId="2">
      <text>
        <r>
          <rPr>
            <sz val="9"/>
            <color indexed="81"/>
            <rFont val="Tahoma"/>
            <family val="2"/>
          </rPr>
          <t>The constants in this equation are based on statistics of some turboprop aircraft. Please change to more suitable values if found inappropriate.</t>
        </r>
      </text>
    </comment>
    <comment ref="I121" authorId="2">
      <text>
        <r>
          <rPr>
            <sz val="9"/>
            <color indexed="81"/>
            <rFont val="Tahoma"/>
            <family val="2"/>
          </rPr>
          <t>The constants in this equation are based on statistics of some turboprop aircraft. Please change to more suitable values if found inappropriate.</t>
        </r>
      </text>
    </comment>
  </commentList>
</comments>
</file>

<file path=xl/comments2.xml><?xml version="1.0" encoding="utf-8"?>
<comments xmlns="http://schemas.openxmlformats.org/spreadsheetml/2006/main">
  <authors>
    <author>Tahir Sousa</author>
  </authors>
  <commentList>
    <comment ref="A269" authorId="0">
      <text>
        <r>
          <rPr>
            <b/>
            <sz val="9"/>
            <color indexed="81"/>
            <rFont val="Tahoma"/>
            <family val="2"/>
          </rPr>
          <t>Rounded Tip?</t>
        </r>
      </text>
    </comment>
    <comment ref="A1211" authorId="0">
      <text>
        <r>
          <rPr>
            <b/>
            <sz val="9"/>
            <color indexed="81"/>
            <rFont val="Tahoma"/>
            <family val="2"/>
          </rPr>
          <t>Parent Component</t>
        </r>
      </text>
    </comment>
    <comment ref="B1213" authorId="0">
      <text>
        <r>
          <rPr>
            <sz val="9"/>
            <color indexed="81"/>
            <rFont val="Tahoma"/>
            <family val="2"/>
          </rPr>
          <t>Engines are named on the basis of their position as they appear when looking into flight direction from left to right.</t>
        </r>
      </text>
    </comment>
    <comment ref="A1744" authorId="0">
      <text>
        <r>
          <rPr>
            <b/>
            <sz val="9"/>
            <color indexed="81"/>
            <rFont val="Tahoma"/>
            <family val="2"/>
          </rPr>
          <t>Parent Component</t>
        </r>
      </text>
    </comment>
    <comment ref="B1746" authorId="0">
      <text>
        <r>
          <rPr>
            <sz val="9"/>
            <color indexed="81"/>
            <rFont val="Tahoma"/>
            <family val="2"/>
          </rPr>
          <t>Engines are named on the basis of their position as they appear when looking into flight direction from left to right.</t>
        </r>
      </text>
    </comment>
    <comment ref="A2277" authorId="0">
      <text>
        <r>
          <rPr>
            <b/>
            <sz val="9"/>
            <color indexed="81"/>
            <rFont val="Tahoma"/>
            <family val="2"/>
          </rPr>
          <t>Parent Component</t>
        </r>
      </text>
    </comment>
    <comment ref="B2279" authorId="0">
      <text>
        <r>
          <rPr>
            <sz val="9"/>
            <color indexed="81"/>
            <rFont val="Tahoma"/>
            <family val="2"/>
          </rPr>
          <t>Engines are named on the basis of their position as they appear when looking into flight direction from left to right.</t>
        </r>
      </text>
    </comment>
    <comment ref="A2810" authorId="0">
      <text>
        <r>
          <rPr>
            <b/>
            <sz val="9"/>
            <color indexed="81"/>
            <rFont val="Tahoma"/>
            <family val="2"/>
          </rPr>
          <t>Parent Component</t>
        </r>
      </text>
    </comment>
    <comment ref="B2812" authorId="0">
      <text>
        <r>
          <rPr>
            <sz val="9"/>
            <color indexed="81"/>
            <rFont val="Tahoma"/>
            <family val="2"/>
          </rPr>
          <t>Engines are named on the basis of their position as they appear when looking into flight direction from left to right.</t>
        </r>
      </text>
    </comment>
    <comment ref="B3345" authorId="0">
      <text>
        <r>
          <rPr>
            <sz val="9"/>
            <color indexed="81"/>
            <rFont val="Tahoma"/>
            <family val="2"/>
          </rPr>
          <t>Landing gears are named on the basis of their position as they appear when looking into flight direction, from left to right.</t>
        </r>
      </text>
    </comment>
    <comment ref="B3426" authorId="0">
      <text>
        <r>
          <rPr>
            <sz val="9"/>
            <color indexed="81"/>
            <rFont val="Tahoma"/>
            <family val="2"/>
          </rPr>
          <t>Landing gears are named on the basis of their position as they appear when looking into flight direction, from left to right.</t>
        </r>
      </text>
    </comment>
    <comment ref="B3507" authorId="0">
      <text>
        <r>
          <rPr>
            <sz val="9"/>
            <color indexed="81"/>
            <rFont val="Tahoma"/>
            <family val="2"/>
          </rPr>
          <t>Landing gears are named on the basis of their position as they appear when looking into flight direction, from left to right.</t>
        </r>
      </text>
    </comment>
  </commentList>
</comments>
</file>

<file path=xl/sharedStrings.xml><?xml version="1.0" encoding="utf-8"?>
<sst xmlns="http://schemas.openxmlformats.org/spreadsheetml/2006/main" count="6103" uniqueCount="1010">
  <si>
    <t>&lt;/Vsp_Geometry&gt;</t>
  </si>
  <si>
    <t>Name</t>
  </si>
  <si>
    <t>Airfoil</t>
  </si>
  <si>
    <t>NACA 4-Series</t>
  </si>
  <si>
    <t>Camber</t>
  </si>
  <si>
    <t>Thickness</t>
  </si>
  <si>
    <t>Area</t>
  </si>
  <si>
    <t>Span</t>
  </si>
  <si>
    <t>Sweep</t>
  </si>
  <si>
    <t>Twist</t>
  </si>
  <si>
    <t>Dihedral</t>
  </si>
  <si>
    <t>Yes</t>
  </si>
  <si>
    <t>No</t>
  </si>
  <si>
    <t>VERTICAL TAIL</t>
  </si>
  <si>
    <t>Type</t>
  </si>
  <si>
    <t>Height</t>
  </si>
  <si>
    <t>Width</t>
  </si>
  <si>
    <t>&lt;PtrID&gt;148241632&lt;/PtrID&gt;</t>
  </si>
  <si>
    <t>&lt;PtrID&gt;148262920&lt;/PtrID&gt;</t>
  </si>
  <si>
    <t>&lt;User1&gt;0.000000&lt;/User1&gt;</t>
  </si>
  <si>
    <t>&lt;User2&gt;0.000000&lt;/User2&gt;</t>
  </si>
  <si>
    <t>&lt;User3&gt;0.000000&lt;/User3&gt;</t>
  </si>
  <si>
    <t>&lt;User4&gt;0.000000&lt;/User4&gt;</t>
  </si>
  <si>
    <t>&lt;User5&gt;0.000000&lt;/User5&gt;</t>
  </si>
  <si>
    <t>&lt;User6&gt;0.000000&lt;/User6&gt;</t>
  </si>
  <si>
    <t>&lt;User7&gt;0.000000&lt;/User7&gt;</t>
  </si>
  <si>
    <t>&lt;User8&gt;0.000000&lt;/User8&gt;</t>
  </si>
  <si>
    <t>&lt;/Component&gt;</t>
  </si>
  <si>
    <t>&lt;Type&gt;User&lt;/Type&gt;</t>
  </si>
  <si>
    <t>&lt;User_Parms&gt;</t>
  </si>
  <si>
    <t>&lt;/User_Parms&gt;</t>
  </si>
  <si>
    <t>&lt;/Component_List&gt;</t>
  </si>
  <si>
    <t>&lt;Label_List/&gt;</t>
  </si>
  <si>
    <t>&lt;ParmLink_List/&gt;</t>
  </si>
  <si>
    <t>EXTRA AIRFOIL!</t>
  </si>
  <si>
    <t>2 AIRFOILS!!</t>
  </si>
  <si>
    <t>"1.0"</t>
  </si>
  <si>
    <t>Vsp_Geometry</t>
  </si>
  <si>
    <t>Version</t>
  </si>
  <si>
    <t>Component_List</t>
  </si>
  <si>
    <t>Component</t>
  </si>
  <si>
    <t>Mswing</t>
  </si>
  <si>
    <t>General_Parms</t>
  </si>
  <si>
    <t>ColorR</t>
  </si>
  <si>
    <t>ColorG</t>
  </si>
  <si>
    <t>ColorB</t>
  </si>
  <si>
    <t>Symmetry</t>
  </si>
  <si>
    <t>RelXFormFlag</t>
  </si>
  <si>
    <t>MaterialID</t>
  </si>
  <si>
    <t>OutputFlag</t>
  </si>
  <si>
    <t>OutputNameID</t>
  </si>
  <si>
    <t>DisplayChildrenFlag</t>
  </si>
  <si>
    <t>NumPnts</t>
  </si>
  <si>
    <t>NumXsecs</t>
  </si>
  <si>
    <t>MassPrior</t>
  </si>
  <si>
    <t>ShellFlag</t>
  </si>
  <si>
    <t>Tran_X</t>
  </si>
  <si>
    <t>Tran_Y</t>
  </si>
  <si>
    <t>Tran_Z</t>
  </si>
  <si>
    <t>TranRel_X</t>
  </si>
  <si>
    <t>TranRel_Y</t>
  </si>
  <si>
    <t>TranRel_Z</t>
  </si>
  <si>
    <t>Rot_X</t>
  </si>
  <si>
    <t>Rot_Y</t>
  </si>
  <si>
    <t>Rot_Z</t>
  </si>
  <si>
    <t>RotRel_X</t>
  </si>
  <si>
    <t>RotRel_Y</t>
  </si>
  <si>
    <t>RotRel_Z</t>
  </si>
  <si>
    <t>Origin</t>
  </si>
  <si>
    <t>Density</t>
  </si>
  <si>
    <t>ShellMassArea</t>
  </si>
  <si>
    <t>RefFlag</t>
  </si>
  <si>
    <t>RefArea</t>
  </si>
  <si>
    <t>RefSpan</t>
  </si>
  <si>
    <t>RefCbar</t>
  </si>
  <si>
    <t>AutoRefAreaFlag</t>
  </si>
  <si>
    <t>AutoRefSpanFlag</t>
  </si>
  <si>
    <t>AutoRefCbarFlag</t>
  </si>
  <si>
    <t>AeroCenter_X</t>
  </si>
  <si>
    <t>AeroCenter_Y</t>
  </si>
  <si>
    <t>AeroCenter_Z</t>
  </si>
  <si>
    <t>AutoAeroCenterFlag</t>
  </si>
  <si>
    <t>WakeActiveFlag</t>
  </si>
  <si>
    <t>PosAttachFlag</t>
  </si>
  <si>
    <t>U_Attach</t>
  </si>
  <si>
    <t>V_Attach</t>
  </si>
  <si>
    <t>PtrID</t>
  </si>
  <si>
    <t>Parent_PtrID</t>
  </si>
  <si>
    <t>/General_Parms</t>
  </si>
  <si>
    <t>Mswing_Parms</t>
  </si>
  <si>
    <t>Total_Area</t>
  </si>
  <si>
    <t>Total_Span</t>
  </si>
  <si>
    <t>Total_Proj_Span</t>
  </si>
  <si>
    <t>Avg_Chord</t>
  </si>
  <si>
    <t>Sweep_Off</t>
  </si>
  <si>
    <t>Deg_Per_Seg</t>
  </si>
  <si>
    <t>Max_Num_Seg</t>
  </si>
  <si>
    <t>Rel_Dihedral_Flag</t>
  </si>
  <si>
    <t>Rel_Twist_Flag</t>
  </si>
  <si>
    <t>Round_End_Cap_Flag</t>
  </si>
  <si>
    <t>/Mswing_Parms</t>
  </si>
  <si>
    <t>Airfoil_List</t>
  </si>
  <si>
    <t>Inverted_Flag</t>
  </si>
  <si>
    <t>Camber_Loc</t>
  </si>
  <si>
    <t>Thickness_Loc</t>
  </si>
  <si>
    <t>Radius_Le</t>
  </si>
  <si>
    <t>Radius_Te</t>
  </si>
  <si>
    <t>Six_Series</t>
  </si>
  <si>
    <t>Ideal_Cl</t>
  </si>
  <si>
    <t>A</t>
  </si>
  <si>
    <t>Slat_Flag</t>
  </si>
  <si>
    <t>Slat_Shear_Flag</t>
  </si>
  <si>
    <t>Slat_Chord</t>
  </si>
  <si>
    <t>Slat_Angle</t>
  </si>
  <si>
    <t>Flap_Flag</t>
  </si>
  <si>
    <t>Flap_Shear_Flag</t>
  </si>
  <si>
    <t>Flap_Chord</t>
  </si>
  <si>
    <t>Flap_Angle</t>
  </si>
  <si>
    <t>/Airfoil</t>
  </si>
  <si>
    <t>/Airfoil_List</t>
  </si>
  <si>
    <t>Section_List</t>
  </si>
  <si>
    <t>Section</t>
  </si>
  <si>
    <t>Driver</t>
  </si>
  <si>
    <t>AR</t>
  </si>
  <si>
    <t>TR</t>
  </si>
  <si>
    <t>TC</t>
  </si>
  <si>
    <t>RC</t>
  </si>
  <si>
    <t>SweepLoc</t>
  </si>
  <si>
    <t>TwistLoc</t>
  </si>
  <si>
    <t>Dihed_Crv1</t>
  </si>
  <si>
    <t>Dihed_Crv2</t>
  </si>
  <si>
    <t>Dihed_Crv1_Str</t>
  </si>
  <si>
    <t>Dihed_Crv2_Str</t>
  </si>
  <si>
    <t>DihedRotFlag</t>
  </si>
  <si>
    <t>SmoothBlendFlag</t>
  </si>
  <si>
    <t>NumInterpXsecs</t>
  </si>
  <si>
    <t>/Section</t>
  </si>
  <si>
    <t>/Section_List</t>
  </si>
  <si>
    <t>/Component</t>
  </si>
  <si>
    <t>xml version</t>
  </si>
  <si>
    <t>HORIZONTAL TAIL</t>
  </si>
  <si>
    <t>WING</t>
  </si>
  <si>
    <t>FUSELAGE</t>
  </si>
  <si>
    <t>0.000000</t>
  </si>
  <si>
    <t>Wing</t>
  </si>
  <si>
    <t>CG_Rel_AC_Flag</t>
  </si>
  <si>
    <t>CG_X</t>
  </si>
  <si>
    <t>CG_Y</t>
  </si>
  <si>
    <t>CG_Z</t>
  </si>
  <si>
    <t>CFD_Mesh_Base_Length</t>
  </si>
  <si>
    <t>CFD_Mesh_Min_Length</t>
  </si>
  <si>
    <t>CFD_Mesh_Max_Gap</t>
  </si>
  <si>
    <t>CFD_Mesh_Num_Circle_Segments</t>
  </si>
  <si>
    <t>CFD_Mesh_Growth_Ratio</t>
  </si>
  <si>
    <t>CFD_Mesh_Rigorous_Limiting</t>
  </si>
  <si>
    <t>CFD_Far_Field_Scale_X</t>
  </si>
  <si>
    <t>CFD_Far_Field_Scale_Y</t>
  </si>
  <si>
    <t>CFD_Far_Field_Scale_Z</t>
  </si>
  <si>
    <t>CFD_Half_Mesh_Flag</t>
  </si>
  <si>
    <t>CFD_Wake_Angle</t>
  </si>
  <si>
    <t>CFD_Wake_Scale</t>
  </si>
  <si>
    <t>VirtWindow_List</t>
  </si>
  <si>
    <t>VirtWindow</t>
  </si>
  <si>
    <t>Back_Img_Scale_W</t>
  </si>
  <si>
    <t>Back_Img_Scale_H</t>
  </si>
  <si>
    <t>Back_Img_Offset_X</t>
  </si>
  <si>
    <t>Back_Img_Offset_Y</t>
  </si>
  <si>
    <t>User_View_List</t>
  </si>
  <si>
    <t>User_View</t>
  </si>
  <si>
    <t>Saved_User_View_Flag</t>
  </si>
  <si>
    <t>/User_View</t>
  </si>
  <si>
    <t>/User_View_List</t>
  </si>
  <si>
    <t>/VirtWindow</t>
  </si>
  <si>
    <t>/VirtWindow_List</t>
  </si>
  <si>
    <t>Fuse_Parms</t>
  </si>
  <si>
    <t>Fuse_Length</t>
  </si>
  <si>
    <t>Camber_Location</t>
  </si>
  <si>
    <t>Aft_Offset</t>
  </si>
  <si>
    <t>Nose_Angle</t>
  </si>
  <si>
    <t>Nose_Strength</t>
  </si>
  <si>
    <t>Nose_Rho</t>
  </si>
  <si>
    <t>Aft_Rho</t>
  </si>
  <si>
    <t>IML_Flag</t>
  </si>
  <si>
    <t>Space_Type</t>
  </si>
  <si>
    <t>Nose_Super_Flag</t>
  </si>
  <si>
    <t>Aft_Super_Flag</t>
  </si>
  <si>
    <t>/Fuse_Parms</t>
  </si>
  <si>
    <t>Cross_Section_List</t>
  </si>
  <si>
    <t>Cross_Section</t>
  </si>
  <si>
    <t>Num_Pnts</t>
  </si>
  <si>
    <t>Spine_Location</t>
  </si>
  <si>
    <t>Z_Offset</t>
  </si>
  <si>
    <t>Top_Thick</t>
  </si>
  <si>
    <t>Bot_Thick</t>
  </si>
  <si>
    <t>Side_Thick</t>
  </si>
  <si>
    <t>Act_Top_Thick</t>
  </si>
  <si>
    <t>Act_Bot_Thick</t>
  </si>
  <si>
    <t>Act_Side_Thick</t>
  </si>
  <si>
    <t>IML_X_Offset</t>
  </si>
  <si>
    <t>IML_Z_Offset</t>
  </si>
  <si>
    <t>ML_Type</t>
  </si>
  <si>
    <t>Profile_Tan_Str_1</t>
  </si>
  <si>
    <t>Profile_Tan_Str_2</t>
  </si>
  <si>
    <t>Profile_Tan_Ang</t>
  </si>
  <si>
    <t>Num_Sect_Interp_1</t>
  </si>
  <si>
    <t>Num_Sect_Interp_2</t>
  </si>
  <si>
    <t>OML_Parms</t>
  </si>
  <si>
    <t>Max_Width_Location</t>
  </si>
  <si>
    <t>Corner_Radius</t>
  </si>
  <si>
    <t>Top_Tan_Angle</t>
  </si>
  <si>
    <t>Bot_Tan_Angle</t>
  </si>
  <si>
    <t>Top_Tan_Strength</t>
  </si>
  <si>
    <t>Upper_Tan_Strength</t>
  </si>
  <si>
    <t>Lower_Tan_Strength</t>
  </si>
  <si>
    <t>Bottom_Tan_Strength</t>
  </si>
  <si>
    <t>/OML_Parms</t>
  </si>
  <si>
    <t>IML_Parms</t>
  </si>
  <si>
    <t>/IML_Parms</t>
  </si>
  <si>
    <t>/Cross_Section</t>
  </si>
  <si>
    <t>/Cross_Section_List</t>
  </si>
  <si>
    <t>Blank</t>
  </si>
  <si>
    <t>Children_PtrID</t>
  </si>
  <si>
    <t>Blank_Parms</t>
  </si>
  <si>
    <t>PointMassFlag</t>
  </si>
  <si>
    <t>PointMass</t>
  </si>
  <si>
    <t>/Blank_Parms</t>
  </si>
  <si>
    <t>Engine</t>
  </si>
  <si>
    <t>core_section</t>
  </si>
  <si>
    <t>Engine_Parms</t>
  </si>
  <si>
    <t>Engine_Type</t>
  </si>
  <si>
    <t>Radius_Tip</t>
  </si>
  <si>
    <t>Max_Tip</t>
  </si>
  <si>
    <t>Hub_Tip</t>
  </si>
  <si>
    <t>Eng_Length</t>
  </si>
  <si>
    <t>Inlet_Type</t>
  </si>
  <si>
    <t>Inl_Noz_Color</t>
  </si>
  <si>
    <t>Inlet_XY_Sym_Flag</t>
  </si>
  <si>
    <t>Inlet_Half_Split_Flag</t>
  </si>
  <si>
    <t>Cowl_Length</t>
  </si>
  <si>
    <t>Eng_Thrt_Ratio</t>
  </si>
  <si>
    <t>Hilight_Thrt_Ratio</t>
  </si>
  <si>
    <t>Lip_Finess_Ratio</t>
  </si>
  <si>
    <t>Height_Width_Ratio</t>
  </si>
  <si>
    <t>Upper_Surf_Shape_Factor</t>
  </si>
  <si>
    <t>Lower_Surf_Shape_Factor</t>
  </si>
  <si>
    <t>Inlet_X_Axis_Rot</t>
  </si>
  <si>
    <t>Inlet_Scarf_Angle</t>
  </si>
  <si>
    <t>Inlet_Duct_On_Off</t>
  </si>
  <si>
    <t>Inlet_Duct_X_Offset</t>
  </si>
  <si>
    <t>Inlet_Duct_Y_Offset</t>
  </si>
  <si>
    <t>Inlet_Duct_Shape_Factor</t>
  </si>
  <si>
    <t>Divertor_On_Off</t>
  </si>
  <si>
    <t>Divertor_Height</t>
  </si>
  <si>
    <t>Divertor_Length</t>
  </si>
  <si>
    <t>Nozzle_Type</t>
  </si>
  <si>
    <t>Nozzle_Length</t>
  </si>
  <si>
    <t>Exit_Area_Ratio</t>
  </si>
  <si>
    <t>Nozzle_Height_Width_Ratio</t>
  </si>
  <si>
    <t>Exit_Throat_Ratio</t>
  </si>
  <si>
    <t>Dive_Flap_Ratio</t>
  </si>
  <si>
    <t>Nozzle_Duct_On_Off</t>
  </si>
  <si>
    <t>Nozzle_Duct_X_Offset</t>
  </si>
  <si>
    <t>Nozzle_Duct_Y_Offset</t>
  </si>
  <si>
    <t>Nozzle_Duct_Shape_Factor</t>
  </si>
  <si>
    <t>/Engine_Parms</t>
  </si>
  <si>
    <t>fan_section</t>
  </si>
  <si>
    <t>User</t>
  </si>
  <si>
    <t>User_Parms</t>
  </si>
  <si>
    <t>User1</t>
  </si>
  <si>
    <t>User2</t>
  </si>
  <si>
    <t>User3</t>
  </si>
  <si>
    <t>User4</t>
  </si>
  <si>
    <t>User5</t>
  </si>
  <si>
    <t>User6</t>
  </si>
  <si>
    <t>User7</t>
  </si>
  <si>
    <t>User8</t>
  </si>
  <si>
    <t>/User_Parms</t>
  </si>
  <si>
    <t>/Component_List</t>
  </si>
  <si>
    <t>Label_List/</t>
  </si>
  <si>
    <t>ParmLink_List/</t>
  </si>
  <si>
    <t>/Vsp_Geometry</t>
  </si>
  <si>
    <t>USER PARAMETERS</t>
  </si>
  <si>
    <t>Fuselage</t>
  </si>
  <si>
    <t>&lt;Component&gt;</t>
  </si>
  <si>
    <t>Duct</t>
  </si>
  <si>
    <t>Duct_Parms</t>
  </si>
  <si>
    <t>Length</t>
  </si>
  <si>
    <t>Chord</t>
  </si>
  <si>
    <t>Inlet_Dia</t>
  </si>
  <si>
    <t>Inlet_Area</t>
  </si>
  <si>
    <t>Outlet_Dia</t>
  </si>
  <si>
    <t>Outlet_Area</t>
  </si>
  <si>
    <t>Inlet_Outlet</t>
  </si>
  <si>
    <t>/Duct_Parms</t>
  </si>
  <si>
    <t>Prop</t>
  </si>
  <si>
    <t>&lt;/Name&gt;</t>
  </si>
  <si>
    <t>Rotor</t>
  </si>
  <si>
    <t>Prop_Parms</t>
  </si>
  <si>
    <t>NumBlades</t>
  </si>
  <si>
    <t>SmoothFlag</t>
  </si>
  <si>
    <t>NumU</t>
  </si>
  <si>
    <t>NumW</t>
  </si>
  <si>
    <t>Diameter</t>
  </si>
  <si>
    <t>ConeAngle</t>
  </si>
  <si>
    <t>Pitch</t>
  </si>
  <si>
    <t>Sect_Parms</t>
  </si>
  <si>
    <t>X_Off</t>
  </si>
  <si>
    <t>Y_Off</t>
  </si>
  <si>
    <t>/Sect_Parms</t>
  </si>
  <si>
    <t>/Prop_Parms</t>
  </si>
  <si>
    <t>Cruise Mach Number</t>
  </si>
  <si>
    <r>
      <t>A</t>
    </r>
    <r>
      <rPr>
        <vertAlign val="subscript"/>
        <sz val="10"/>
        <rFont val="Arial"/>
        <family val="2"/>
      </rPr>
      <t>W</t>
    </r>
  </si>
  <si>
    <r>
      <t>S</t>
    </r>
    <r>
      <rPr>
        <vertAlign val="subscript"/>
        <sz val="10"/>
        <rFont val="Arial"/>
        <family val="2"/>
      </rPr>
      <t>W</t>
    </r>
  </si>
  <si>
    <t>Number of engines</t>
  </si>
  <si>
    <r>
      <t>n</t>
    </r>
    <r>
      <rPr>
        <vertAlign val="subscript"/>
        <sz val="10"/>
        <rFont val="Arial"/>
        <family val="2"/>
      </rPr>
      <t>e</t>
    </r>
  </si>
  <si>
    <t>[-]</t>
  </si>
  <si>
    <r>
      <t>[m</t>
    </r>
    <r>
      <rPr>
        <vertAlign val="superscript"/>
        <sz val="10"/>
        <rFont val="Arial"/>
        <family val="2"/>
      </rPr>
      <t>2</t>
    </r>
    <r>
      <rPr>
        <sz val="10"/>
        <rFont val="Arial"/>
        <family val="2"/>
      </rPr>
      <t>]</t>
    </r>
  </si>
  <si>
    <r>
      <t>λ</t>
    </r>
    <r>
      <rPr>
        <vertAlign val="subscript"/>
        <sz val="10"/>
        <rFont val="Arial"/>
        <family val="2"/>
      </rPr>
      <t>W</t>
    </r>
  </si>
  <si>
    <t>Fuselage length</t>
  </si>
  <si>
    <t>Fuselage diameter</t>
  </si>
  <si>
    <r>
      <t>L</t>
    </r>
    <r>
      <rPr>
        <vertAlign val="subscript"/>
        <sz val="10"/>
        <rFont val="Arial"/>
        <family val="2"/>
      </rPr>
      <t>F</t>
    </r>
  </si>
  <si>
    <r>
      <t>d</t>
    </r>
    <r>
      <rPr>
        <vertAlign val="subscript"/>
        <sz val="10"/>
        <rFont val="Arial"/>
        <family val="2"/>
      </rPr>
      <t>F</t>
    </r>
  </si>
  <si>
    <t>[m]</t>
  </si>
  <si>
    <t>Engine diameter</t>
  </si>
  <si>
    <t>Engine length</t>
  </si>
  <si>
    <t>Horizontal Tail</t>
  </si>
  <si>
    <t>Aspect Ratio</t>
  </si>
  <si>
    <t>Taper Ratio</t>
  </si>
  <si>
    <t>Vertical Tail</t>
  </si>
  <si>
    <t>Dorsal fin extension</t>
  </si>
  <si>
    <r>
      <t>A</t>
    </r>
    <r>
      <rPr>
        <vertAlign val="subscript"/>
        <sz val="10"/>
        <rFont val="Arial"/>
        <family val="2"/>
      </rPr>
      <t>H</t>
    </r>
  </si>
  <si>
    <r>
      <t>λ</t>
    </r>
    <r>
      <rPr>
        <vertAlign val="subscript"/>
        <sz val="10"/>
        <rFont val="Arial"/>
        <family val="2"/>
      </rPr>
      <t>H</t>
    </r>
  </si>
  <si>
    <r>
      <rPr>
        <sz val="10"/>
        <rFont val="Symbol"/>
        <family val="1"/>
        <charset val="2"/>
      </rPr>
      <t>j</t>
    </r>
    <r>
      <rPr>
        <vertAlign val="subscript"/>
        <sz val="10"/>
        <rFont val="Arial"/>
        <family val="2"/>
      </rPr>
      <t>25,H</t>
    </r>
  </si>
  <si>
    <r>
      <t>S</t>
    </r>
    <r>
      <rPr>
        <vertAlign val="subscript"/>
        <sz val="10"/>
        <rFont val="Arial"/>
        <family val="2"/>
      </rPr>
      <t>H</t>
    </r>
  </si>
  <si>
    <r>
      <t>A</t>
    </r>
    <r>
      <rPr>
        <vertAlign val="subscript"/>
        <sz val="10"/>
        <rFont val="Arial"/>
        <family val="2"/>
      </rPr>
      <t>V</t>
    </r>
  </si>
  <si>
    <r>
      <t>λ</t>
    </r>
    <r>
      <rPr>
        <vertAlign val="subscript"/>
        <sz val="10"/>
        <rFont val="Arial"/>
        <family val="2"/>
      </rPr>
      <t>V</t>
    </r>
  </si>
  <si>
    <r>
      <rPr>
        <sz val="10"/>
        <rFont val="Symbol"/>
        <family val="1"/>
        <charset val="2"/>
      </rPr>
      <t>j</t>
    </r>
    <r>
      <rPr>
        <vertAlign val="subscript"/>
        <sz val="10"/>
        <rFont val="Arial"/>
        <family val="2"/>
      </rPr>
      <t>25,V</t>
    </r>
  </si>
  <si>
    <r>
      <t>S</t>
    </r>
    <r>
      <rPr>
        <vertAlign val="subscript"/>
        <sz val="10"/>
        <rFont val="Arial"/>
        <family val="2"/>
      </rPr>
      <t>V</t>
    </r>
  </si>
  <si>
    <t>[˚]</t>
  </si>
  <si>
    <t>Nose length</t>
  </si>
  <si>
    <r>
      <t>L</t>
    </r>
    <r>
      <rPr>
        <vertAlign val="subscript"/>
        <sz val="10"/>
        <rFont val="Arial"/>
        <family val="2"/>
      </rPr>
      <t>nose,F</t>
    </r>
  </si>
  <si>
    <r>
      <t>L</t>
    </r>
    <r>
      <rPr>
        <vertAlign val="subscript"/>
        <sz val="10"/>
        <rFont val="Arial"/>
        <family val="2"/>
      </rPr>
      <t>aft,F</t>
    </r>
  </si>
  <si>
    <t>X position of wing</t>
  </si>
  <si>
    <t>% of fuselage length</t>
  </si>
  <si>
    <t>X position of HT</t>
  </si>
  <si>
    <t>Z position of HT</t>
  </si>
  <si>
    <r>
      <t>Г</t>
    </r>
    <r>
      <rPr>
        <vertAlign val="subscript"/>
        <sz val="10"/>
        <rFont val="Arial"/>
        <family val="2"/>
      </rPr>
      <t>H</t>
    </r>
  </si>
  <si>
    <t>Z position of wing</t>
  </si>
  <si>
    <t>Jet</t>
  </si>
  <si>
    <t>X</t>
  </si>
  <si>
    <t>Y</t>
  </si>
  <si>
    <t>Z</t>
  </si>
  <si>
    <t>Horizontal tail</t>
  </si>
  <si>
    <t>Vertical tail</t>
  </si>
  <si>
    <t>Landing Gear 1</t>
  </si>
  <si>
    <t>Landing Gear 2</t>
  </si>
  <si>
    <t>Landing Gear 3</t>
  </si>
  <si>
    <t>Prop Length</t>
  </si>
  <si>
    <t>% of fuselage diameter</t>
  </si>
  <si>
    <t>X position of VT</t>
  </si>
  <si>
    <r>
      <t>b</t>
    </r>
    <r>
      <rPr>
        <vertAlign val="subscript"/>
        <sz val="10"/>
        <rFont val="Arial"/>
        <family val="2"/>
      </rPr>
      <t>V</t>
    </r>
  </si>
  <si>
    <r>
      <t>d</t>
    </r>
    <r>
      <rPr>
        <vertAlign val="subscript"/>
        <sz val="10"/>
        <rFont val="Arial"/>
        <family val="2"/>
      </rPr>
      <t>e,p</t>
    </r>
  </si>
  <si>
    <t>Engine Type</t>
  </si>
  <si>
    <t>Average Disc Loading</t>
  </si>
  <si>
    <t xml:space="preserve">[kW*m/kg] </t>
  </si>
  <si>
    <r>
      <t>[kg/m</t>
    </r>
    <r>
      <rPr>
        <vertAlign val="superscript"/>
        <sz val="10"/>
        <rFont val="Arial"/>
        <family val="2"/>
      </rPr>
      <t>3]</t>
    </r>
  </si>
  <si>
    <r>
      <rPr>
        <sz val="10"/>
        <rFont val="Symbol"/>
        <family val="1"/>
        <charset val="2"/>
      </rPr>
      <t>j</t>
    </r>
    <r>
      <rPr>
        <vertAlign val="subscript"/>
        <sz val="10"/>
        <rFont val="Arial"/>
        <family val="2"/>
      </rPr>
      <t>0,V</t>
    </r>
  </si>
  <si>
    <t>Prop Rotor</t>
  </si>
  <si>
    <r>
      <rPr>
        <sz val="10"/>
        <rFont val="Symbol"/>
        <family val="1"/>
        <charset val="2"/>
      </rPr>
      <t>j</t>
    </r>
    <r>
      <rPr>
        <vertAlign val="subscript"/>
        <sz val="10"/>
        <rFont val="Arial"/>
        <family val="2"/>
      </rPr>
      <t>100,V</t>
    </r>
  </si>
  <si>
    <t>25% Sweep</t>
  </si>
  <si>
    <t>Dorsal fin?</t>
  </si>
  <si>
    <t>Root Chord</t>
  </si>
  <si>
    <t>Tip Chord</t>
  </si>
  <si>
    <r>
      <t>[m</t>
    </r>
    <r>
      <rPr>
        <sz val="10"/>
        <rFont val="Arial"/>
        <family val="2"/>
      </rPr>
      <t>]</t>
    </r>
  </si>
  <si>
    <r>
      <t>b</t>
    </r>
    <r>
      <rPr>
        <vertAlign val="subscript"/>
        <sz val="10"/>
        <rFont val="Arial"/>
        <family val="2"/>
      </rPr>
      <t>df</t>
    </r>
  </si>
  <si>
    <r>
      <t>c</t>
    </r>
    <r>
      <rPr>
        <vertAlign val="subscript"/>
        <sz val="10"/>
        <rFont val="Arial"/>
        <family val="2"/>
      </rPr>
      <t>r,df</t>
    </r>
  </si>
  <si>
    <t>Cowling cover</t>
  </si>
  <si>
    <r>
      <t>c</t>
    </r>
    <r>
      <rPr>
        <vertAlign val="subscript"/>
        <sz val="10"/>
        <rFont val="Arial"/>
        <family val="2"/>
      </rPr>
      <t>t,w</t>
    </r>
  </si>
  <si>
    <r>
      <t>c</t>
    </r>
    <r>
      <rPr>
        <vertAlign val="subscript"/>
        <sz val="10"/>
        <rFont val="Arial"/>
        <family val="2"/>
      </rPr>
      <t>r,w</t>
    </r>
  </si>
  <si>
    <r>
      <t>b</t>
    </r>
    <r>
      <rPr>
        <vertAlign val="subscript"/>
        <sz val="10"/>
        <rFont val="Arial"/>
        <family val="2"/>
      </rPr>
      <t>w</t>
    </r>
  </si>
  <si>
    <t>Inboard Half-Span</t>
  </si>
  <si>
    <t>Total Area</t>
  </si>
  <si>
    <t>Total Span</t>
  </si>
  <si>
    <t>pylon</t>
  </si>
  <si>
    <t>Positions of Aircraft Components</t>
  </si>
  <si>
    <t>% of core section</t>
  </si>
  <si>
    <t>Airfoil1</t>
  </si>
  <si>
    <t>Section1</t>
  </si>
  <si>
    <t>Airfoil2</t>
  </si>
  <si>
    <t>Section2</t>
  </si>
  <si>
    <t>CrossSection1</t>
  </si>
  <si>
    <t>CrossSection2</t>
  </si>
  <si>
    <t>CrossSection3</t>
  </si>
  <si>
    <t>CrossSection4</t>
  </si>
  <si>
    <t>CrossSection5</t>
  </si>
  <si>
    <t>CrossSection6</t>
  </si>
  <si>
    <t>CrossSection7</t>
  </si>
  <si>
    <t>CrossSection8</t>
  </si>
  <si>
    <t>CrossSection9</t>
  </si>
  <si>
    <t>Airfoil0</t>
  </si>
  <si>
    <t>Section0</t>
  </si>
  <si>
    <t>CrossSection0</t>
  </si>
  <si>
    <t>Section3</t>
  </si>
  <si>
    <t>Requirements</t>
  </si>
  <si>
    <t>Propeller</t>
  </si>
  <si>
    <r>
      <t>T</t>
    </r>
    <r>
      <rPr>
        <vertAlign val="subscript"/>
        <sz val="10"/>
        <rFont val="Arial"/>
        <family val="2"/>
      </rPr>
      <t>TO</t>
    </r>
  </si>
  <si>
    <t>Total Engine Thrust</t>
  </si>
  <si>
    <t>[kN]</t>
  </si>
  <si>
    <r>
      <t>P</t>
    </r>
    <r>
      <rPr>
        <vertAlign val="subscript"/>
        <sz val="10"/>
        <rFont val="Arial"/>
        <family val="2"/>
      </rPr>
      <t>TO</t>
    </r>
  </si>
  <si>
    <t>Total Engine Power</t>
  </si>
  <si>
    <t>[kW]</t>
  </si>
  <si>
    <t>Jet engine diameter</t>
  </si>
  <si>
    <t>Prop engine diameter</t>
  </si>
  <si>
    <r>
      <t>d</t>
    </r>
    <r>
      <rPr>
        <vertAlign val="subscript"/>
        <sz val="10"/>
        <rFont val="Arial"/>
        <family val="2"/>
      </rPr>
      <t>e,j</t>
    </r>
  </si>
  <si>
    <t>Jet engine length</t>
  </si>
  <si>
    <t>Prop engine length</t>
  </si>
  <si>
    <t>Convert to OpenVSP XML</t>
  </si>
  <si>
    <t>&lt;&lt;&lt;&lt;&lt;&lt;</t>
  </si>
  <si>
    <r>
      <rPr>
        <sz val="10"/>
        <rFont val="Symbol"/>
        <family val="1"/>
        <charset val="2"/>
      </rPr>
      <t>j</t>
    </r>
    <r>
      <rPr>
        <vertAlign val="subscript"/>
        <sz val="10"/>
        <rFont val="Arial"/>
        <family val="2"/>
      </rPr>
      <t>0,W,o</t>
    </r>
  </si>
  <si>
    <r>
      <rPr>
        <sz val="10"/>
        <rFont val="Symbol"/>
        <family val="1"/>
        <charset val="2"/>
      </rPr>
      <t>j</t>
    </r>
    <r>
      <rPr>
        <vertAlign val="subscript"/>
        <sz val="10"/>
        <rFont val="Arial"/>
        <family val="2"/>
      </rPr>
      <t>100,W,i</t>
    </r>
  </si>
  <si>
    <r>
      <rPr>
        <sz val="10"/>
        <rFont val="Symbol"/>
        <family val="1"/>
        <charset val="2"/>
      </rPr>
      <t>j</t>
    </r>
    <r>
      <rPr>
        <vertAlign val="subscript"/>
        <sz val="10"/>
        <rFont val="Arial"/>
        <family val="2"/>
      </rPr>
      <t>25,W,o</t>
    </r>
  </si>
  <si>
    <t>Prop rotor diameter</t>
  </si>
  <si>
    <r>
      <t>d</t>
    </r>
    <r>
      <rPr>
        <vertAlign val="subscript"/>
        <sz val="10"/>
        <rFont val="Arial"/>
        <family val="2"/>
      </rPr>
      <t>e,p,r</t>
    </r>
  </si>
  <si>
    <r>
      <rPr>
        <sz val="10"/>
        <rFont val="Calibri"/>
        <family val="2"/>
      </rPr>
      <t>η</t>
    </r>
    <r>
      <rPr>
        <vertAlign val="subscript"/>
        <sz val="10"/>
        <rFont val="Arial"/>
        <family val="2"/>
      </rPr>
      <t>k,W</t>
    </r>
  </si>
  <si>
    <t>HTail</t>
  </si>
  <si>
    <t>VTail</t>
  </si>
  <si>
    <r>
      <t>c</t>
    </r>
    <r>
      <rPr>
        <vertAlign val="subscript"/>
        <sz val="10"/>
        <rFont val="Arial"/>
        <family val="2"/>
      </rPr>
      <t>r,V</t>
    </r>
  </si>
  <si>
    <r>
      <t>c</t>
    </r>
    <r>
      <rPr>
        <vertAlign val="subscript"/>
        <sz val="10"/>
        <rFont val="Arial"/>
        <family val="2"/>
      </rPr>
      <t>t,V</t>
    </r>
  </si>
  <si>
    <t>Outer Aspect Ratio</t>
  </si>
  <si>
    <t>Outer Taper Ratio</t>
  </si>
  <si>
    <t>25% Wing sweep suggestion</t>
  </si>
  <si>
    <t xml:space="preserve">  1.</t>
  </si>
  <si>
    <t>Action buttons</t>
  </si>
  <si>
    <t xml:space="preserve">  2.</t>
  </si>
  <si>
    <t xml:space="preserve">  3.</t>
  </si>
  <si>
    <t xml:space="preserve">  4.</t>
  </si>
  <si>
    <t xml:space="preserve">  5.</t>
  </si>
  <si>
    <t xml:space="preserve">  6.</t>
  </si>
  <si>
    <t xml:space="preserve">  7.</t>
  </si>
  <si>
    <t xml:space="preserve">  8.</t>
  </si>
  <si>
    <t>Wing Type</t>
  </si>
  <si>
    <t>Relative kink position</t>
  </si>
  <si>
    <t>Fuselage aft length</t>
  </si>
  <si>
    <t>Cylinder length</t>
  </si>
  <si>
    <r>
      <t>L</t>
    </r>
    <r>
      <rPr>
        <vertAlign val="subscript"/>
        <sz val="10"/>
        <rFont val="Arial"/>
        <family val="2"/>
      </rPr>
      <t>c,F</t>
    </r>
  </si>
  <si>
    <t>Total area</t>
  </si>
  <si>
    <t>Total aspect ratio</t>
  </si>
  <si>
    <t>Taper ratio</t>
  </si>
  <si>
    <t>Dihedral angle</t>
  </si>
  <si>
    <r>
      <rPr>
        <sz val="10"/>
        <rFont val="Symbol"/>
        <family val="1"/>
        <charset val="2"/>
      </rPr>
      <t>j</t>
    </r>
    <r>
      <rPr>
        <vertAlign val="subscript"/>
        <sz val="10"/>
        <rFont val="Arial"/>
        <family val="2"/>
      </rPr>
      <t>0,df</t>
    </r>
  </si>
  <si>
    <t>Total Aspect ratio</t>
  </si>
  <si>
    <r>
      <rPr>
        <sz val="10"/>
        <rFont val="Symbol"/>
        <family val="1"/>
        <charset val="2"/>
      </rPr>
      <t>j</t>
    </r>
    <r>
      <rPr>
        <vertAlign val="subscript"/>
        <sz val="10"/>
        <rFont val="Arial"/>
        <family val="2"/>
      </rPr>
      <t>0,W,i</t>
    </r>
  </si>
  <si>
    <r>
      <t>Г</t>
    </r>
    <r>
      <rPr>
        <vertAlign val="subscript"/>
        <sz val="10"/>
        <rFont val="Arial"/>
        <family val="2"/>
      </rPr>
      <t>W.o</t>
    </r>
  </si>
  <si>
    <t>Outboard dihedral angle</t>
  </si>
  <si>
    <t>Inboard dihedral angle</t>
  </si>
  <si>
    <t>Tail volume coefficient of VT</t>
  </si>
  <si>
    <r>
      <t>C</t>
    </r>
    <r>
      <rPr>
        <vertAlign val="subscript"/>
        <sz val="10"/>
        <rFont val="Arial"/>
        <family val="2"/>
      </rPr>
      <t>H</t>
    </r>
  </si>
  <si>
    <t>Tail volume coefficient of HT</t>
  </si>
  <si>
    <t>Input of Aircraft Design Parameters</t>
  </si>
  <si>
    <t>Convert data from Input-Tab to an OpenVSP XML file.</t>
  </si>
  <si>
    <r>
      <t>Г</t>
    </r>
    <r>
      <rPr>
        <vertAlign val="subscript"/>
        <sz val="10"/>
        <rFont val="Arial"/>
        <family val="2"/>
      </rPr>
      <t>W.i</t>
    </r>
  </si>
  <si>
    <r>
      <t>l</t>
    </r>
    <r>
      <rPr>
        <vertAlign val="subscript"/>
        <sz val="10"/>
        <rFont val="Arial"/>
        <family val="2"/>
      </rPr>
      <t>e,j</t>
    </r>
  </si>
  <si>
    <r>
      <t>l</t>
    </r>
    <r>
      <rPr>
        <vertAlign val="subscript"/>
        <sz val="10"/>
        <rFont val="Arial"/>
        <family val="2"/>
      </rPr>
      <t>e,p</t>
    </r>
  </si>
  <si>
    <t>Disc Loading density</t>
  </si>
  <si>
    <t>Max. Operating Mach Number</t>
  </si>
  <si>
    <r>
      <t>M</t>
    </r>
    <r>
      <rPr>
        <vertAlign val="subscript"/>
        <sz val="10"/>
        <rFont val="Arial"/>
        <family val="2"/>
      </rPr>
      <t>MO</t>
    </r>
  </si>
  <si>
    <t>Cockpit length</t>
  </si>
  <si>
    <r>
      <t>L</t>
    </r>
    <r>
      <rPr>
        <vertAlign val="subscript"/>
        <sz val="10"/>
        <rFont val="Arial"/>
        <family val="2"/>
      </rPr>
      <t>cock,F</t>
    </r>
  </si>
  <si>
    <t>Thickness ratio</t>
  </si>
  <si>
    <t>Airfoil thickness ratio</t>
  </si>
  <si>
    <t>(t\c)</t>
  </si>
  <si>
    <t>Number of blades</t>
  </si>
  <si>
    <r>
      <t>n</t>
    </r>
    <r>
      <rPr>
        <vertAlign val="subscript"/>
        <sz val="10"/>
        <rFont val="Arial"/>
        <family val="2"/>
      </rPr>
      <t>b,p</t>
    </r>
  </si>
  <si>
    <t>compare all data with A320</t>
  </si>
  <si>
    <r>
      <t>Type</t>
    </r>
    <r>
      <rPr>
        <vertAlign val="subscript"/>
        <sz val="10"/>
        <rFont val="Arial"/>
        <family val="2"/>
      </rPr>
      <t>W</t>
    </r>
  </si>
  <si>
    <r>
      <t>RelPos</t>
    </r>
    <r>
      <rPr>
        <vertAlign val="subscript"/>
        <sz val="10"/>
        <rFont val="Arial"/>
        <family val="2"/>
      </rPr>
      <t>W,x</t>
    </r>
  </si>
  <si>
    <r>
      <t>RelPos</t>
    </r>
    <r>
      <rPr>
        <vertAlign val="subscript"/>
        <sz val="10"/>
        <rFont val="Arial"/>
        <family val="2"/>
      </rPr>
      <t>W,z</t>
    </r>
  </si>
  <si>
    <r>
      <t>RelPos</t>
    </r>
    <r>
      <rPr>
        <vertAlign val="subscript"/>
        <sz val="10"/>
        <rFont val="Arial"/>
        <family val="2"/>
      </rPr>
      <t>H,x</t>
    </r>
  </si>
  <si>
    <r>
      <t>RelPos</t>
    </r>
    <r>
      <rPr>
        <vertAlign val="subscript"/>
        <sz val="10"/>
        <rFont val="Arial"/>
        <family val="2"/>
      </rPr>
      <t>H,z</t>
    </r>
  </si>
  <si>
    <r>
      <t>Type</t>
    </r>
    <r>
      <rPr>
        <vertAlign val="subscript"/>
        <sz val="10"/>
        <rFont val="Arial"/>
        <family val="2"/>
      </rPr>
      <t>df</t>
    </r>
  </si>
  <si>
    <r>
      <t>RelPos</t>
    </r>
    <r>
      <rPr>
        <vertAlign val="subscript"/>
        <sz val="10"/>
        <rFont val="Arial"/>
        <family val="2"/>
      </rPr>
      <t>V,x</t>
    </r>
  </si>
  <si>
    <t>% of VT span</t>
  </si>
  <si>
    <t>Fuselage tail length</t>
  </si>
  <si>
    <r>
      <t>L</t>
    </r>
    <r>
      <rPr>
        <vertAlign val="subscript"/>
        <sz val="10"/>
        <rFont val="Arial"/>
        <family val="2"/>
      </rPr>
      <t>tail,F</t>
    </r>
  </si>
  <si>
    <t>Visualization</t>
  </si>
  <si>
    <t>needed?</t>
  </si>
  <si>
    <t>XML generated from OpenVSP Connect</t>
  </si>
  <si>
    <t>Parameter values</t>
  </si>
  <si>
    <t>Parameter names</t>
  </si>
  <si>
    <r>
      <t>M</t>
    </r>
    <r>
      <rPr>
        <vertAlign val="subscript"/>
        <sz val="10"/>
        <rFont val="Arial"/>
        <family val="2"/>
      </rPr>
      <t>CR</t>
    </r>
  </si>
  <si>
    <t>Taper Ratio Suggestion</t>
  </si>
  <si>
    <t>Mach number constant</t>
  </si>
  <si>
    <r>
      <t>k</t>
    </r>
    <r>
      <rPr>
        <vertAlign val="subscript"/>
        <sz val="10"/>
        <rFont val="Arial"/>
        <family val="2"/>
      </rPr>
      <t>M,MO</t>
    </r>
  </si>
  <si>
    <t>Relative kink constant</t>
  </si>
  <si>
    <r>
      <t>k</t>
    </r>
    <r>
      <rPr>
        <vertAlign val="subscript"/>
        <sz val="10"/>
        <rFont val="Calibri"/>
        <family val="2"/>
      </rPr>
      <t>η</t>
    </r>
    <r>
      <rPr>
        <vertAlign val="subscript"/>
        <sz val="10"/>
        <rFont val="Arial"/>
        <family val="2"/>
      </rPr>
      <t>,k,W</t>
    </r>
  </si>
  <si>
    <t>Slenderness ratio</t>
  </si>
  <si>
    <r>
      <t>k</t>
    </r>
    <r>
      <rPr>
        <vertAlign val="subscript"/>
        <sz val="10"/>
        <rFont val="Calibri"/>
        <family val="2"/>
      </rPr>
      <t>l</t>
    </r>
    <r>
      <rPr>
        <vertAlign val="subscript"/>
        <sz val="10"/>
        <rFont val="Arial"/>
        <family val="2"/>
      </rPr>
      <t>,F\d,F</t>
    </r>
  </si>
  <si>
    <r>
      <t>C</t>
    </r>
    <r>
      <rPr>
        <vertAlign val="subscript"/>
        <sz val="10"/>
        <rFont val="Calibri"/>
        <family val="2"/>
      </rPr>
      <t>V</t>
    </r>
  </si>
  <si>
    <t>Cockpit length constant</t>
  </si>
  <si>
    <t>Fuselage tailcone constant</t>
  </si>
  <si>
    <t>HT Aspect ratio constant</t>
  </si>
  <si>
    <t>HT taper ratio constant</t>
  </si>
  <si>
    <t>HT 25% sweep constant</t>
  </si>
  <si>
    <r>
      <t>k</t>
    </r>
    <r>
      <rPr>
        <vertAlign val="subscript"/>
        <sz val="10"/>
        <rFont val="Calibri"/>
        <family val="2"/>
      </rPr>
      <t>l,cock,F</t>
    </r>
  </si>
  <si>
    <r>
      <t>k</t>
    </r>
    <r>
      <rPr>
        <vertAlign val="subscript"/>
        <sz val="10"/>
        <rFont val="Calibri"/>
        <family val="2"/>
      </rPr>
      <t>l,tail,F</t>
    </r>
  </si>
  <si>
    <r>
      <t>k</t>
    </r>
    <r>
      <rPr>
        <vertAlign val="subscript"/>
        <sz val="10"/>
        <rFont val="Calibri"/>
        <family val="2"/>
      </rPr>
      <t>A,H</t>
    </r>
  </si>
  <si>
    <r>
      <t>k</t>
    </r>
    <r>
      <rPr>
        <vertAlign val="subscript"/>
        <sz val="10"/>
        <rFont val="Calibri"/>
        <family val="2"/>
      </rPr>
      <t>λ,H</t>
    </r>
  </si>
  <si>
    <r>
      <t>k</t>
    </r>
    <r>
      <rPr>
        <vertAlign val="subscript"/>
        <sz val="10"/>
        <rFont val="Calibri"/>
        <family val="2"/>
      </rPr>
      <t>A,V,1</t>
    </r>
  </si>
  <si>
    <r>
      <t>k</t>
    </r>
    <r>
      <rPr>
        <vertAlign val="subscript"/>
        <sz val="10"/>
        <rFont val="Calibri"/>
        <family val="2"/>
      </rPr>
      <t>λ,V,1</t>
    </r>
  </si>
  <si>
    <r>
      <t>k</t>
    </r>
    <r>
      <rPr>
        <vertAlign val="subscript"/>
        <sz val="10"/>
        <rFont val="Calibri"/>
        <family val="2"/>
      </rPr>
      <t>A,V,2</t>
    </r>
  </si>
  <si>
    <r>
      <t>k</t>
    </r>
    <r>
      <rPr>
        <vertAlign val="subscript"/>
        <sz val="10"/>
        <rFont val="Calibri"/>
        <family val="2"/>
      </rPr>
      <t>λ,V,2</t>
    </r>
  </si>
  <si>
    <t>Description</t>
  </si>
  <si>
    <t>Aircraft Name</t>
  </si>
  <si>
    <t xml:space="preserve">http://www.gnu.org/licenses/ </t>
  </si>
  <si>
    <t>See the GNU General Public License for more details.</t>
  </si>
  <si>
    <t>MERCHANTABILITY or FITNESS FOR A PARTICULAR PURPOSE.</t>
  </si>
  <si>
    <t>but WITHOUT ANY WARRANTY; without even the implied warranty of</t>
  </si>
  <si>
    <t>OpenVSP-Connect is distributed in the hope that it will be useful,</t>
  </si>
  <si>
    <t>the Free Software Foundation, License Version 3.</t>
  </si>
  <si>
    <t>it under the terms of the GNU General Public License as published by</t>
  </si>
  <si>
    <t>OpenVSP-Connect is free software: you can redistribute it and/or modify</t>
  </si>
  <si>
    <t>Copyright © 2013</t>
  </si>
  <si>
    <t>OpenVSP-Connect is a project by Aircraft Design and Systems Group (AERO) at Hamburg University of Applied Sciences  (HAW Hamburg).</t>
  </si>
  <si>
    <t>an aircraft can be sketched automatically based on passenger aircraft statistics.</t>
  </si>
  <si>
    <t>For each parameter a proposed value is given and automatically applied as long as the user does not specify his/her own value.</t>
  </si>
  <si>
    <t>http://www.openVSP.org</t>
  </si>
  <si>
    <r>
      <t>Connect</t>
    </r>
    <r>
      <rPr>
        <sz val="24"/>
        <color indexed="8"/>
        <rFont val="Calibri"/>
        <family val="2"/>
      </rPr>
      <t xml:space="preserve"> YOUR Aircraft Design Tool with Vehicle Sketch Pad from NASA</t>
    </r>
  </si>
  <si>
    <r>
      <t>Δ</t>
    </r>
    <r>
      <rPr>
        <sz val="10"/>
        <rFont val="Symbol"/>
        <family val="1"/>
        <charset val="2"/>
      </rPr>
      <t>j</t>
    </r>
    <r>
      <rPr>
        <vertAlign val="subscript"/>
        <sz val="10"/>
        <rFont val="Arial"/>
        <family val="2"/>
      </rPr>
      <t>25,H</t>
    </r>
  </si>
  <si>
    <t>Wing  MAC</t>
  </si>
  <si>
    <r>
      <rPr>
        <sz val="10"/>
        <rFont val="Symbol"/>
        <family val="1"/>
        <charset val="2"/>
      </rPr>
      <t>j</t>
    </r>
    <r>
      <rPr>
        <vertAlign val="subscript"/>
        <sz val="10"/>
        <rFont val="Arial"/>
        <family val="2"/>
      </rPr>
      <t>100,W,o</t>
    </r>
  </si>
  <si>
    <t>Aspect ratio for conv. Tail</t>
  </si>
  <si>
    <t>Taper ratio for conv. Tail</t>
  </si>
  <si>
    <t>Aspect ratio for t-tail</t>
  </si>
  <si>
    <t>Taper ratio for T-tail</t>
  </si>
  <si>
    <t>Leading edge Sweep</t>
  </si>
  <si>
    <t>Inboard Leading edge Sweep</t>
  </si>
  <si>
    <t>Outboard Trailing edge sweep</t>
  </si>
  <si>
    <t>Inboard Trailing edge Sweep</t>
  </si>
  <si>
    <t>Trailing edge Sweep</t>
  </si>
  <si>
    <t>Dorsal fin extension chord from VT</t>
  </si>
  <si>
    <t>Dorsal fin Leading edge sweep</t>
  </si>
  <si>
    <t>CoreSect</t>
  </si>
  <si>
    <t>Pylon</t>
  </si>
  <si>
    <t>FanSect</t>
  </si>
  <si>
    <t>[%]</t>
  </si>
  <si>
    <t>y-pos constant for 2 engines</t>
  </si>
  <si>
    <t>y-pos constant for 4 engines</t>
  </si>
  <si>
    <r>
      <t>k</t>
    </r>
    <r>
      <rPr>
        <vertAlign val="subscript"/>
        <sz val="10"/>
        <rFont val="Calibri"/>
        <family val="2"/>
      </rPr>
      <t>pos,e,j1,y</t>
    </r>
  </si>
  <si>
    <r>
      <t>k</t>
    </r>
    <r>
      <rPr>
        <vertAlign val="subscript"/>
        <sz val="10"/>
        <rFont val="Calibri"/>
        <family val="2"/>
      </rPr>
      <t>pos,e,j3,y</t>
    </r>
  </si>
  <si>
    <t>2 engines inter-blade distance</t>
  </si>
  <si>
    <r>
      <t>y</t>
    </r>
    <r>
      <rPr>
        <vertAlign val="subscript"/>
        <sz val="10"/>
        <rFont val="Calibri"/>
        <family val="2"/>
      </rPr>
      <t>p1\p2</t>
    </r>
  </si>
  <si>
    <t>4 engines inter-blade distance</t>
  </si>
  <si>
    <r>
      <t>y</t>
    </r>
    <r>
      <rPr>
        <vertAlign val="subscript"/>
        <sz val="10"/>
        <rFont val="Calibri"/>
        <family val="2"/>
      </rPr>
      <t>p3\p4</t>
    </r>
  </si>
  <si>
    <t>Rel. y-pos of LG on wing half-span</t>
  </si>
  <si>
    <r>
      <t>k</t>
    </r>
    <r>
      <rPr>
        <vertAlign val="subscript"/>
        <sz val="10"/>
        <rFont val="Calibri"/>
        <family val="2"/>
      </rPr>
      <t>LG1\b.W\2</t>
    </r>
  </si>
  <si>
    <t>Kink chord</t>
  </si>
  <si>
    <t>Number of Passangers</t>
  </si>
  <si>
    <r>
      <t>n</t>
    </r>
    <r>
      <rPr>
        <vertAlign val="subscript"/>
        <sz val="10"/>
        <rFont val="Arial"/>
        <family val="2"/>
        <charset val="204"/>
      </rPr>
      <t>p</t>
    </r>
  </si>
  <si>
    <t>Toral Area Suggestion</t>
  </si>
  <si>
    <r>
      <t>[m</t>
    </r>
    <r>
      <rPr>
        <vertAlign val="superscript"/>
        <sz val="10"/>
        <rFont val="Arial"/>
        <family val="2"/>
        <charset val="204"/>
      </rPr>
      <t>2</t>
    </r>
    <r>
      <rPr>
        <sz val="10"/>
        <rFont val="Arial"/>
        <family val="2"/>
        <charset val="204"/>
      </rPr>
      <t>]</t>
    </r>
  </si>
  <si>
    <t>[°]</t>
  </si>
  <si>
    <t xml:space="preserve"> </t>
  </si>
  <si>
    <t>Number of seats per row</t>
  </si>
  <si>
    <r>
      <t>n</t>
    </r>
    <r>
      <rPr>
        <vertAlign val="subscript"/>
        <sz val="10"/>
        <rFont val="Arial"/>
        <family val="2"/>
        <charset val="204"/>
      </rPr>
      <t>SA</t>
    </r>
  </si>
  <si>
    <t>In the order of 47 core parameters of the aircraft are used to calculate the input parameters required by OpenVSP to sketch a passenger aircraft.</t>
  </si>
  <si>
    <t>Veselin Pavlov, Tahir Sousa and Dieter Scholz</t>
  </si>
  <si>
    <t>Double-trapezoidal</t>
  </si>
  <si>
    <t>D:\Homepage\OpenVSP\vsp.exe</t>
  </si>
  <si>
    <t>D:\Homepage\OpenVSP</t>
  </si>
  <si>
    <t>AirbusA320</t>
  </si>
  <si>
    <t>Path to OpenVSP Executable</t>
  </si>
  <si>
    <t>Enter the results from any aircraft sizing or aircraft conceptual design tool. If data is unknown, use default values as proposed here.</t>
  </si>
  <si>
    <t>OpenVSP-Connect started as an interface tool between ANY aircraft design tool and Open Vehicle Sketch Pad (openVSP) from NASA.</t>
  </si>
  <si>
    <t>OpenVSP renders a 3D visualization of an aircraft. Follow this link for more information on OpenVSP:</t>
  </si>
  <si>
    <t>OpenVSP-Connect still runs on OpenVSP 2.2.4 for Win 32.</t>
  </si>
  <si>
    <t>This version of OpenVSP is provided together with the OpenVSP-Connect download.</t>
  </si>
  <si>
    <t>By using all default values, the program works in "Automatic Mode":</t>
  </si>
  <si>
    <t>Based on just two input values "Cruise Mach Number" and "Number of Passengers"</t>
  </si>
  <si>
    <t>http://OpenVSP.ProfScholz.de</t>
  </si>
  <si>
    <t>For further information, documentation, and software download please refer to:</t>
  </si>
  <si>
    <r>
      <t>OpenVSP-</t>
    </r>
    <r>
      <rPr>
        <sz val="48"/>
        <color rgb="FFFF0000"/>
        <rFont val="Arial"/>
        <family val="2"/>
      </rPr>
      <t>Connect</t>
    </r>
  </si>
  <si>
    <t>D:\Homepage\OpenVSP\AirbusA320.vsp</t>
  </si>
  <si>
    <r>
      <rPr>
        <b/>
        <sz val="10"/>
        <rFont val="Arial"/>
        <family val="2"/>
      </rPr>
      <t>Press "3D-Visualization" to draw the A320</t>
    </r>
    <r>
      <rPr>
        <sz val="10"/>
        <rFont val="Arial"/>
        <family val="2"/>
      </rPr>
      <t xml:space="preserve">.
Data was taken from
</t>
    </r>
    <r>
      <rPr>
        <sz val="10"/>
        <color rgb="FF0000FF"/>
        <rFont val="Arial"/>
        <family val="2"/>
      </rPr>
      <t>https://de.wikipedia.org/wiki/Airbus-A320-Familie</t>
    </r>
    <r>
      <rPr>
        <sz val="10"/>
        <rFont val="Arial"/>
        <family val="2"/>
      </rPr>
      <t xml:space="preserve">
For data unavailable at Wikipedia, default data was used. For other aircraft, "Positions of Aircraft Components" (Part 8) may need to be adapted manually.</t>
    </r>
  </si>
  <si>
    <t>Path to OpenVSP File</t>
  </si>
  <si>
    <t>jet</t>
  </si>
  <si>
    <t>no</t>
  </si>
  <si>
    <t>MyTool.xlsx</t>
  </si>
  <si>
    <t>&lt;?xml version="1.0"?&gt;</t>
  </si>
  <si>
    <t>&lt;Vsp_Geometry&gt;</t>
  </si>
  <si>
    <t>&lt;Version&gt;3&lt;/Version&gt;</t>
  </si>
  <si>
    <t>&lt;Name&gt;AirbusA320&lt;/Name&gt;</t>
  </si>
  <si>
    <t>&lt;CG_Rel_AC_Flag&gt;0&lt;/CG_Rel_AC_Flag&gt;</t>
  </si>
  <si>
    <t>&lt;CG_X&gt;10.000000&lt;/CG_X&gt;</t>
  </si>
  <si>
    <t>&lt;CG_Y&gt;0.000000&lt;/CG_Y&gt;</t>
  </si>
  <si>
    <t>&lt;CG_Z&gt;0.000000&lt;/CG_Z&gt;</t>
  </si>
  <si>
    <t>&lt;CFD_Mesh_Base_Length&gt;0.500000&lt;/CFD_Mesh_Base_Length&gt;</t>
  </si>
  <si>
    <t>&lt;CFD_Mesh_Min_Length&gt;0.100000&lt;/CFD_Mesh_Min_Length&gt;</t>
  </si>
  <si>
    <t>&lt;CFD_Mesh_Max_Gap&gt;0.005000&lt;/CFD_Mesh_Max_Gap&gt;</t>
  </si>
  <si>
    <t>&lt;CFD_Mesh_Num_Circle_Segments&gt;16.000000&lt;/CFD_Mesh_Num_Circle_Segments&gt;</t>
  </si>
  <si>
    <t>&lt;CFD_Mesh_Growth_Ratio&gt;1.300000&lt;/CFD_Mesh_Growth_Ratio&gt;</t>
  </si>
  <si>
    <t>&lt;CFD_Mesh_Rigorous_Limiting&gt;0&lt;/CFD_Mesh_Rigorous_Limiting&gt;</t>
  </si>
  <si>
    <t>&lt;CFD_Far_Field_Scale_X&gt;4.000000&lt;/CFD_Far_Field_Scale_X&gt;</t>
  </si>
  <si>
    <t>&lt;CFD_Far_Field_Scale_Y&gt;4.000000&lt;/CFD_Far_Field_Scale_Y&gt;</t>
  </si>
  <si>
    <t>&lt;CFD_Far_Field_Scale_Z&gt;4.000000&lt;/CFD_Far_Field_Scale_Z&gt;</t>
  </si>
  <si>
    <t>&lt;CFD_Half_Mesh_Flag&gt;0&lt;/CFD_Half_Mesh_Flag&gt;</t>
  </si>
  <si>
    <t>&lt;CFD_Wake_Angle&gt;0.000000&lt;/CFD_Wake_Angle&gt;</t>
  </si>
  <si>
    <t>&lt;CFD_Wake_Scale&gt;2.000000&lt;/CFD_Wake_Scale&gt;</t>
  </si>
  <si>
    <t>&lt;VirtWindow_List&gt;</t>
  </si>
  <si>
    <t>&lt;VirtWindow&gt;</t>
  </si>
  <si>
    <t>&lt;Back_Img_Scale_W&gt;1.000000&lt;/Back_Img_Scale_W&gt;</t>
  </si>
  <si>
    <t>&lt;Back_Img_Scale_H&gt;1.000000&lt;/Back_Img_Scale_H&gt;</t>
  </si>
  <si>
    <t>&lt;Back_Img_Offset_X&gt;0.000000&lt;/Back_Img_Offset_X&gt;</t>
  </si>
  <si>
    <t>&lt;Back_Img_Offset_Y&gt;0.000000&lt;/Back_Img_Offset_Y&gt;</t>
  </si>
  <si>
    <t>&lt;User_View_List&gt;</t>
  </si>
  <si>
    <t>&lt;User_View&gt;</t>
  </si>
  <si>
    <t>&lt;Saved_User_View_Flag&gt;0&lt;/Saved_User_View_Flag&gt;</t>
  </si>
  <si>
    <t>&lt;/User_View&gt;</t>
  </si>
  <si>
    <t>&lt;/User_View_List&gt;</t>
  </si>
  <si>
    <t>&lt;/VirtWindow&gt;</t>
  </si>
  <si>
    <t>&lt;/VirtWindow_List&gt;</t>
  </si>
  <si>
    <t>&lt;Component_List&gt;</t>
  </si>
  <si>
    <t>&lt;Type&gt;Mswing&lt;/Type&gt;</t>
  </si>
  <si>
    <t>&lt;General_Parms&gt;</t>
  </si>
  <si>
    <t>&lt;Name&gt;HTail&lt;/Name&gt;</t>
  </si>
  <si>
    <t>&lt;ColorR&gt;255.000000&lt;/ColorR&gt;</t>
  </si>
  <si>
    <t>&lt;ColorG&gt;0.000000&lt;/ColorG&gt;</t>
  </si>
  <si>
    <t>&lt;ColorB&gt;0.000000&lt;/ColorB&gt;</t>
  </si>
  <si>
    <t>&lt;Symmetry&gt;2&lt;/Symmetry&gt;</t>
  </si>
  <si>
    <t>&lt;RelXFormFlag&gt;0&lt;/RelXFormFlag&gt;</t>
  </si>
  <si>
    <t>&lt;MaterialID&gt;1&lt;/MaterialID&gt;</t>
  </si>
  <si>
    <t>&lt;OutputFlag&gt;1&lt;/OutputFlag&gt;</t>
  </si>
  <si>
    <t>&lt;OutputNameID&gt;0&lt;/OutputNameID&gt;</t>
  </si>
  <si>
    <t>&lt;DisplayChildrenFlag&gt;1&lt;/DisplayChildrenFlag&gt;</t>
  </si>
  <si>
    <t>&lt;NumPnts&gt;21&lt;/NumPnts&gt;</t>
  </si>
  <si>
    <t>&lt;NumXsecs&gt;6&lt;/NumXsecs&gt;</t>
  </si>
  <si>
    <t>&lt;MassPrior&gt;0&lt;/MassPrior&gt;</t>
  </si>
  <si>
    <t>&lt;ShellFlag&gt;0&lt;/ShellFlag&gt;</t>
  </si>
  <si>
    <t>&lt;Tran_X&gt;30.072000&lt;/Tran_X&gt;</t>
  </si>
  <si>
    <t>&lt;Tran_Y&gt;0.000000&lt;/Tran_Y&gt;</t>
  </si>
  <si>
    <t>&lt;TranRel_X&gt;0.000000&lt;/TranRel_X&gt;</t>
  </si>
  <si>
    <t>&lt;TranRel_Y&gt;0.000000&lt;/TranRel_Y&gt;</t>
  </si>
  <si>
    <t>&lt;TranRel_Z&gt;0.000000&lt;/TranRel_Z&gt;</t>
  </si>
  <si>
    <t>&lt;Rot_X&gt;0.000000&lt;/Rot_X&gt;</t>
  </si>
  <si>
    <t>&lt;Rot_Y&gt;0.000000&lt;/Rot_Y&gt;</t>
  </si>
  <si>
    <t>&lt;Rot_Z&gt;0.000000&lt;/Rot_Z&gt;</t>
  </si>
  <si>
    <t>&lt;RotRel_X&gt;0.000000&lt;/RotRel_X&gt;</t>
  </si>
  <si>
    <t>&lt;RotRel_Y&gt;0.000000&lt;/RotRel_Y&gt;</t>
  </si>
  <si>
    <t>&lt;RotRel_Z&gt;0.000000&lt;/RotRel_Z&gt;</t>
  </si>
  <si>
    <t>&lt;Origin&gt;0.000000&lt;/Origin&gt;</t>
  </si>
  <si>
    <t>&lt;Density&gt;1.000000&lt;/Density&gt;</t>
  </si>
  <si>
    <t>&lt;ShellMassArea&gt;1.000000&lt;/ShellMassArea&gt;</t>
  </si>
  <si>
    <t>&lt;RefFlag&gt;0&lt;/RefFlag&gt;</t>
  </si>
  <si>
    <t>&lt;RefArea&gt;20.000000&lt;/RefArea&gt;</t>
  </si>
  <si>
    <t>&lt;RefSpan&gt;10.000000&lt;/RefSpan&gt;</t>
  </si>
  <si>
    <t>&lt;RefCbar&gt;1.000000&lt;/RefCbar&gt;</t>
  </si>
  <si>
    <t>&lt;AutoRefAreaFlag&gt;1&lt;/AutoRefAreaFlag&gt;</t>
  </si>
  <si>
    <t>&lt;AutoRefSpanFlag&gt;1&lt;/AutoRefSpanFlag&gt;</t>
  </si>
  <si>
    <t>&lt;AutoRefCbarFlag&gt;1&lt;/AutoRefCbarFlag&gt;</t>
  </si>
  <si>
    <t>&lt;AeroCenter_X&gt;0.000000&lt;/AeroCenter_X&gt;</t>
  </si>
  <si>
    <t>&lt;AeroCenter_Y&gt;0.000000&lt;/AeroCenter_Y&gt;</t>
  </si>
  <si>
    <t>&lt;AeroCenter_Z&gt;0.000000&lt;/AeroCenter_Z&gt;</t>
  </si>
  <si>
    <t>&lt;AutoAeroCenterFlag&gt;1&lt;/AutoAeroCenterFlag&gt;</t>
  </si>
  <si>
    <t>&lt;WakeActiveFlag&gt;0&lt;/WakeActiveFlag&gt;</t>
  </si>
  <si>
    <t>&lt;PosAttachFlag&gt;0&lt;/PosAttachFlag&gt;</t>
  </si>
  <si>
    <t>&lt;U_Attach&gt;0.000000&lt;/U_Attach&gt;</t>
  </si>
  <si>
    <t>&lt;V_Attach&gt;0.000000&lt;/V_Attach&gt;</t>
  </si>
  <si>
    <t>&lt;Parent_PtrID&gt;0&lt;/Parent_PtrID&gt;</t>
  </si>
  <si>
    <t>&lt;/General_Parms&gt;</t>
  </si>
  <si>
    <t>&lt;Mswing_Parms&gt;</t>
  </si>
  <si>
    <t>&lt;Total_Area&gt;31.000000&lt;/Total_Area&gt;</t>
  </si>
  <si>
    <t>&lt;Sweep_Off&gt;0.000000&lt;/Sweep_Off&gt;</t>
  </si>
  <si>
    <t>&lt;Deg_Per_Seg&gt;9&lt;/Deg_Per_Seg&gt;</t>
  </si>
  <si>
    <t>&lt;Max_Num_Seg&gt;9&lt;/Max_Num_Seg&gt;</t>
  </si>
  <si>
    <t>&lt;Rel_Dihedral_Flag&gt;0&lt;/Rel_Dihedral_Flag&gt;</t>
  </si>
  <si>
    <t>&lt;Rel_Twist_Flag&gt;0&lt;/Rel_Twist_Flag&gt;</t>
  </si>
  <si>
    <t>&lt;Round_End_Cap_Flag&gt;1&lt;/Round_End_Cap_Flag&gt;</t>
  </si>
  <si>
    <t>&lt;/Mswing_Parms&gt;</t>
  </si>
  <si>
    <t>&lt;Airfoil_List&gt;</t>
  </si>
  <si>
    <t>&lt;Airfoil&gt;</t>
  </si>
  <si>
    <t>&lt;Type&gt;1&lt;/Type&gt;</t>
  </si>
  <si>
    <t>&lt;Inverted_Flag&gt;0&lt;/Inverted_Flag&gt;</t>
  </si>
  <si>
    <t>&lt;Camber&gt;0.000000&lt;/Camber&gt;</t>
  </si>
  <si>
    <t>&lt;Camber_Loc&gt;0.100000&lt;/Camber_Loc&gt;</t>
  </si>
  <si>
    <t>&lt;Thickness&gt;0.100000&lt;/Thickness&gt;</t>
  </si>
  <si>
    <t>&lt;Thickness_Loc&gt;0.300000&lt;/Thickness_Loc&gt;</t>
  </si>
  <si>
    <t>&lt;Radius_Le&gt;0.011019&lt;/Radius_Le&gt;</t>
  </si>
  <si>
    <t>&lt;Radius_Te&gt;0.000000&lt;/Radius_Te&gt;</t>
  </si>
  <si>
    <t>&lt;Six_Series&gt;63&lt;/Six_Series&gt;</t>
  </si>
  <si>
    <t>&lt;Ideal_Cl&gt;0.000000&lt;/Ideal_Cl&gt;</t>
  </si>
  <si>
    <t>&lt;A&gt;0.000000&lt;/A&gt;</t>
  </si>
  <si>
    <t>&lt;Slat_Flag&gt;0&lt;/Slat_Flag&gt;</t>
  </si>
  <si>
    <t>&lt;Slat_Shear_Flag&gt;0&lt;/Slat_Shear_Flag&gt;</t>
  </si>
  <si>
    <t>&lt;Slat_Chord&gt;0.250000&lt;/Slat_Chord&gt;</t>
  </si>
  <si>
    <t>&lt;Slat_Angle&gt;10.000000&lt;/Slat_Angle&gt;</t>
  </si>
  <si>
    <t>&lt;Flap_Flag&gt;1&lt;/Flap_Flag&gt;</t>
  </si>
  <si>
    <t>&lt;Flap_Shear_Flag&gt;0&lt;/Flap_Shear_Flag&gt;</t>
  </si>
  <si>
    <t>&lt;Flap_Chord&gt;0.420000&lt;/Flap_Chord&gt;</t>
  </si>
  <si>
    <t>&lt;Flap_Angle&gt;10.000000&lt;/Flap_Angle&gt;</t>
  </si>
  <si>
    <t>&lt;/Airfoil&gt;</t>
  </si>
  <si>
    <t>&lt;/Airfoil_List&gt;</t>
  </si>
  <si>
    <t>&lt;Section_List&gt;</t>
  </si>
  <si>
    <t>&lt;Section&gt;</t>
  </si>
  <si>
    <t>&lt;Driver&gt;4&lt;/Driver&gt;</t>
  </si>
  <si>
    <t>&lt;TR&gt;0.295000&lt;/TR&gt;</t>
  </si>
  <si>
    <t>&lt;Area&gt;15.500000&lt;/Area&gt;</t>
  </si>
  <si>
    <t>&lt;Sweep&gt;28.000000&lt;/Sweep&gt;</t>
  </si>
  <si>
    <t>&lt;SweepLoc&gt;0.250000&lt;/SweepLoc&gt;</t>
  </si>
  <si>
    <t>&lt;Twist&gt;0.000000&lt;/Twist&gt;</t>
  </si>
  <si>
    <t>&lt;TwistLoc&gt;0.000000&lt;/TwistLoc&gt;</t>
  </si>
  <si>
    <t>&lt;Dihedral&gt;6.000000&lt;/Dihedral&gt;</t>
  </si>
  <si>
    <t>&lt;Dihed_Crv1&gt;0.000000&lt;/Dihed_Crv1&gt;</t>
  </si>
  <si>
    <t>&lt;Dihed_Crv2&gt;0.000000&lt;/Dihed_Crv2&gt;</t>
  </si>
  <si>
    <t>&lt;Dihed_Crv1_Str&gt;0.750000&lt;/Dihed_Crv1_Str&gt;</t>
  </si>
  <si>
    <t>&lt;Dihed_Crv2_Str&gt;0.750000&lt;/Dihed_Crv2_Str&gt;</t>
  </si>
  <si>
    <t>&lt;DihedRotFlag&gt;0&lt;/DihedRotFlag&gt;</t>
  </si>
  <si>
    <t>&lt;SmoothBlendFlag&gt;0&lt;/SmoothBlendFlag&gt;</t>
  </si>
  <si>
    <t>&lt;NumInterpXsecs&gt;1&lt;/NumInterpXsecs&gt;</t>
  </si>
  <si>
    <t>&lt;/Section&gt;</t>
  </si>
  <si>
    <t>&lt;/Section_List&gt;</t>
  </si>
  <si>
    <t>&lt;Name&gt;VTail&lt;/Name&gt;</t>
  </si>
  <si>
    <t>&lt;Symmetry&gt;0&lt;/Symmetry&gt;</t>
  </si>
  <si>
    <t>&lt;Tran_X&gt;27.387000&lt;/Tran_X&gt;</t>
  </si>
  <si>
    <t>&lt;Tran_Z&gt;1.980000&lt;/Tran_Z&gt;</t>
  </si>
  <si>
    <t>&lt;Rot_X&gt;90.000000&lt;/Rot_X&gt;</t>
  </si>
  <si>
    <t>&lt;RefArea&gt;100.000000&lt;/RefArea&gt;</t>
  </si>
  <si>
    <t>&lt;PtrID&gt;148251000&lt;/PtrID&gt;</t>
  </si>
  <si>
    <t>&lt;Round_End_Cap_Flag&gt;0&lt;/Round_End_Cap_Flag&gt;</t>
  </si>
  <si>
    <t>&lt;Flap_Chord&gt;0.310000&lt;/Flap_Chord&gt;</t>
  </si>
  <si>
    <t>&lt;SweepLoc&gt;1.000000&lt;/SweepLoc&gt;</t>
  </si>
  <si>
    <t>&lt;Dihedral&gt;0.000000&lt;/Dihedral&gt;</t>
  </si>
  <si>
    <t>&lt;Sweep&gt;35.000000&lt;/Sweep&gt;</t>
  </si>
  <si>
    <t>&lt;Name&gt;Wing&lt;/Name&gt;</t>
  </si>
  <si>
    <t>&lt;NumXsecs&gt;11&lt;/NumXsecs&gt;</t>
  </si>
  <si>
    <t>&lt;Tran_X&gt;11.277000&lt;/Tran_X&gt;</t>
  </si>
  <si>
    <t>&lt;Tran_Z&gt;-0.990000&lt;/Tran_Z&gt;</t>
  </si>
  <si>
    <t>&lt;Total_Area&gt;122.600000&lt;/Total_Area&gt;</t>
  </si>
  <si>
    <t>&lt;Total_Span&gt;33.940383&lt;/Total_Span&gt;</t>
  </si>
  <si>
    <t>&lt;Total_Proj_Span&gt;33.806015&lt;/Total_Proj_Span&gt;</t>
  </si>
  <si>
    <t>&lt;Avg_Chord&gt;4.069632&lt;/Avg_Chord&gt;</t>
  </si>
  <si>
    <t>&lt;Camber&gt;0.020000&lt;/Camber&gt;</t>
  </si>
  <si>
    <t>&lt;Camber_Loc&gt;0.300000&lt;/Camber_Loc&gt;</t>
  </si>
  <si>
    <t>&lt;Thickness&gt;0.177273&lt;/Thickness&gt;</t>
  </si>
  <si>
    <t>&lt;Radius_Le&gt;0.015867&lt;/Radius_Le&gt;</t>
  </si>
  <si>
    <t>&lt;Flap_Angle&gt;0.000000&lt;/Flap_Angle&gt;</t>
  </si>
  <si>
    <t>&lt;Thickness&gt;0.130000&lt;/Thickness&gt;</t>
  </si>
  <si>
    <t>&lt;Driver&gt;0&lt;/Driver&gt;</t>
  </si>
  <si>
    <t>&lt;AR&gt;1.016896&lt;/AR&gt;</t>
  </si>
  <si>
    <t>&lt;Span&gt;5.430461&lt;/Span&gt;</t>
  </si>
  <si>
    <t>&lt;Sweep&gt;0.000000&lt;/Sweep&gt;</t>
  </si>
  <si>
    <t>&lt;Dihedral&gt;5.100000&lt;/Dihedral&gt;</t>
  </si>
  <si>
    <t>&lt;Span&gt;11.539730&lt;/Span&gt;</t>
  </si>
  <si>
    <t>&lt;SweepLoc&gt;0.000000&lt;/SweepLoc&gt;</t>
  </si>
  <si>
    <t>&lt;Type&gt;Fuselage&lt;/Type&gt;</t>
  </si>
  <si>
    <t>&lt;Name&gt;Fuselage&lt;/Name&gt;</t>
  </si>
  <si>
    <t>&lt;ColorR&gt;127.000000&lt;/ColorR&gt;</t>
  </si>
  <si>
    <t>&lt;ColorG&gt;127.000000&lt;/ColorG&gt;</t>
  </si>
  <si>
    <t>&lt;ColorB&gt;127.000000&lt;/ColorB&gt;</t>
  </si>
  <si>
    <t>&lt;MaterialID&gt;3&lt;/MaterialID&gt;</t>
  </si>
  <si>
    <t>&lt;NumPnts&gt;44&lt;/NumPnts&gt;</t>
  </si>
  <si>
    <t>&lt;Tran_X&gt;0.000000&lt;/Tran_X&gt;</t>
  </si>
  <si>
    <t>&lt;Tran_Z&gt;0.000000&lt;/Tran_Z&gt;</t>
  </si>
  <si>
    <t>&lt;PtrID&gt;138042360&lt;/PtrID&gt;</t>
  </si>
  <si>
    <t>&lt;Fuse_Parms&gt;</t>
  </si>
  <si>
    <t>&lt;Fuse_Length&gt;35.800000&lt;/Fuse_Length&gt;</t>
  </si>
  <si>
    <t>&lt;Camber_Location&gt;0.500000&lt;/Camber_Location&gt;</t>
  </si>
  <si>
    <t>&lt;Aft_Offset&gt;0.000000&lt;/Aft_Offset&gt;</t>
  </si>
  <si>
    <t>&lt;Nose_Angle&gt;0.000000&lt;/Nose_Angle&gt;</t>
  </si>
  <si>
    <t>&lt;Nose_Strength&gt;1.000000&lt;/Nose_Strength&gt;</t>
  </si>
  <si>
    <t>&lt;Nose_Rho&gt;0.750000&lt;/Nose_Rho&gt;</t>
  </si>
  <si>
    <t>&lt;Aft_Rho&gt;0.650000&lt;/Aft_Rho&gt;</t>
  </si>
  <si>
    <t>&lt;IML_Flag&gt;0&lt;/IML_Flag&gt;</t>
  </si>
  <si>
    <t>&lt;Space_Type&gt;1&lt;/Space_Type&gt;</t>
  </si>
  <si>
    <t>&lt;Nose_Super_Flag&gt;1&lt;/Nose_Super_Flag&gt;</t>
  </si>
  <si>
    <t>&lt;Aft_Super_Flag&gt;1&lt;/Aft_Super_Flag&gt;</t>
  </si>
  <si>
    <t>&lt;/Fuse_Parms&gt;</t>
  </si>
  <si>
    <t>&lt;Cross_Section_List&gt;</t>
  </si>
  <si>
    <t>&lt;Cross_Section&gt;</t>
  </si>
  <si>
    <t>&lt;Num_Pnts&gt;45&lt;/Num_Pnts&gt;</t>
  </si>
  <si>
    <t>&lt;Spine_Location&gt;0.000000&lt;/Spine_Location&gt;</t>
  </si>
  <si>
    <t>&lt;Z_Offset&gt;-0.689700&lt;/Z_Offset&gt;</t>
  </si>
  <si>
    <t>&lt;Top_Thick&gt;0.500000&lt;/Top_Thick&gt;</t>
  </si>
  <si>
    <t>&lt;Bot_Thick&gt;0.500000&lt;/Bot_Thick&gt;</t>
  </si>
  <si>
    <t>&lt;Side_Thick&gt;0.500000&lt;/Side_Thick&gt;</t>
  </si>
  <si>
    <t>&lt;Act_Top_Thick&gt;0.500000&lt;/Act_Top_Thick&gt;</t>
  </si>
  <si>
    <t>&lt;Act_Bot_Thick&gt;0.500000&lt;/Act_Bot_Thick&gt;</t>
  </si>
  <si>
    <t>&lt;Act_Side_Thick&gt;0.500000&lt;/Act_Side_Thick&gt;</t>
  </si>
  <si>
    <t>&lt;IML_X_Offset&gt;0.000000&lt;/IML_X_Offset&gt;</t>
  </si>
  <si>
    <t>&lt;IML_Z_Offset&gt;0.000000&lt;/IML_Z_Offset&gt;</t>
  </si>
  <si>
    <t>&lt;ML_Type&gt;0&lt;/ML_Type&gt;</t>
  </si>
  <si>
    <t>&lt;Profile_Tan_Str_1&gt;0.250000&lt;/Profile_Tan_Str_1&gt;</t>
  </si>
  <si>
    <t>&lt;Profile_Tan_Str_2&gt;0.250000&lt;/Profile_Tan_Str_2&gt;</t>
  </si>
  <si>
    <t>&lt;Profile_Tan_Ang&gt;0.000000&lt;/Profile_Tan_Ang&gt;</t>
  </si>
  <si>
    <t>&lt;Num_Sect_Interp_1&gt;0&lt;/Num_Sect_Interp_1&gt;</t>
  </si>
  <si>
    <t>&lt;Num_Sect_Interp_2&gt;6&lt;/Num_Sect_Interp_2&gt;</t>
  </si>
  <si>
    <t>&lt;OML_Parms&gt;</t>
  </si>
  <si>
    <t>&lt;Height&gt;0.000000&lt;/Height&gt;</t>
  </si>
  <si>
    <t>&lt;Width&gt;0.000000&lt;/Width&gt;</t>
  </si>
  <si>
    <t>&lt;Max_Width_Location&gt;0.000000&lt;/Max_Width_Location&gt;</t>
  </si>
  <si>
    <t>&lt;Corner_Radius&gt;0.500000&lt;/Corner_Radius&gt;</t>
  </si>
  <si>
    <t>&lt;Top_Tan_Angle&gt;90.000000&lt;/Top_Tan_Angle&gt;</t>
  </si>
  <si>
    <t>&lt;Bot_Tan_Angle&gt;90.000000&lt;/Bot_Tan_Angle&gt;</t>
  </si>
  <si>
    <t>&lt;Top_Tan_Strength&gt;0.830000&lt;/Top_Tan_Strength&gt;</t>
  </si>
  <si>
    <t>&lt;Upper_Tan_Strength&gt;0.830000&lt;/Upper_Tan_Strength&gt;</t>
  </si>
  <si>
    <t>&lt;Lower_Tan_Strength&gt;0.830000&lt;/Lower_Tan_Strength&gt;</t>
  </si>
  <si>
    <t>&lt;Bottom_Tan_Strength&gt;0.830000&lt;/Bottom_Tan_Strength&gt;</t>
  </si>
  <si>
    <t>&lt;/OML_Parms&gt;</t>
  </si>
  <si>
    <t>&lt;IML_Parms&gt;</t>
  </si>
  <si>
    <t>&lt;Type&gt;2&lt;/Type&gt;</t>
  </si>
  <si>
    <t>&lt;Height&gt;3.000000&lt;/Height&gt;</t>
  </si>
  <si>
    <t>&lt;Width&gt;2.500000&lt;/Width&gt;</t>
  </si>
  <si>
    <t>&lt;/IML_Parms&gt;</t>
  </si>
  <si>
    <t>&lt;/Cross_Section&gt;</t>
  </si>
  <si>
    <t>&lt;Spine_Location&gt;0.023727&lt;/Spine_Location&gt;</t>
  </si>
  <si>
    <t>&lt;Z_Offset&gt;-0.620700&lt;/Z_Offset&gt;</t>
  </si>
  <si>
    <t>&lt;Num_Sect_Interp_1&gt;6&lt;/Num_Sect_Interp_1&gt;</t>
  </si>
  <si>
    <t>&lt;Num_Sect_Interp_2&gt;0&lt;/Num_Sect_Interp_2&gt;</t>
  </si>
  <si>
    <t>&lt;Height&gt;1.683000&lt;/Height&gt;</t>
  </si>
  <si>
    <t>&lt;Width&gt;1.683000&lt;/Width&gt;</t>
  </si>
  <si>
    <t>&lt;Spine_Location&gt;0.044434&lt;/Spine_Location&gt;</t>
  </si>
  <si>
    <t>&lt;Z_Offset&gt;-0.554300&lt;/Z_Offset&gt;</t>
  </si>
  <si>
    <t>&lt;Height&gt;2.205720&lt;/Height&gt;</t>
  </si>
  <si>
    <t>&lt;Width&gt;2.205720&lt;/Width&gt;</t>
  </si>
  <si>
    <t>&lt;Spine_Location&gt;0.071899&lt;/Spine_Location&gt;</t>
  </si>
  <si>
    <t>&lt;Z_Offset&gt;-0.226800&lt;/Z_Offset&gt;</t>
  </si>
  <si>
    <t>&lt;Height&gt;3.152160&lt;/Height&gt;</t>
  </si>
  <si>
    <t>&lt;Width&gt;3.152160&lt;/Width&gt;</t>
  </si>
  <si>
    <t>&lt;Z_Offset&gt;-0.076500&lt;/Z_Offset&gt;</t>
  </si>
  <si>
    <t>&lt;Height&gt;3.603600&lt;/Height&gt;</t>
  </si>
  <si>
    <t>&lt;Width&gt;3.603600&lt;/Width&gt;</t>
  </si>
  <si>
    <t>&lt;Z_Offset&gt;0.000000&lt;/Z_Offset&gt;</t>
  </si>
  <si>
    <t>&lt;Height&gt;3.960000&lt;/Height&gt;</t>
  </si>
  <si>
    <t>&lt;Width&gt;3.960000&lt;/Width&gt;</t>
  </si>
  <si>
    <t>&lt;Spine_Location&gt;0.634972&lt;/Spine_Location&gt;</t>
  </si>
  <si>
    <t>&lt;Spine_Location&gt;0.817486&lt;/Spine_Location&gt;</t>
  </si>
  <si>
    <t>&lt;Z_Offset&gt;0.449460&lt;/Z_Offset&gt;</t>
  </si>
  <si>
    <t>&lt;Height&gt;3.061080&lt;/Height&gt;</t>
  </si>
  <si>
    <t>&lt;Width&gt;3.061080&lt;/Width&gt;</t>
  </si>
  <si>
    <t>&lt;Spine_Location&gt;0.984155&lt;/Spine_Location&gt;</t>
  </si>
  <si>
    <t>&lt;Z_Offset&gt;1.326600&lt;/Z_Offset&gt;</t>
  </si>
  <si>
    <t>&lt;Height&gt;1.306800&lt;/Height&gt;</t>
  </si>
  <si>
    <t>&lt;Width&gt;1.306800&lt;/Width&gt;</t>
  </si>
  <si>
    <t>&lt;Spine_Location&gt;1.000000&lt;/Spine_Location&gt;</t>
  </si>
  <si>
    <t>&lt;/Cross_Section_List&gt;</t>
  </si>
  <si>
    <t>&lt;Type&gt;Blank&lt;/Type&gt;</t>
  </si>
  <si>
    <t>&lt;Name&gt;Engine 2&lt;/Name&gt;</t>
  </si>
  <si>
    <t>&lt;ColorR&gt;0.000000&lt;/ColorR&gt;</t>
  </si>
  <si>
    <t>&lt;ColorB&gt;255.000000&lt;/ColorB&gt;</t>
  </si>
  <si>
    <t>&lt;MaterialID&gt;0&lt;/MaterialID&gt;</t>
  </si>
  <si>
    <t>&lt;Tran_X&gt;13.056760&lt;/Tran_X&gt;</t>
  </si>
  <si>
    <t>&lt;Tran_Y&gt;5.530585&lt;/Tran_Y&gt;</t>
  </si>
  <si>
    <t>&lt;PtrID&gt;148271640&lt;/PtrID&gt;</t>
  </si>
  <si>
    <t>&lt;Children_PtrID&gt;148274736&lt;/Children_PtrID&gt;</t>
  </si>
  <si>
    <t>&lt;Children_PtrID&gt;148485072&lt;/Children_PtrID&gt;</t>
  </si>
  <si>
    <t>&lt;Children_PtrID&gt;148458296&lt;/Children_PtrID&gt;</t>
  </si>
  <si>
    <t>&lt;Children_PtrID&gt;854381&lt;/Children_PtrID&gt;</t>
  </si>
  <si>
    <t>&lt;Blank_Parms&gt;</t>
  </si>
  <si>
    <t>&lt;PointMassFlag&gt;0&lt;/PointMassFlag&gt;</t>
  </si>
  <si>
    <t>&lt;PointMass&gt;1.000000&lt;/PointMass&gt;</t>
  </si>
  <si>
    <t>&lt;/Blank_Parms&gt;</t>
  </si>
  <si>
    <t>&lt;Type&gt;Engine&lt;/Type&gt;</t>
  </si>
  <si>
    <t>&lt;Name&gt;core_section&lt;/Name&gt;</t>
  </si>
  <si>
    <t>&lt;MaterialID&gt;2&lt;/MaterialID&gt;</t>
  </si>
  <si>
    <t>&lt;PosAttachFlag&gt;3&lt;/PosAttachFlag&gt;</t>
  </si>
  <si>
    <t>&lt;PtrID&gt;148274736&lt;/PtrID&gt;</t>
  </si>
  <si>
    <t>&lt;Parent_PtrID&gt;148271640&lt;/Parent_PtrID&gt;</t>
  </si>
  <si>
    <t>&lt;Engine_Parms&gt;</t>
  </si>
  <si>
    <t>&lt;Engine_Type&gt;0&lt;/Engine_Type&gt;</t>
  </si>
  <si>
    <t>&lt;Max_Tip&gt;1.300000&lt;/Max_Tip&gt;</t>
  </si>
  <si>
    <t>&lt;Hub_Tip&gt;0.500000&lt;/Hub_Tip&gt;</t>
  </si>
  <si>
    <t>&lt;Eng_Length&gt;0.000000&lt;/Eng_Length&gt;</t>
  </si>
  <si>
    <t>&lt;Inlet_Type&gt;1&lt;/Inlet_Type&gt;</t>
  </si>
  <si>
    <t>&lt;Inl_Noz_Color&gt;0&lt;/Inl_Noz_Color&gt;</t>
  </si>
  <si>
    <t>&lt;Inlet_XY_Sym_Flag&gt;0&lt;/Inlet_XY_Sym_Flag&gt;</t>
  </si>
  <si>
    <t>&lt;Inlet_Half_Split_Flag&gt;0&lt;/Inlet_Half_Split_Flag&gt;</t>
  </si>
  <si>
    <t>&lt;Cowl_Length&gt;0.001000&lt;/Cowl_Length&gt;</t>
  </si>
  <si>
    <t>&lt;Eng_Thrt_Ratio&gt;1.500000&lt;/Eng_Thrt_Ratio&gt;</t>
  </si>
  <si>
    <t>&lt;Hilight_Thrt_Ratio&gt;1.300000&lt;/Hilight_Thrt_Ratio&gt;</t>
  </si>
  <si>
    <t>&lt;Lip_Finess_Ratio&gt;1.900000&lt;/Lip_Finess_Ratio&gt;</t>
  </si>
  <si>
    <t>&lt;Height_Width_Ratio&gt;1.000000&lt;/Height_Width_Ratio&gt;</t>
  </si>
  <si>
    <t>&lt;Upper_Surf_Shape_Factor&gt;-1.300000&lt;/Upper_Surf_Shape_Factor&gt;</t>
  </si>
  <si>
    <t>&lt;Lower_Surf_Shape_Factor&gt;0.700000&lt;/Lower_Surf_Shape_Factor&gt;</t>
  </si>
  <si>
    <t>&lt;Inlet_X_Axis_Rot&gt;0.000000&lt;/Inlet_X_Axis_Rot&gt;</t>
  </si>
  <si>
    <t>&lt;Inlet_Scarf_Angle&gt;0.000000&lt;/Inlet_Scarf_Angle&gt;</t>
  </si>
  <si>
    <t>&lt;Inlet_Duct_On_Off&gt;0&lt;/Inlet_Duct_On_Off&gt;</t>
  </si>
  <si>
    <t>&lt;Inlet_Duct_X_Offset&gt;3.000000&lt;/Inlet_Duct_X_Offset&gt;</t>
  </si>
  <si>
    <t>&lt;Inlet_Duct_Y_Offset&gt;1.000000&lt;/Inlet_Duct_Y_Offset&gt;</t>
  </si>
  <si>
    <t>&lt;Inlet_Duct_Shape_Factor&gt;0.500000&lt;/Inlet_Duct_Shape_Factor&gt;</t>
  </si>
  <si>
    <t>&lt;Divertor_On_Off&gt;0&lt;/Divertor_On_Off&gt;</t>
  </si>
  <si>
    <t>&lt;Divertor_Height&gt;0.500000&lt;/Divertor_Height&gt;</t>
  </si>
  <si>
    <t>&lt;Divertor_Length&gt;1.000000&lt;/Divertor_Length&gt;</t>
  </si>
  <si>
    <t>&lt;Nozzle_Type&gt;0&lt;/Nozzle_Type&gt;</t>
  </si>
  <si>
    <t>&lt;Exit_Area_Ratio&gt;3.000000&lt;/Exit_Area_Ratio&gt;</t>
  </si>
  <si>
    <t>&lt;Nozzle_Height_Width_Ratio&gt;1.000000&lt;/Nozzle_Height_Width_Ratio&gt;</t>
  </si>
  <si>
    <t>&lt;Exit_Throat_Ratio&gt;1.500000&lt;/Exit_Throat_Ratio&gt;</t>
  </si>
  <si>
    <t>&lt;Dive_Flap_Ratio&gt;1.000000&lt;/Dive_Flap_Ratio&gt;</t>
  </si>
  <si>
    <t>&lt;Nozzle_Duct_On_Off&gt;0&lt;/Nozzle_Duct_On_Off&gt;</t>
  </si>
  <si>
    <t>&lt;Nozzle_Duct_X_Offset&gt;1.000000&lt;/Nozzle_Duct_X_Offset&gt;</t>
  </si>
  <si>
    <t>&lt;Nozzle_Duct_Y_Offset&gt;0.000000&lt;/Nozzle_Duct_Y_Offset&gt;</t>
  </si>
  <si>
    <t>&lt;Nozzle_Duct_Shape_Factor&gt;0.000000&lt;/Nozzle_Duct_Shape_Factor&gt;</t>
  </si>
  <si>
    <t>&lt;/Engine_Parms&gt;</t>
  </si>
  <si>
    <t>&lt;!--Component&gt;</t>
  </si>
  <si>
    <t>&lt;Type&gt;Prop&lt;/Type&gt;</t>
  </si>
  <si>
    <t>&lt;Name&gt;Rotor&lt;/Name&gt;</t>
  </si>
  <si>
    <t>&lt;PtrID&gt;854381&lt;/PtrID&gt;</t>
  </si>
  <si>
    <t>&lt;Prop_Parms&gt;</t>
  </si>
  <si>
    <t>&lt;NumBlades&gt;6&lt;/NumBlades&gt;</t>
  </si>
  <si>
    <t>&lt;SmoothFlag&gt;1&lt;/SmoothFlag&gt;</t>
  </si>
  <si>
    <t>&lt;NumU&gt;3&lt;/NumU&gt;</t>
  </si>
  <si>
    <t>&lt;NumW&gt;1&lt;/NumW&gt;</t>
  </si>
  <si>
    <t>&lt;Diameter&gt;3.171557&lt;/Diameter&gt;</t>
  </si>
  <si>
    <t>&lt;ConeAngle&gt;0.000000&lt;/ConeAngle&gt;</t>
  </si>
  <si>
    <t>&lt;Pitch&gt;0.000000&lt;/Pitch&gt;</t>
  </si>
  <si>
    <t>&lt;Sect_Parms&gt;</t>
  </si>
  <si>
    <t>&lt;X_Off&gt;0.050000&lt;/X_Off&gt;</t>
  </si>
  <si>
    <t>&lt;Y_Off&gt;0.000000&lt;/Y_Off&gt;</t>
  </si>
  <si>
    <t>&lt;Chord&gt;0.080000&lt;/Chord&gt;</t>
  </si>
  <si>
    <t>&lt;Twist&gt;45.000000&lt;/Twist&gt;</t>
  </si>
  <si>
    <t>&lt;Camber_Loc&gt;0.500000&lt;/Camber_Loc&gt;</t>
  </si>
  <si>
    <t>&lt;Thickness&gt;0.200000&lt;/Thickness&gt;</t>
  </si>
  <si>
    <t>&lt;Radius_Le&gt;0.044076&lt;/Radius_Le&gt;</t>
  </si>
  <si>
    <t>&lt;Flap_Flag&gt;0&lt;/Flap_Flag&gt;</t>
  </si>
  <si>
    <t>&lt;Flap_Chord&gt;0.250000&lt;/Flap_Chord&gt;</t>
  </si>
  <si>
    <t>&lt;/Sect_Parms&gt;</t>
  </si>
  <si>
    <t>&lt;X_Off&gt;0.500000&lt;/X_Off&gt;</t>
  </si>
  <si>
    <t>&lt;Chord&gt;0.120000&lt;/Chord&gt;</t>
  </si>
  <si>
    <t>&lt;Twist&gt;15.000000&lt;/Twist&gt;</t>
  </si>
  <si>
    <t>&lt;X_Off&gt;0.900000&lt;/X_Off&gt;</t>
  </si>
  <si>
    <t>&lt;Chord&gt;0.070000&lt;/Chord&gt;</t>
  </si>
  <si>
    <t>&lt;Twist&gt;5.000000&lt;/Twist&gt;</t>
  </si>
  <si>
    <t>&lt;X_Off&gt;1.000000&lt;/X_Off&gt;</t>
  </si>
  <si>
    <t>&lt;Chord&gt;0.020000&lt;/Chord&gt;</t>
  </si>
  <si>
    <t>&lt;Twist&gt;2.000000&lt;/Twist&gt;</t>
  </si>
  <si>
    <t>&lt;/Prop_Parms&gt;</t>
  </si>
  <si>
    <t>&lt;/Component--&gt;</t>
  </si>
  <si>
    <t>&lt;Name&gt;pylon&lt;/Name&gt;</t>
  </si>
  <si>
    <t>&lt;ColorG&gt;255.000000&lt;/ColorG&gt;</t>
  </si>
  <si>
    <t>&lt;PtrID&gt;148458296&lt;/PtrID&gt;</t>
  </si>
  <si>
    <t>&lt;Total_Span&gt;0.900000&lt;/Total_Span&gt;</t>
  </si>
  <si>
    <t>&lt;Total_Proj_Span&gt;0.900000&lt;/Total_Proj_Span&gt;</t>
  </si>
  <si>
    <t>&lt;Avg_Chord&gt;2.277075&lt;/Avg_Chord&gt;</t>
  </si>
  <si>
    <t>&lt;Thickness&gt;0.080000&lt;/Thickness&gt;</t>
  </si>
  <si>
    <t>&lt;Radius_Le&gt;0.007052&lt;/Radius_Le&gt;</t>
  </si>
  <si>
    <t>&lt;AR&gt;0.395244&lt;/AR&gt;</t>
  </si>
  <si>
    <t>&lt;TR&gt;1.000000&lt;/TR&gt;</t>
  </si>
  <si>
    <t>&lt;Span&gt;0.900000&lt;/Span&gt;</t>
  </si>
  <si>
    <t>&lt;TC&gt;2.277075&lt;/TC&gt;</t>
  </si>
  <si>
    <t>&lt;RC&gt;2.277075&lt;/RC&gt;</t>
  </si>
  <si>
    <t>&lt;Sweep&gt;50.000000&lt;/Sweep&gt;</t>
  </si>
  <si>
    <t>&lt;Name&gt;fan_section&lt;/Name&gt;</t>
  </si>
  <si>
    <t>&lt;PtrID&gt;148485072&lt;/PtrID&gt;</t>
  </si>
  <si>
    <t>&lt;Max_Tip&gt;1.150000&lt;/Max_Tip&gt;</t>
  </si>
  <si>
    <t>&lt;Hub_Tip&gt;0.313333&lt;/Hub_Tip&gt;</t>
  </si>
  <si>
    <t>&lt;Eng_Thrt_Ratio&gt;1.150000&lt;/Eng_Thrt_Ratio&gt;</t>
  </si>
  <si>
    <t>&lt;Hilight_Thrt_Ratio&gt;1.150000&lt;/Hilight_Thrt_Ratio&gt;</t>
  </si>
  <si>
    <t>&lt;Lip_Finess_Ratio&gt;1.026904&lt;/Lip_Finess_Ratio&gt;</t>
  </si>
  <si>
    <t>&lt;Upper_Surf_Shape_Factor&gt;-0.952293&lt;/Upper_Surf_Shape_Factor&gt;</t>
  </si>
  <si>
    <t>&lt;Lower_Surf_Shape_Factor&gt;0.665074&lt;/Lower_Surf_Shape_Factor&gt;</t>
  </si>
  <si>
    <t>&lt;Inlet_X_Axis_Rot&gt;90.000000&lt;/Inlet_X_Axis_Rot&gt;</t>
  </si>
  <si>
    <t>&lt;Inlet_Scarf_Angle&gt;2.000000&lt;/Inlet_Scarf_Angle&gt;</t>
  </si>
  <si>
    <t>&lt;Exit_Area_Ratio&gt;1.200000&lt;/Exit_Area_Ratio&gt;</t>
  </si>
  <si>
    <t>Number of changes:</t>
  </si>
  <si>
    <t xml:space="preserve">Matching </t>
  </si>
  <si>
    <t>with file?</t>
  </si>
  <si>
    <t>Path to your Aircraft Design tool/data</t>
  </si>
  <si>
    <t>Name of your Aircraft Design tool/data</t>
  </si>
  <si>
    <t>&lt;Tran_Z&gt;1.099473&lt;/Tran_Z&gt;</t>
  </si>
  <si>
    <t>&lt;Total_Span&gt;12.449900&lt;/Total_Span&gt;</t>
  </si>
  <si>
    <t>&lt;Total_Proj_Span&gt;12.381698&lt;/Total_Proj_Span&gt;</t>
  </si>
  <si>
    <t>&lt;Avg_Chord&gt;2.489980&lt;/Avg_Chord&gt;</t>
  </si>
  <si>
    <t>&lt;AR&gt;2.500000&lt;/AR&gt;</t>
  </si>
  <si>
    <t>&lt;Span&gt;6.224950&lt;/Span&gt;</t>
  </si>
  <si>
    <t>&lt;TC&gt;1.134431&lt;/TC&gt;</t>
  </si>
  <si>
    <t>&lt;RC&gt;3.845529&lt;/RC&gt;</t>
  </si>
  <si>
    <t>&lt;Total_Area&gt;21.510000&lt;/Total_Area&gt;</t>
  </si>
  <si>
    <t>&lt;Total_Span&gt;5.870181&lt;/Total_Span&gt;</t>
  </si>
  <si>
    <t>&lt;Total_Proj_Span&gt;5.870181&lt;/Total_Proj_Span&gt;</t>
  </si>
  <si>
    <t>&lt;Avg_Chord&gt;3.664283&lt;/Avg_Chord&gt;</t>
  </si>
  <si>
    <t>&lt;AR&gt;0.631091&lt;/AR&gt;</t>
  </si>
  <si>
    <t>&lt;TR&gt;0.650000&lt;/TR&gt;</t>
  </si>
  <si>
    <t>&lt;Area&gt;13.650577&lt;/Area&gt;</t>
  </si>
  <si>
    <t>&lt;Span&gt;2.935090&lt;/Span&gt;</t>
  </si>
  <si>
    <t>&lt;TC&gt;3.664283&lt;/TC&gt;</t>
  </si>
  <si>
    <t>&lt;RC&gt;5.637358&lt;/RC&gt;</t>
  </si>
  <si>
    <t>&lt;Sweep&gt;11.091055&lt;/Sweep&gt;</t>
  </si>
  <si>
    <t>&lt;AR&gt;1.096105&lt;/AR&gt;</t>
  </si>
  <si>
    <t>&lt;TR&gt;0.461538&lt;/TR&gt;</t>
  </si>
  <si>
    <t>&lt;Area&gt;7.859423&lt;/Area&gt;</t>
  </si>
  <si>
    <t>&lt;TC&gt;1.691207&lt;/TC&gt;</t>
  </si>
  <si>
    <t>&lt;RC&gt;3.664283&lt;/RC&gt;</t>
  </si>
  <si>
    <t>&lt;TR&gt;0.584502&lt;/TR&gt;</t>
  </si>
  <si>
    <t>&lt;Area&gt;28.999922&lt;/Area&gt;</t>
  </si>
  <si>
    <t>&lt;TC&gt;3.939881&lt;/TC&gt;</t>
  </si>
  <si>
    <t>&lt;RC&gt;6.740582&lt;/RC&gt;</t>
  </si>
  <si>
    <t>&lt;AR&gt;4.122757&lt;/AR&gt;</t>
  </si>
  <si>
    <t>&lt;TR&gt;0.420871&lt;/TR&gt;</t>
  </si>
  <si>
    <t>&lt;Area&gt;32.300078&lt;/Area&gt;</t>
  </si>
  <si>
    <t>&lt;TC&gt;1.658183&lt;/TC&gt;</t>
  </si>
  <si>
    <t>&lt;RC&gt;3.939881&lt;/RC&gt;</t>
  </si>
  <si>
    <t>&lt;Sweep&gt;27.281924&lt;/Sweep&gt;</t>
  </si>
  <si>
    <t>&lt;Spine_Location&gt;0.107427&lt;/Spine_Location&gt;</t>
  </si>
  <si>
    <t>&lt;Spine_Location&gt;0.173269&lt;/Spine_Location&gt;</t>
  </si>
  <si>
    <t>&lt;Tran_Z&gt;-2.218143&lt;/Tran_Z&gt;</t>
  </si>
  <si>
    <t>&lt;Radius_Tip&gt;0.410868&lt;/Radius_Tip&gt;</t>
  </si>
  <si>
    <t>&lt;Nozzle_Length&gt;7.298784&lt;/Nozzle_Length&gt;</t>
  </si>
  <si>
    <t>&lt;Tran_Z&gt;0.821735&lt;/Tran_Z&gt;</t>
  </si>
  <si>
    <t>&lt;Total_Area&gt;2.049368&lt;/Total_Area&gt;</t>
  </si>
  <si>
    <t>&lt;Area&gt;2.049368&lt;/Area&gt;</t>
  </si>
  <si>
    <t>&lt;Radius_Tip&gt;0.821735&lt;/Radius_Tip&gt;</t>
  </si>
  <si>
    <t>&lt;Cowl_Length&gt;1.824696&lt;/Cowl_Length&gt;</t>
  </si>
  <si>
    <t>&lt;Nozzle_Length&gt;1.824696&lt;/Nozzle_Length&gt;</t>
  </si>
</sst>
</file>

<file path=xl/styles.xml><?xml version="1.0" encoding="utf-8"?>
<styleSheet xmlns="http://schemas.openxmlformats.org/spreadsheetml/2006/main">
  <numFmts count="5">
    <numFmt numFmtId="164" formatCode="_ * #,##0.00_ ;_ * \-#,##0.00_ ;_ * &quot;-&quot;??_ ;_ @_ "/>
    <numFmt numFmtId="165" formatCode="0.00000"/>
    <numFmt numFmtId="166" formatCode="0.0"/>
    <numFmt numFmtId="167" formatCode="0.000000"/>
    <numFmt numFmtId="168" formatCode="0.000"/>
  </numFmts>
  <fonts count="44">
    <font>
      <sz val="10"/>
      <name val="Arial"/>
    </font>
    <font>
      <sz val="8"/>
      <name val="Arial"/>
      <family val="2"/>
    </font>
    <font>
      <b/>
      <sz val="16"/>
      <name val="Arial"/>
      <family val="2"/>
    </font>
    <font>
      <sz val="10"/>
      <name val="Arial"/>
      <family val="2"/>
    </font>
    <font>
      <b/>
      <sz val="10"/>
      <name val="Arial"/>
      <family val="2"/>
    </font>
    <font>
      <b/>
      <sz val="9"/>
      <color indexed="81"/>
      <name val="Tahoma"/>
      <family val="2"/>
    </font>
    <font>
      <vertAlign val="subscript"/>
      <sz val="10"/>
      <name val="Arial"/>
      <family val="2"/>
    </font>
    <font>
      <vertAlign val="superscript"/>
      <sz val="10"/>
      <name val="Arial"/>
      <family val="2"/>
    </font>
    <font>
      <sz val="10"/>
      <name val="Symbol"/>
      <family val="1"/>
      <charset val="2"/>
    </font>
    <font>
      <sz val="10"/>
      <name val="Arial"/>
      <family val="2"/>
    </font>
    <font>
      <sz val="10"/>
      <color indexed="8"/>
      <name val="Arial"/>
      <family val="2"/>
    </font>
    <font>
      <sz val="10"/>
      <name val="Calibri"/>
      <family val="2"/>
    </font>
    <font>
      <b/>
      <sz val="12"/>
      <name val="Arial"/>
      <family val="2"/>
    </font>
    <font>
      <sz val="9"/>
      <color indexed="81"/>
      <name val="Tahoma"/>
      <family val="2"/>
    </font>
    <font>
      <sz val="10"/>
      <color indexed="10"/>
      <name val="Arial"/>
      <family val="2"/>
    </font>
    <font>
      <b/>
      <sz val="10"/>
      <color indexed="10"/>
      <name val="Arial"/>
      <family val="2"/>
    </font>
    <font>
      <b/>
      <sz val="10"/>
      <color indexed="36"/>
      <name val="Arial"/>
      <family val="2"/>
    </font>
    <font>
      <b/>
      <sz val="10"/>
      <color indexed="18"/>
      <name val="Arial"/>
      <family val="2"/>
    </font>
    <font>
      <sz val="10"/>
      <color indexed="18"/>
      <name val="Arial"/>
      <family val="2"/>
    </font>
    <font>
      <sz val="8"/>
      <name val="Arial"/>
      <family val="2"/>
    </font>
    <font>
      <sz val="12"/>
      <name val="Arial"/>
      <family val="2"/>
    </font>
    <font>
      <sz val="10"/>
      <color indexed="81"/>
      <name val="Arial"/>
      <family val="2"/>
    </font>
    <font>
      <vertAlign val="subscript"/>
      <sz val="10"/>
      <name val="Calibri"/>
      <family val="2"/>
    </font>
    <font>
      <u/>
      <sz val="11"/>
      <color indexed="12"/>
      <name val="Calibri"/>
      <family val="2"/>
    </font>
    <font>
      <sz val="24"/>
      <color indexed="10"/>
      <name val="Calibri"/>
      <family val="2"/>
    </font>
    <font>
      <sz val="24"/>
      <color indexed="8"/>
      <name val="Calibri"/>
      <family val="2"/>
    </font>
    <font>
      <sz val="48"/>
      <color indexed="8"/>
      <name val="Arial"/>
      <family val="2"/>
    </font>
    <font>
      <b/>
      <sz val="8"/>
      <color indexed="81"/>
      <name val="Courier"/>
      <family val="3"/>
    </font>
    <font>
      <b/>
      <vertAlign val="subscript"/>
      <sz val="8"/>
      <color indexed="81"/>
      <name val="Courier"/>
      <family val="3"/>
    </font>
    <font>
      <sz val="8"/>
      <color indexed="81"/>
      <name val="Courier"/>
      <family val="3"/>
    </font>
    <font>
      <sz val="10"/>
      <name val="Arial"/>
      <family val="2"/>
      <charset val="204"/>
    </font>
    <font>
      <sz val="9"/>
      <color indexed="81"/>
      <name val="Tahoma"/>
      <family val="2"/>
      <charset val="204"/>
    </font>
    <font>
      <vertAlign val="subscript"/>
      <sz val="10"/>
      <name val="Arial"/>
      <family val="2"/>
      <charset val="204"/>
    </font>
    <font>
      <vertAlign val="superscript"/>
      <sz val="10"/>
      <name val="Arial"/>
      <family val="2"/>
      <charset val="204"/>
    </font>
    <font>
      <b/>
      <sz val="10"/>
      <color indexed="18"/>
      <name val="Arial"/>
      <family val="2"/>
    </font>
    <font>
      <sz val="10"/>
      <color indexed="10"/>
      <name val="Arial"/>
      <family val="2"/>
    </font>
    <font>
      <b/>
      <sz val="10"/>
      <color indexed="10"/>
      <name val="Arial"/>
      <family val="2"/>
    </font>
    <font>
      <sz val="8"/>
      <name val="Arial"/>
      <family val="2"/>
    </font>
    <font>
      <u/>
      <sz val="10"/>
      <color theme="10"/>
      <name val="Arial"/>
      <family val="2"/>
    </font>
    <font>
      <u/>
      <sz val="12"/>
      <color indexed="12"/>
      <name val="Arial"/>
      <family val="2"/>
    </font>
    <font>
      <sz val="12"/>
      <color indexed="8"/>
      <name val="Arial"/>
      <family val="2"/>
    </font>
    <font>
      <u/>
      <sz val="12"/>
      <color theme="10"/>
      <name val="Arial"/>
      <family val="2"/>
    </font>
    <font>
      <sz val="48"/>
      <color rgb="FFFF0000"/>
      <name val="Arial"/>
      <family val="2"/>
    </font>
    <font>
      <sz val="10"/>
      <color rgb="FF0000FF"/>
      <name val="Arial"/>
      <family val="2"/>
    </font>
  </fonts>
  <fills count="10">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10"/>
        <bgColor indexed="64"/>
      </patternFill>
    </fill>
    <fill>
      <patternFill patternType="solid">
        <fgColor indexed="50"/>
        <bgColor indexed="64"/>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s>
  <borders count="2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bottom/>
      <diagonal/>
    </border>
  </borders>
  <cellStyleXfs count="5">
    <xf numFmtId="0" fontId="0" fillId="0" borderId="0"/>
    <xf numFmtId="164" fontId="9" fillId="0" borderId="0" applyFont="0" applyFill="0" applyBorder="0" applyAlignment="0" applyProtection="0"/>
    <xf numFmtId="0" fontId="38"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3" fillId="0" borderId="0"/>
  </cellStyleXfs>
  <cellXfs count="186">
    <xf numFmtId="0" fontId="0" fillId="0" borderId="0" xfId="0"/>
    <xf numFmtId="0" fontId="3" fillId="0" borderId="0" xfId="0" applyFont="1"/>
    <xf numFmtId="0" fontId="0" fillId="0" borderId="0" xfId="0" applyAlignment="1">
      <alignment horizontal="left"/>
    </xf>
    <xf numFmtId="0" fontId="3" fillId="0" borderId="0" xfId="0" applyFont="1" applyAlignment="1">
      <alignment horizontal="left"/>
    </xf>
    <xf numFmtId="0" fontId="4" fillId="0" borderId="0" xfId="0" applyFont="1" applyAlignment="1">
      <alignment horizontal="right"/>
    </xf>
    <xf numFmtId="0" fontId="14" fillId="0" borderId="0" xfId="0" applyFont="1"/>
    <xf numFmtId="0" fontId="0" fillId="0" borderId="0" xfId="0" applyFill="1"/>
    <xf numFmtId="0" fontId="4" fillId="0" borderId="1" xfId="0" applyFont="1" applyBorder="1" applyAlignment="1">
      <alignment horizontal="right"/>
    </xf>
    <xf numFmtId="0" fontId="0" fillId="0" borderId="1" xfId="0" applyBorder="1"/>
    <xf numFmtId="0" fontId="0" fillId="0" borderId="1" xfId="0" applyBorder="1" applyAlignment="1">
      <alignment horizontal="left"/>
    </xf>
    <xf numFmtId="0" fontId="4" fillId="0" borderId="0" xfId="0" applyFont="1" applyBorder="1" applyAlignment="1">
      <alignment horizontal="right"/>
    </xf>
    <xf numFmtId="0" fontId="0" fillId="0" borderId="0" xfId="0" applyBorder="1"/>
    <xf numFmtId="0" fontId="0" fillId="0" borderId="0" xfId="0" applyBorder="1" applyAlignment="1">
      <alignment horizontal="left"/>
    </xf>
    <xf numFmtId="167" fontId="0" fillId="0" borderId="0" xfId="0" applyNumberFormat="1" applyFill="1" applyBorder="1"/>
    <xf numFmtId="0" fontId="3" fillId="0" borderId="0" xfId="0" applyFont="1" applyBorder="1" applyAlignment="1">
      <alignment horizontal="left"/>
    </xf>
    <xf numFmtId="0" fontId="14" fillId="0" borderId="0" xfId="0" applyFont="1" applyBorder="1"/>
    <xf numFmtId="167" fontId="3" fillId="0" borderId="0" xfId="0" applyNumberFormat="1" applyFont="1" applyFill="1" applyBorder="1"/>
    <xf numFmtId="0" fontId="0" fillId="0" borderId="0" xfId="0" applyFill="1" applyBorder="1"/>
    <xf numFmtId="0" fontId="3" fillId="0" borderId="0" xfId="0" applyFont="1" applyFill="1"/>
    <xf numFmtId="0" fontId="4" fillId="0" borderId="0" xfId="0" applyFont="1" applyBorder="1" applyAlignment="1">
      <alignment horizontal="left"/>
    </xf>
    <xf numFmtId="0" fontId="0" fillId="0" borderId="0" xfId="0" applyBorder="1" applyAlignment="1">
      <alignment horizontal="center"/>
    </xf>
    <xf numFmtId="0" fontId="4" fillId="0" borderId="0" xfId="0" applyFont="1"/>
    <xf numFmtId="0" fontId="0" fillId="2" borderId="0" xfId="0" applyFill="1" applyBorder="1"/>
    <xf numFmtId="0" fontId="0" fillId="2" borderId="0" xfId="0" applyFill="1"/>
    <xf numFmtId="0" fontId="0" fillId="3" borderId="0" xfId="0" applyFill="1"/>
    <xf numFmtId="0" fontId="0" fillId="3" borderId="0" xfId="0" applyFill="1" applyBorder="1"/>
    <xf numFmtId="0" fontId="0" fillId="4" borderId="0" xfId="0" applyFill="1"/>
    <xf numFmtId="0" fontId="0" fillId="5" borderId="2" xfId="0" applyFill="1" applyBorder="1" applyAlignment="1">
      <alignment horizontal="center"/>
    </xf>
    <xf numFmtId="0" fontId="3" fillId="0" borderId="0" xfId="0" applyNumberFormat="1" applyFont="1" applyFill="1" applyBorder="1" applyAlignment="1">
      <alignment horizontal="right"/>
    </xf>
    <xf numFmtId="167" fontId="15" fillId="0" borderId="0" xfId="0" applyNumberFormat="1" applyFont="1" applyFill="1"/>
    <xf numFmtId="167" fontId="0" fillId="0" borderId="0" xfId="0" applyNumberFormat="1" applyFill="1"/>
    <xf numFmtId="167" fontId="17" fillId="0" borderId="0" xfId="0" applyNumberFormat="1" applyFont="1" applyFill="1" applyBorder="1"/>
    <xf numFmtId="167" fontId="15" fillId="0" borderId="0" xfId="0" applyNumberFormat="1" applyFont="1" applyFill="1" applyBorder="1"/>
    <xf numFmtId="167" fontId="17" fillId="0" borderId="0" xfId="0" applyNumberFormat="1" applyFont="1" applyFill="1"/>
    <xf numFmtId="0" fontId="15" fillId="0" borderId="0" xfId="0" applyFont="1" applyFill="1" applyBorder="1"/>
    <xf numFmtId="0" fontId="15" fillId="0" borderId="0" xfId="0" applyFont="1" applyFill="1"/>
    <xf numFmtId="0" fontId="15" fillId="0" borderId="0" xfId="0" applyNumberFormat="1" applyFont="1" applyFill="1" applyBorder="1"/>
    <xf numFmtId="0" fontId="15" fillId="0" borderId="0" xfId="0" applyNumberFormat="1" applyFont="1" applyFill="1" applyBorder="1" applyAlignment="1">
      <alignment horizontal="right"/>
    </xf>
    <xf numFmtId="0" fontId="17" fillId="0" borderId="0" xfId="0" applyNumberFormat="1" applyFont="1" applyFill="1" applyBorder="1" applyAlignment="1">
      <alignment horizontal="right"/>
    </xf>
    <xf numFmtId="0" fontId="18"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68" fontId="3" fillId="3" borderId="2" xfId="0" applyNumberFormat="1" applyFont="1" applyFill="1" applyBorder="1"/>
    <xf numFmtId="168" fontId="0" fillId="3" borderId="2" xfId="0" applyNumberFormat="1" applyFill="1" applyBorder="1"/>
    <xf numFmtId="168" fontId="10" fillId="3" borderId="2" xfId="0" applyNumberFormat="1" applyFont="1" applyFill="1" applyBorder="1" applyAlignment="1">
      <alignment horizontal="right"/>
    </xf>
    <xf numFmtId="0" fontId="4" fillId="3" borderId="0" xfId="0" applyFont="1" applyFill="1"/>
    <xf numFmtId="0" fontId="3" fillId="3" borderId="0" xfId="0" applyFont="1" applyFill="1"/>
    <xf numFmtId="168" fontId="0" fillId="3" borderId="0" xfId="0" applyNumberFormat="1" applyFill="1" applyBorder="1"/>
    <xf numFmtId="0" fontId="4" fillId="3" borderId="0" xfId="0" applyFont="1" applyFill="1" applyAlignment="1"/>
    <xf numFmtId="0" fontId="3" fillId="3" borderId="2" xfId="0" applyFont="1" applyFill="1" applyBorder="1"/>
    <xf numFmtId="0" fontId="4" fillId="3" borderId="3" xfId="0" applyFont="1" applyFill="1" applyBorder="1"/>
    <xf numFmtId="0" fontId="0" fillId="3" borderId="4" xfId="0" applyFill="1" applyBorder="1"/>
    <xf numFmtId="0" fontId="14" fillId="3" borderId="4" xfId="0" applyFont="1" applyFill="1" applyBorder="1"/>
    <xf numFmtId="0" fontId="0" fillId="3" borderId="5" xfId="0" applyFill="1" applyBorder="1"/>
    <xf numFmtId="0" fontId="3" fillId="3" borderId="6" xfId="0" applyFont="1" applyFill="1" applyBorder="1"/>
    <xf numFmtId="0" fontId="3" fillId="3" borderId="0" xfId="0" applyFont="1" applyFill="1" applyBorder="1"/>
    <xf numFmtId="0" fontId="0" fillId="3" borderId="7" xfId="0" applyFill="1" applyBorder="1"/>
    <xf numFmtId="0" fontId="3" fillId="3" borderId="0" xfId="0" applyFont="1" applyFill="1" applyBorder="1" applyAlignment="1">
      <alignment horizontal="center"/>
    </xf>
    <xf numFmtId="0" fontId="3" fillId="3" borderId="7" xfId="0" applyFont="1" applyFill="1" applyBorder="1"/>
    <xf numFmtId="0" fontId="3" fillId="3" borderId="8" xfId="0" applyFont="1" applyFill="1" applyBorder="1"/>
    <xf numFmtId="0" fontId="3" fillId="3" borderId="9" xfId="0" applyFont="1" applyFill="1" applyBorder="1"/>
    <xf numFmtId="0" fontId="0" fillId="3" borderId="9" xfId="0" applyFill="1" applyBorder="1"/>
    <xf numFmtId="168" fontId="0" fillId="3" borderId="9" xfId="0" applyNumberFormat="1" applyFill="1" applyBorder="1"/>
    <xf numFmtId="0" fontId="0" fillId="3" borderId="10" xfId="0" applyFill="1" applyBorder="1"/>
    <xf numFmtId="168" fontId="3" fillId="3" borderId="0" xfId="0" applyNumberFormat="1" applyFont="1" applyFill="1" applyBorder="1"/>
    <xf numFmtId="0" fontId="3" fillId="3" borderId="4" xfId="0" applyFont="1" applyFill="1" applyBorder="1"/>
    <xf numFmtId="168" fontId="0" fillId="3" borderId="4" xfId="0" applyNumberFormat="1" applyFill="1" applyBorder="1"/>
    <xf numFmtId="168" fontId="0" fillId="3" borderId="0" xfId="0" applyNumberFormat="1" applyFill="1"/>
    <xf numFmtId="0" fontId="4" fillId="3" borderId="2" xfId="0" applyFont="1" applyFill="1" applyBorder="1"/>
    <xf numFmtId="168" fontId="0" fillId="4" borderId="2" xfId="0" applyNumberFormat="1" applyFill="1" applyBorder="1"/>
    <xf numFmtId="0" fontId="2" fillId="3" borderId="0" xfId="0" applyFont="1" applyFill="1" applyAlignment="1">
      <alignment horizontal="left"/>
    </xf>
    <xf numFmtId="0" fontId="2" fillId="4" borderId="0" xfId="0" applyFont="1" applyFill="1" applyAlignment="1">
      <alignment horizontal="left"/>
    </xf>
    <xf numFmtId="0" fontId="3" fillId="4" borderId="0" xfId="0" applyFont="1" applyFill="1"/>
    <xf numFmtId="0" fontId="12" fillId="4" borderId="0" xfId="0" applyFont="1" applyFill="1" applyAlignment="1">
      <alignment horizontal="left"/>
    </xf>
    <xf numFmtId="0" fontId="12" fillId="4" borderId="0" xfId="0" quotePrefix="1" applyFont="1" applyFill="1"/>
    <xf numFmtId="0" fontId="12" fillId="3" borderId="0" xfId="0" quotePrefix="1" applyFont="1" applyFill="1"/>
    <xf numFmtId="0" fontId="12" fillId="3" borderId="0" xfId="0" applyFont="1" applyFill="1"/>
    <xf numFmtId="0" fontId="12" fillId="4" borderId="0" xfId="0" applyFont="1" applyFill="1"/>
    <xf numFmtId="168" fontId="0" fillId="4" borderId="0" xfId="0" applyNumberFormat="1" applyFill="1"/>
    <xf numFmtId="0" fontId="3" fillId="3" borderId="9" xfId="0" applyFont="1" applyFill="1" applyBorder="1" applyAlignment="1">
      <alignment horizontal="center"/>
    </xf>
    <xf numFmtId="168" fontId="0" fillId="3" borderId="11" xfId="0" applyNumberFormat="1" applyFill="1" applyBorder="1"/>
    <xf numFmtId="0" fontId="3" fillId="3" borderId="10" xfId="0" applyFont="1" applyFill="1" applyBorder="1"/>
    <xf numFmtId="1" fontId="0" fillId="3" borderId="0" xfId="0" applyNumberFormat="1" applyFill="1" applyBorder="1"/>
    <xf numFmtId="0" fontId="3" fillId="3" borderId="5" xfId="0" applyFont="1" applyFill="1" applyBorder="1"/>
    <xf numFmtId="0" fontId="3" fillId="3" borderId="3" xfId="0" applyFont="1" applyFill="1" applyBorder="1"/>
    <xf numFmtId="168" fontId="0" fillId="4" borderId="11" xfId="0" applyNumberFormat="1" applyFill="1" applyBorder="1"/>
    <xf numFmtId="0" fontId="3" fillId="3" borderId="4" xfId="0" applyFont="1" applyFill="1" applyBorder="1" applyAlignment="1">
      <alignment horizontal="center"/>
    </xf>
    <xf numFmtId="168" fontId="0" fillId="3" borderId="12" xfId="0" applyNumberFormat="1" applyFill="1" applyBorder="1"/>
    <xf numFmtId="168" fontId="0" fillId="3" borderId="13" xfId="0" applyNumberFormat="1" applyFill="1" applyBorder="1"/>
    <xf numFmtId="0" fontId="0" fillId="3" borderId="8" xfId="0" applyFill="1" applyBorder="1"/>
    <xf numFmtId="0" fontId="0" fillId="6" borderId="14" xfId="0" applyFill="1" applyBorder="1"/>
    <xf numFmtId="168" fontId="3" fillId="7" borderId="2" xfId="0" applyNumberFormat="1" applyFont="1" applyFill="1" applyBorder="1"/>
    <xf numFmtId="0" fontId="20" fillId="3" borderId="0" xfId="0" applyFont="1" applyFill="1" applyAlignment="1">
      <alignment horizontal="left"/>
    </xf>
    <xf numFmtId="167" fontId="34" fillId="0" borderId="0" xfId="0" applyNumberFormat="1" applyFont="1" applyFill="1"/>
    <xf numFmtId="167" fontId="34" fillId="0" borderId="0" xfId="0" applyNumberFormat="1" applyFont="1" applyFill="1" applyBorder="1"/>
    <xf numFmtId="167" fontId="34" fillId="0" borderId="0" xfId="0" applyNumberFormat="1" applyFont="1" applyFill="1" applyBorder="1" applyAlignment="1">
      <alignment horizontal="right"/>
    </xf>
    <xf numFmtId="0" fontId="4" fillId="0" borderId="0" xfId="0" applyNumberFormat="1" applyFont="1" applyFill="1" applyBorder="1" applyAlignment="1">
      <alignment horizontal="right"/>
    </xf>
    <xf numFmtId="166" fontId="3" fillId="0" borderId="0" xfId="0" applyNumberFormat="1" applyFont="1" applyFill="1" applyAlignment="1">
      <alignment horizontal="right"/>
    </xf>
    <xf numFmtId="0" fontId="0" fillId="0" borderId="0" xfId="0" applyFill="1" applyAlignment="1">
      <alignment horizontal="right"/>
    </xf>
    <xf numFmtId="0" fontId="0" fillId="0" borderId="0" xfId="0" applyNumberFormat="1" applyFill="1" applyAlignment="1">
      <alignment horizontal="right"/>
    </xf>
    <xf numFmtId="0" fontId="16" fillId="0" borderId="0" xfId="0" applyFont="1" applyFill="1"/>
    <xf numFmtId="0" fontId="3" fillId="0" borderId="0" xfId="0" applyFont="1" applyFill="1" applyBorder="1" applyAlignment="1">
      <alignment horizontal="right"/>
    </xf>
    <xf numFmtId="167" fontId="3" fillId="0" borderId="0" xfId="0" applyNumberFormat="1" applyFont="1" applyFill="1" applyBorder="1" applyAlignment="1">
      <alignment horizontal="right"/>
    </xf>
    <xf numFmtId="1" fontId="3" fillId="0" borderId="0" xfId="0" applyNumberFormat="1" applyFont="1" applyFill="1" applyBorder="1" applyAlignment="1">
      <alignment horizontal="right"/>
    </xf>
    <xf numFmtId="0" fontId="3" fillId="0" borderId="0" xfId="0" applyFont="1" applyFill="1" applyBorder="1"/>
    <xf numFmtId="0" fontId="4" fillId="0" borderId="0" xfId="0" applyFont="1" applyFill="1" applyBorder="1" applyAlignment="1">
      <alignment horizontal="right"/>
    </xf>
    <xf numFmtId="0" fontId="0" fillId="0" borderId="0" xfId="0" applyNumberFormat="1" applyFill="1"/>
    <xf numFmtId="1" fontId="0" fillId="0" borderId="0" xfId="0" applyNumberFormat="1" applyFill="1"/>
    <xf numFmtId="0" fontId="4" fillId="0" borderId="0" xfId="0" applyFont="1" applyFill="1" applyAlignment="1">
      <alignment horizontal="right"/>
    </xf>
    <xf numFmtId="0" fontId="0" fillId="0" borderId="0" xfId="0" applyNumberFormat="1" applyFill="1" applyBorder="1"/>
    <xf numFmtId="0" fontId="0" fillId="0" borderId="1" xfId="0" applyFill="1" applyBorder="1"/>
    <xf numFmtId="0" fontId="16" fillId="0" borderId="0" xfId="0" applyFont="1" applyFill="1" applyBorder="1"/>
    <xf numFmtId="165" fontId="0" fillId="0" borderId="0" xfId="0" applyNumberFormat="1" applyFill="1"/>
    <xf numFmtId="0" fontId="3" fillId="3" borderId="15" xfId="0" applyFont="1" applyFill="1" applyBorder="1" applyAlignment="1">
      <alignment horizontal="center"/>
    </xf>
    <xf numFmtId="168" fontId="0" fillId="7" borderId="2" xfId="0" applyNumberFormat="1" applyFill="1" applyBorder="1"/>
    <xf numFmtId="0" fontId="35" fillId="3" borderId="0" xfId="0" applyFont="1" applyFill="1"/>
    <xf numFmtId="168" fontId="3" fillId="3" borderId="2" xfId="1" applyNumberFormat="1" applyFont="1" applyFill="1" applyBorder="1"/>
    <xf numFmtId="0" fontId="3" fillId="0" borderId="0" xfId="0" applyNumberFormat="1" applyFont="1" applyFill="1" applyBorder="1"/>
    <xf numFmtId="1" fontId="34" fillId="0" borderId="0" xfId="0" applyNumberFormat="1" applyFont="1" applyFill="1" applyBorder="1" applyAlignment="1">
      <alignment horizontal="right"/>
    </xf>
    <xf numFmtId="0" fontId="36" fillId="0" borderId="0" xfId="0" applyFont="1" applyFill="1" applyBorder="1" applyAlignment="1">
      <alignment horizontal="right"/>
    </xf>
    <xf numFmtId="0" fontId="36" fillId="0" borderId="0" xfId="0" applyFont="1" applyFill="1"/>
    <xf numFmtId="0" fontId="2" fillId="0" borderId="0" xfId="0" applyFont="1" applyAlignment="1">
      <alignment horizontal="left"/>
    </xf>
    <xf numFmtId="0" fontId="4" fillId="0" borderId="1" xfId="0" applyFont="1" applyBorder="1" applyAlignment="1">
      <alignment horizontal="left"/>
    </xf>
    <xf numFmtId="0" fontId="4" fillId="0" borderId="1" xfId="0" applyFont="1" applyFill="1" applyBorder="1"/>
    <xf numFmtId="168" fontId="0" fillId="3" borderId="18" xfId="0" applyNumberFormat="1" applyFill="1" applyBorder="1"/>
    <xf numFmtId="0" fontId="3" fillId="3" borderId="0" xfId="4" applyFill="1"/>
    <xf numFmtId="0" fontId="24" fillId="3" borderId="0" xfId="4" applyFont="1" applyFill="1" applyAlignment="1">
      <alignment horizontal="center"/>
    </xf>
    <xf numFmtId="0" fontId="26" fillId="3" borderId="0" xfId="4" applyFont="1" applyFill="1" applyAlignment="1">
      <alignment horizontal="center"/>
    </xf>
    <xf numFmtId="168" fontId="3" fillId="4" borderId="2" xfId="0" applyNumberFormat="1" applyFont="1" applyFill="1" applyBorder="1"/>
    <xf numFmtId="0" fontId="0" fillId="7" borderId="2" xfId="0" applyFill="1" applyBorder="1"/>
    <xf numFmtId="0" fontId="3" fillId="3" borderId="0" xfId="0" applyFont="1" applyFill="1" applyAlignment="1">
      <alignment vertical="top"/>
    </xf>
    <xf numFmtId="0" fontId="3" fillId="0" borderId="0" xfId="0" applyFont="1" applyFill="1" applyBorder="1" applyAlignment="1">
      <alignment horizontal="left"/>
    </xf>
    <xf numFmtId="0" fontId="0" fillId="0" borderId="0" xfId="0" applyFill="1" applyBorder="1" applyAlignment="1">
      <alignment horizontal="left"/>
    </xf>
    <xf numFmtId="0" fontId="14" fillId="0" borderId="0" xfId="0" applyFont="1" applyFill="1" applyBorder="1"/>
    <xf numFmtId="0" fontId="0" fillId="0" borderId="1" xfId="0" applyFill="1" applyBorder="1" applyAlignment="1">
      <alignment horizontal="left"/>
    </xf>
    <xf numFmtId="0" fontId="0" fillId="0" borderId="0" xfId="0" applyFill="1" applyAlignment="1">
      <alignment horizontal="left"/>
    </xf>
    <xf numFmtId="0" fontId="4" fillId="0" borderId="1" xfId="0" applyFont="1" applyFill="1" applyBorder="1" applyAlignment="1">
      <alignment horizontal="right"/>
    </xf>
    <xf numFmtId="168" fontId="0" fillId="7" borderId="12" xfId="0" applyNumberFormat="1" applyFill="1" applyBorder="1"/>
    <xf numFmtId="0" fontId="30" fillId="3" borderId="14" xfId="0" applyFont="1" applyFill="1" applyBorder="1" applyAlignment="1">
      <alignment horizontal="center"/>
    </xf>
    <xf numFmtId="0" fontId="30" fillId="3" borderId="0" xfId="0" applyFont="1" applyFill="1"/>
    <xf numFmtId="0" fontId="3" fillId="3" borderId="19" xfId="0" applyFont="1" applyFill="1" applyBorder="1"/>
    <xf numFmtId="0" fontId="0" fillId="3" borderId="6" xfId="0" applyFill="1" applyBorder="1"/>
    <xf numFmtId="168" fontId="0" fillId="0" borderId="0" xfId="0" applyNumberFormat="1"/>
    <xf numFmtId="1" fontId="0" fillId="3" borderId="0" xfId="0" applyNumberFormat="1" applyFill="1"/>
    <xf numFmtId="168" fontId="30" fillId="3" borderId="0" xfId="0" applyNumberFormat="1" applyFont="1" applyFill="1" applyBorder="1"/>
    <xf numFmtId="168" fontId="0" fillId="7" borderId="0" xfId="0" applyNumberFormat="1" applyFill="1" applyBorder="1"/>
    <xf numFmtId="0" fontId="30" fillId="8" borderId="20" xfId="0" applyFont="1" applyFill="1" applyBorder="1"/>
    <xf numFmtId="0" fontId="0" fillId="8" borderId="16" xfId="0" applyFill="1" applyBorder="1"/>
    <xf numFmtId="0" fontId="0" fillId="8" borderId="17" xfId="0" applyFill="1" applyBorder="1"/>
    <xf numFmtId="0" fontId="38" fillId="9" borderId="16" xfId="2" applyFill="1" applyBorder="1" applyAlignment="1" applyProtection="1"/>
    <xf numFmtId="0" fontId="38" fillId="9" borderId="17" xfId="2" applyFill="1" applyBorder="1" applyAlignment="1" applyProtection="1"/>
    <xf numFmtId="0" fontId="3" fillId="3" borderId="14" xfId="0" applyFont="1" applyFill="1" applyBorder="1" applyAlignment="1">
      <alignment horizontal="center"/>
    </xf>
    <xf numFmtId="168" fontId="0" fillId="0" borderId="0" xfId="0" applyNumberFormat="1" applyAlignment="1">
      <alignment horizontal="right"/>
    </xf>
    <xf numFmtId="168" fontId="30" fillId="0" borderId="0" xfId="0" applyNumberFormat="1" applyFont="1" applyAlignment="1">
      <alignment horizontal="right"/>
    </xf>
    <xf numFmtId="168" fontId="0" fillId="0" borderId="0" xfId="0" applyNumberFormat="1" applyBorder="1"/>
    <xf numFmtId="168" fontId="0" fillId="0" borderId="9" xfId="0" applyNumberFormat="1" applyBorder="1"/>
    <xf numFmtId="0" fontId="0" fillId="6" borderId="21" xfId="0" applyFill="1" applyBorder="1"/>
    <xf numFmtId="168" fontId="0" fillId="0" borderId="4" xfId="0" applyNumberFormat="1" applyBorder="1"/>
    <xf numFmtId="168" fontId="0" fillId="0" borderId="4" xfId="0" applyNumberFormat="1" applyBorder="1" applyAlignment="1">
      <alignment horizontal="right"/>
    </xf>
    <xf numFmtId="168" fontId="0" fillId="0" borderId="0" xfId="0" applyNumberFormat="1" applyBorder="1" applyAlignment="1">
      <alignment horizontal="right"/>
    </xf>
    <xf numFmtId="0" fontId="20" fillId="3" borderId="0" xfId="4" applyFont="1" applyFill="1"/>
    <xf numFmtId="0" fontId="39" fillId="3" borderId="0" xfId="3" applyFont="1" applyFill="1" applyAlignment="1" applyProtection="1"/>
    <xf numFmtId="0" fontId="40" fillId="3" borderId="0" xfId="4" applyFont="1" applyFill="1"/>
    <xf numFmtId="0" fontId="12" fillId="3" borderId="0" xfId="4" applyFont="1" applyFill="1"/>
    <xf numFmtId="0" fontId="41" fillId="3" borderId="0" xfId="2" applyFont="1" applyFill="1" applyAlignment="1" applyProtection="1"/>
    <xf numFmtId="0" fontId="38" fillId="9" borderId="0" xfId="2" applyFill="1" applyAlignment="1" applyProtection="1"/>
    <xf numFmtId="0" fontId="20" fillId="3" borderId="0" xfId="4" applyFont="1" applyFill="1" applyAlignment="1">
      <alignment horizontal="left"/>
    </xf>
    <xf numFmtId="0" fontId="0" fillId="0" borderId="14" xfId="0" applyBorder="1" applyAlignment="1">
      <alignment horizontal="right"/>
    </xf>
    <xf numFmtId="0" fontId="0" fillId="0" borderId="14" xfId="0" applyBorder="1"/>
    <xf numFmtId="168" fontId="0" fillId="0" borderId="14" xfId="0" applyNumberFormat="1" applyBorder="1"/>
    <xf numFmtId="0" fontId="4" fillId="0" borderId="17" xfId="0" applyFont="1" applyFill="1" applyBorder="1" applyAlignment="1">
      <alignment horizontal="center"/>
    </xf>
    <xf numFmtId="0" fontId="4" fillId="0" borderId="15" xfId="0" applyFont="1" applyFill="1" applyBorder="1" applyAlignment="1">
      <alignment horizontal="left"/>
    </xf>
    <xf numFmtId="0" fontId="4" fillId="0" borderId="0" xfId="0" applyFont="1" applyBorder="1" applyAlignment="1"/>
    <xf numFmtId="0" fontId="4" fillId="0" borderId="1" xfId="0" applyFont="1" applyBorder="1" applyAlignment="1"/>
    <xf numFmtId="0" fontId="4" fillId="0" borderId="0" xfId="0" applyFont="1" applyAlignment="1">
      <alignment horizontal="center"/>
    </xf>
    <xf numFmtId="0" fontId="0" fillId="5" borderId="0" xfId="0" applyFill="1" applyAlignment="1">
      <alignment horizontal="center"/>
    </xf>
    <xf numFmtId="0" fontId="0" fillId="0" borderId="0" xfId="0" applyFill="1" applyAlignment="1">
      <alignment horizontal="center"/>
    </xf>
    <xf numFmtId="0" fontId="0" fillId="5" borderId="0" xfId="0" applyFill="1" applyBorder="1" applyAlignment="1">
      <alignment horizontal="center"/>
    </xf>
    <xf numFmtId="0" fontId="0" fillId="5" borderId="22" xfId="0" applyFill="1" applyBorder="1" applyAlignment="1">
      <alignment horizontal="center"/>
    </xf>
    <xf numFmtId="0" fontId="0" fillId="0" borderId="1" xfId="0" applyBorder="1" applyAlignment="1">
      <alignment horizontal="center"/>
    </xf>
    <xf numFmtId="0" fontId="2" fillId="3" borderId="0" xfId="0" applyFont="1" applyFill="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7" borderId="23" xfId="0" applyFont="1" applyFill="1" applyBorder="1" applyAlignment="1">
      <alignment horizontal="left"/>
    </xf>
    <xf numFmtId="0" fontId="3" fillId="7" borderId="0" xfId="0" applyFont="1" applyFill="1" applyBorder="1" applyAlignment="1">
      <alignment horizontal="left"/>
    </xf>
    <xf numFmtId="0" fontId="3" fillId="7" borderId="23" xfId="0" applyFont="1" applyFill="1" applyBorder="1" applyAlignment="1">
      <alignment horizontal="left" vertical="top" wrapText="1"/>
    </xf>
    <xf numFmtId="0" fontId="3" fillId="7" borderId="0" xfId="0" applyFont="1" applyFill="1" applyBorder="1" applyAlignment="1">
      <alignment horizontal="left" vertical="top" wrapText="1"/>
    </xf>
  </cellXfs>
  <cellStyles count="5">
    <cellStyle name="Dezimal" xfId="1" builtinId="3"/>
    <cellStyle name="Hyperlink" xfId="2" builtinId="8"/>
    <cellStyle name="Hyperlink 2" xfId="3"/>
    <cellStyle name="Normal 2" xfId="4"/>
    <cellStyle name="Standard" xfId="0" builtinId="0"/>
  </cellStyles>
  <dxfs count="4">
    <dxf>
      <fill>
        <patternFill>
          <bgColor rgb="FF00FF00"/>
        </patternFill>
      </fill>
    </dxf>
    <dxf>
      <font>
        <strike val="0"/>
      </font>
      <fill>
        <patternFill>
          <bgColor rgb="FF00FF00"/>
        </patternFill>
      </fill>
    </dxf>
    <dxf>
      <font>
        <condense val="0"/>
        <extend val="0"/>
        <color rgb="FF9C0006"/>
      </font>
      <fill>
        <patternFill>
          <bgColor rgb="FFFFC7CE"/>
        </patternFill>
      </fill>
    </dxf>
    <dxf>
      <font>
        <strike val="0"/>
      </font>
      <fill>
        <patternFill>
          <bgColor rgb="FFFF0000"/>
        </patternFill>
      </fill>
    </dxf>
  </dxfs>
  <tableStyles count="0" defaultTableStyle="TableStyleMedium9" defaultPivotStyle="PivotStyleLight16"/>
  <colors>
    <mruColors>
      <color rgb="FF0000FF"/>
    </mruColors>
  </colors>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1</xdr:col>
      <xdr:colOff>2047875</xdr:colOff>
      <xdr:row>8</xdr:row>
      <xdr:rowOff>28575</xdr:rowOff>
    </xdr:to>
    <xdr:pic>
      <xdr:nvPicPr>
        <xdr:cNvPr id="19553" name="Picture 3" descr="logoAero_l.gif"/>
        <xdr:cNvPicPr>
          <a:picLocks noChangeAspect="1"/>
        </xdr:cNvPicPr>
      </xdr:nvPicPr>
      <xdr:blipFill>
        <a:blip xmlns:r="http://schemas.openxmlformats.org/officeDocument/2006/relationships" r:embed="rId1" cstate="print"/>
        <a:srcRect/>
        <a:stretch>
          <a:fillRect/>
        </a:stretch>
      </xdr:blipFill>
      <xdr:spPr bwMode="auto">
        <a:xfrm>
          <a:off x="628650" y="66675"/>
          <a:ext cx="2028825" cy="1257300"/>
        </a:xfrm>
        <a:prstGeom prst="rect">
          <a:avLst/>
        </a:prstGeom>
        <a:noFill/>
        <a:ln w="9525">
          <a:noFill/>
          <a:miter lim="800000"/>
          <a:headEnd/>
          <a:tailEnd/>
        </a:ln>
      </xdr:spPr>
    </xdr:pic>
    <xdr:clientData/>
  </xdr:twoCellAnchor>
  <xdr:twoCellAnchor editAs="oneCell">
    <xdr:from>
      <xdr:col>1</xdr:col>
      <xdr:colOff>0</xdr:colOff>
      <xdr:row>41</xdr:row>
      <xdr:rowOff>0</xdr:rowOff>
    </xdr:from>
    <xdr:to>
      <xdr:col>1</xdr:col>
      <xdr:colOff>2019300</xdr:colOff>
      <xdr:row>45</xdr:row>
      <xdr:rowOff>47625</xdr:rowOff>
    </xdr:to>
    <xdr:pic>
      <xdr:nvPicPr>
        <xdr:cNvPr id="19554" name="Picture 5" descr="gplv3-127x51.png"/>
        <xdr:cNvPicPr>
          <a:picLocks noChangeAspect="1"/>
        </xdr:cNvPicPr>
      </xdr:nvPicPr>
      <xdr:blipFill>
        <a:blip xmlns:r="http://schemas.openxmlformats.org/officeDocument/2006/relationships" r:embed="rId2" cstate="print"/>
        <a:srcRect/>
        <a:stretch>
          <a:fillRect/>
        </a:stretch>
      </xdr:blipFill>
      <xdr:spPr bwMode="auto">
        <a:xfrm>
          <a:off x="609600" y="7067550"/>
          <a:ext cx="2019300" cy="809625"/>
        </a:xfrm>
        <a:prstGeom prst="rect">
          <a:avLst/>
        </a:prstGeom>
        <a:noFill/>
        <a:ln w="9525">
          <a:noFill/>
          <a:miter lim="800000"/>
          <a:headEnd/>
          <a:tailEnd/>
        </a:ln>
      </xdr:spPr>
    </xdr:pic>
    <xdr:clientData/>
  </xdr:twoCellAnchor>
  <xdr:twoCellAnchor editAs="oneCell">
    <xdr:from>
      <xdr:col>1</xdr:col>
      <xdr:colOff>3822878</xdr:colOff>
      <xdr:row>12</xdr:row>
      <xdr:rowOff>85725</xdr:rowOff>
    </xdr:from>
    <xdr:to>
      <xdr:col>1</xdr:col>
      <xdr:colOff>6229350</xdr:colOff>
      <xdr:row>18</xdr:row>
      <xdr:rowOff>95250</xdr:rowOff>
    </xdr:to>
    <xdr:pic>
      <xdr:nvPicPr>
        <xdr:cNvPr id="19594" name="Picture 1162"/>
        <xdr:cNvPicPr>
          <a:picLocks noChangeAspect="1" noChangeArrowheads="1"/>
        </xdr:cNvPicPr>
      </xdr:nvPicPr>
      <xdr:blipFill>
        <a:blip xmlns:r="http://schemas.openxmlformats.org/officeDocument/2006/relationships" r:embed="rId3" cstate="print"/>
        <a:srcRect/>
        <a:stretch>
          <a:fillRect/>
        </a:stretch>
      </xdr:blipFill>
      <xdr:spPr bwMode="auto">
        <a:xfrm>
          <a:off x="4432478" y="3505200"/>
          <a:ext cx="2406472" cy="1152525"/>
        </a:xfrm>
        <a:prstGeom prst="rect">
          <a:avLst/>
        </a:prstGeom>
        <a:noFill/>
        <a:ln w="1">
          <a:noFill/>
          <a:miter lim="800000"/>
          <a:headEnd/>
          <a:tailEnd type="none" w="med" len="med"/>
        </a:ln>
        <a:effectLst/>
      </xdr:spPr>
    </xdr:pic>
    <xdr:clientData/>
  </xdr:twoCellAnchor>
  <xdr:twoCellAnchor editAs="oneCell">
    <xdr:from>
      <xdr:col>1</xdr:col>
      <xdr:colOff>6619875</xdr:colOff>
      <xdr:row>0</xdr:row>
      <xdr:rowOff>95250</xdr:rowOff>
    </xdr:from>
    <xdr:to>
      <xdr:col>2</xdr:col>
      <xdr:colOff>0</xdr:colOff>
      <xdr:row>8</xdr:row>
      <xdr:rowOff>57150</xdr:rowOff>
    </xdr:to>
    <xdr:pic>
      <xdr:nvPicPr>
        <xdr:cNvPr id="7" name="Grafik 6" descr="logoHAW_L.png"/>
        <xdr:cNvPicPr>
          <a:picLocks noChangeAspect="1"/>
        </xdr:cNvPicPr>
      </xdr:nvPicPr>
      <xdr:blipFill>
        <a:blip xmlns:r="http://schemas.openxmlformats.org/officeDocument/2006/relationships" r:embed="rId4" cstate="print"/>
        <a:stretch>
          <a:fillRect/>
        </a:stretch>
      </xdr:blipFill>
      <xdr:spPr>
        <a:xfrm>
          <a:off x="7229475" y="95250"/>
          <a:ext cx="3429000"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161926</xdr:colOff>
      <xdr:row>8</xdr:row>
      <xdr:rowOff>38101</xdr:rowOff>
    </xdr:from>
    <xdr:to>
      <xdr:col>5</xdr:col>
      <xdr:colOff>1171576</xdr:colOff>
      <xdr:row>16</xdr:row>
      <xdr:rowOff>114300</xdr:rowOff>
    </xdr:to>
    <xdr:sp macro="" textlink="">
      <xdr:nvSpPr>
        <xdr:cNvPr id="2" name="Rectangle 1"/>
        <xdr:cNvSpPr/>
      </xdr:nvSpPr>
      <xdr:spPr>
        <a:xfrm>
          <a:off x="161926" y="2819401"/>
          <a:ext cx="6381750" cy="1476374"/>
        </a:xfrm>
        <a:prstGeom prst="rect">
          <a:avLst/>
        </a:prstGeom>
        <a:ln w="19050">
          <a:solidFill>
            <a:sysClr val="windowText" lastClr="000000"/>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xdr:from>
      <xdr:col>1</xdr:col>
      <xdr:colOff>1670957</xdr:colOff>
      <xdr:row>8</xdr:row>
      <xdr:rowOff>63953</xdr:rowOff>
    </xdr:from>
    <xdr:to>
      <xdr:col>1</xdr:col>
      <xdr:colOff>1680482</xdr:colOff>
      <xdr:row>16</xdr:row>
      <xdr:rowOff>13853</xdr:rowOff>
    </xdr:to>
    <xdr:cxnSp macro="">
      <xdr:nvCxnSpPr>
        <xdr:cNvPr id="4" name="Straight Connector 3"/>
        <xdr:cNvCxnSpPr/>
      </xdr:nvCxnSpPr>
      <xdr:spPr>
        <a:xfrm>
          <a:off x="2283278" y="2853417"/>
          <a:ext cx="9525" cy="15283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1702707</xdr:colOff>
      <xdr:row>10</xdr:row>
      <xdr:rowOff>17461</xdr:rowOff>
    </xdr:from>
    <xdr:to>
      <xdr:col>3</xdr:col>
      <xdr:colOff>930039</xdr:colOff>
      <xdr:row>16</xdr:row>
      <xdr:rowOff>85596</xdr:rowOff>
    </xdr:to>
    <xdr:sp macro="" textlink="">
      <xdr:nvSpPr>
        <xdr:cNvPr id="4172" name="TextBox 4"/>
        <xdr:cNvSpPr txBox="1">
          <a:spLocks noChangeArrowheads="1"/>
        </xdr:cNvSpPr>
      </xdr:nvSpPr>
      <xdr:spPr bwMode="auto">
        <a:xfrm>
          <a:off x="2315028" y="3201532"/>
          <a:ext cx="2084832" cy="1251957"/>
        </a:xfrm>
        <a:prstGeom prst="rect">
          <a:avLst/>
        </a:prstGeom>
        <a:solidFill>
          <a:srgbClr val="969696"/>
        </a:solidFill>
        <a:ln w="9525">
          <a:solidFill>
            <a:srgbClr val="BCBCBC"/>
          </a:solidFill>
          <a:miter lim="800000"/>
          <a:headEnd/>
          <a:tailEnd/>
        </a:ln>
      </xdr:spPr>
      <xdr:txBody>
        <a:bodyPr vertOverflow="clip" wrap="square" lIns="27432" tIns="27432" rIns="0" bIns="0" anchor="t" upright="1"/>
        <a:lstStyle/>
        <a:p>
          <a:pPr algn="l" rtl="0">
            <a:lnSpc>
              <a:spcPts val="1000"/>
            </a:lnSpc>
            <a:defRPr sz="1000"/>
          </a:pPr>
          <a:r>
            <a:rPr lang="en-IN" sz="1000" b="1" i="0" u="none" strike="noStrike" baseline="0">
              <a:solidFill>
                <a:srgbClr val="FF0000"/>
              </a:solidFill>
              <a:latin typeface="Arial" pitchFamily="34" charset="0"/>
              <a:cs typeface="Arial" pitchFamily="34" charset="0"/>
            </a:rPr>
            <a:t>Convert your data to an OpenVSP file </a:t>
          </a:r>
          <a:r>
            <a:rPr lang="en-IN" sz="1000" b="0" i="0" u="none" strike="noStrike" baseline="0">
              <a:solidFill>
                <a:srgbClr val="000000"/>
              </a:solidFill>
              <a:latin typeface="Arial" pitchFamily="34" charset="0"/>
              <a:cs typeface="Arial" pitchFamily="34" charset="0"/>
            </a:rPr>
            <a:t>(*.vsp) and open it in OpenVSP for 3D visualization.</a:t>
          </a:r>
        </a:p>
        <a:p>
          <a:pPr algn="l" rtl="0">
            <a:lnSpc>
              <a:spcPts val="1000"/>
            </a:lnSpc>
            <a:defRPr sz="1000"/>
          </a:pPr>
          <a:r>
            <a:rPr lang="en-IN" sz="1000" b="0" i="0" u="none" strike="noStrike" baseline="0">
              <a:solidFill>
                <a:srgbClr val="000000"/>
              </a:solidFill>
              <a:latin typeface="Arial" pitchFamily="34" charset="0"/>
              <a:cs typeface="Arial" pitchFamily="34" charset="0"/>
            </a:rPr>
            <a:t>--- Ensure that cell marked as </a:t>
          </a:r>
          <a:r>
            <a:rPr lang="en-IN" sz="1000" b="1" i="0" u="none" strike="noStrike" baseline="0">
              <a:solidFill>
                <a:srgbClr val="000000"/>
              </a:solidFill>
              <a:latin typeface="Arial" pitchFamily="34" charset="0"/>
              <a:cs typeface="Arial" pitchFamily="34" charset="0"/>
            </a:rPr>
            <a:t>OpenVSP_Dir </a:t>
          </a:r>
          <a:r>
            <a:rPr lang="en-IN" sz="1000" b="0" i="0" u="none" strike="noStrike" baseline="0">
              <a:solidFill>
                <a:srgbClr val="000000"/>
              </a:solidFill>
              <a:latin typeface="Arial" pitchFamily="34" charset="0"/>
              <a:cs typeface="Arial" pitchFamily="34" charset="0"/>
            </a:rPr>
            <a:t>(H10</a:t>
          </a:r>
          <a:r>
            <a:rPr lang="en-IN" sz="1000" b="1" i="0" u="none" strike="noStrike" baseline="0">
              <a:solidFill>
                <a:srgbClr val="000000"/>
              </a:solidFill>
              <a:latin typeface="Arial" pitchFamily="34" charset="0"/>
              <a:cs typeface="Arial" pitchFamily="34" charset="0"/>
            </a:rPr>
            <a:t>) </a:t>
          </a:r>
          <a:r>
            <a:rPr lang="en-IN" sz="1000" b="0" i="0" u="none" strike="noStrike" baseline="0">
              <a:solidFill>
                <a:srgbClr val="000000"/>
              </a:solidFill>
              <a:latin typeface="Arial" pitchFamily="34" charset="0"/>
              <a:cs typeface="Arial" pitchFamily="34" charset="0"/>
            </a:rPr>
            <a:t>on the side of this box is filled correctly.</a:t>
          </a:r>
        </a:p>
      </xdr:txBody>
    </xdr:sp>
    <xdr:clientData/>
  </xdr:twoCellAnchor>
  <xdr:twoCellAnchor>
    <xdr:from>
      <xdr:col>3</xdr:col>
      <xdr:colOff>965653</xdr:colOff>
      <xdr:row>10</xdr:row>
      <xdr:rowOff>13155</xdr:rowOff>
    </xdr:from>
    <xdr:to>
      <xdr:col>5</xdr:col>
      <xdr:colOff>1145485</xdr:colOff>
      <xdr:row>16</xdr:row>
      <xdr:rowOff>77108</xdr:rowOff>
    </xdr:to>
    <xdr:sp macro="" textlink="">
      <xdr:nvSpPr>
        <xdr:cNvPr id="11" name="TextBox 5"/>
        <xdr:cNvSpPr txBox="1">
          <a:spLocks noChangeArrowheads="1"/>
        </xdr:cNvSpPr>
      </xdr:nvSpPr>
      <xdr:spPr bwMode="auto">
        <a:xfrm>
          <a:off x="4435474" y="3197226"/>
          <a:ext cx="2084832" cy="1247775"/>
        </a:xfrm>
        <a:prstGeom prst="rect">
          <a:avLst/>
        </a:prstGeom>
        <a:solidFill>
          <a:srgbClr val="969696"/>
        </a:solidFill>
        <a:ln w="9525">
          <a:solidFill>
            <a:srgbClr val="BCBCBC"/>
          </a:solidFill>
          <a:miter lim="800000"/>
          <a:headEnd/>
          <a:tailEnd/>
        </a:ln>
      </xdr:spPr>
      <xdr:txBody>
        <a:bodyPr vertOverflow="clip" wrap="square" lIns="27432" tIns="27432" rIns="0" bIns="0" anchor="t" upright="1"/>
        <a:lstStyle/>
        <a:p>
          <a:pPr marL="0" marR="0" indent="0" defTabSz="914400" rtl="0" eaLnBrk="1" fontAlgn="auto" latinLnBrk="0" hangingPunct="1">
            <a:lnSpc>
              <a:spcPct val="100000"/>
            </a:lnSpc>
            <a:spcBef>
              <a:spcPts val="0"/>
            </a:spcBef>
            <a:spcAft>
              <a:spcPts val="0"/>
            </a:spcAft>
            <a:buClrTx/>
            <a:buSzTx/>
            <a:buFontTx/>
            <a:buNone/>
            <a:tabLst/>
            <a:defRPr/>
          </a:pPr>
          <a:r>
            <a:rPr lang="en-IN" sz="1100" b="1" i="0" baseline="0">
              <a:solidFill>
                <a:srgbClr val="FF0000"/>
              </a:solidFill>
              <a:effectLst/>
              <a:latin typeface="+mn-lt"/>
              <a:ea typeface="+mn-ea"/>
              <a:cs typeface="+mn-cs"/>
            </a:rPr>
            <a:t>Load aircraft parameters</a:t>
          </a:r>
          <a:r>
            <a:rPr lang="en-IN" sz="1100" b="0" i="0" baseline="0">
              <a:effectLst/>
              <a:latin typeface="+mn-lt"/>
              <a:ea typeface="+mn-ea"/>
              <a:cs typeface="+mn-cs"/>
            </a:rPr>
            <a:t>:</a:t>
          </a:r>
        </a:p>
        <a:p>
          <a:pPr marL="0" marR="0" indent="0" defTabSz="914400" rtl="0" eaLnBrk="1" fontAlgn="auto" latinLnBrk="0" hangingPunct="1">
            <a:lnSpc>
              <a:spcPct val="100000"/>
            </a:lnSpc>
            <a:spcBef>
              <a:spcPts val="0"/>
            </a:spcBef>
            <a:spcAft>
              <a:spcPts val="0"/>
            </a:spcAft>
            <a:buClrTx/>
            <a:buSzTx/>
            <a:buFontTx/>
            <a:buNone/>
            <a:tabLst/>
            <a:defRPr/>
          </a:pPr>
          <a:r>
            <a:rPr lang="en-IN" sz="1100" b="0" i="0" baseline="0">
              <a:effectLst/>
              <a:latin typeface="+mn-lt"/>
              <a:ea typeface="+mn-ea"/>
              <a:cs typeface="+mn-cs"/>
            </a:rPr>
            <a:t>1.) retrieved from literature or</a:t>
          </a:r>
        </a:p>
        <a:p>
          <a:pPr marL="0" marR="0" indent="0" defTabSz="914400" rtl="0" eaLnBrk="1" fontAlgn="auto" latinLnBrk="0" hangingPunct="1">
            <a:lnSpc>
              <a:spcPct val="100000"/>
            </a:lnSpc>
            <a:spcBef>
              <a:spcPts val="0"/>
            </a:spcBef>
            <a:spcAft>
              <a:spcPts val="0"/>
            </a:spcAft>
            <a:buClrTx/>
            <a:buSzTx/>
            <a:buFontTx/>
            <a:buNone/>
            <a:tabLst/>
            <a:defRPr/>
          </a:pPr>
          <a:r>
            <a:rPr lang="en-IN" sz="1100" b="0" i="0" baseline="0">
              <a:effectLst/>
              <a:latin typeface="+mn-lt"/>
              <a:ea typeface="+mn-ea"/>
              <a:cs typeface="+mn-cs"/>
            </a:rPr>
            <a:t>2.) calculated from any Excel-based aircraft sizing tool.</a:t>
          </a:r>
        </a:p>
        <a:p>
          <a:pPr marL="0" marR="0" indent="0" defTabSz="914400" rtl="0" eaLnBrk="1" fontAlgn="auto" latinLnBrk="0" hangingPunct="1">
            <a:lnSpc>
              <a:spcPct val="100000"/>
            </a:lnSpc>
            <a:spcBef>
              <a:spcPts val="0"/>
            </a:spcBef>
            <a:spcAft>
              <a:spcPts val="0"/>
            </a:spcAft>
            <a:buClrTx/>
            <a:buSzTx/>
            <a:buFontTx/>
            <a:buNone/>
            <a:tabLst/>
            <a:defRPr/>
          </a:pPr>
          <a:r>
            <a:rPr lang="en-IN" sz="1100" b="0" i="0" baseline="0">
              <a:effectLst/>
              <a:latin typeface="+mn-lt"/>
              <a:ea typeface="+mn-ea"/>
              <a:cs typeface="+mn-cs"/>
            </a:rPr>
            <a:t>--- Ensure that cells marked as </a:t>
          </a:r>
          <a:r>
            <a:rPr lang="en-IN" sz="1100" b="1" i="0" baseline="0">
              <a:effectLst/>
              <a:latin typeface="+mn-lt"/>
              <a:ea typeface="+mn-ea"/>
              <a:cs typeface="+mn-cs"/>
            </a:rPr>
            <a:t>MyToolPath </a:t>
          </a:r>
          <a:r>
            <a:rPr lang="en-IN" sz="1100" b="0" i="0" baseline="0">
              <a:effectLst/>
              <a:latin typeface="+mn-lt"/>
              <a:ea typeface="+mn-ea"/>
              <a:cs typeface="+mn-cs"/>
            </a:rPr>
            <a:t>(H12)</a:t>
          </a:r>
          <a:r>
            <a:rPr lang="en-IN" sz="1100" b="1" i="0" baseline="0">
              <a:effectLst/>
              <a:latin typeface="+mn-lt"/>
              <a:ea typeface="+mn-ea"/>
              <a:cs typeface="+mn-cs"/>
            </a:rPr>
            <a:t> </a:t>
          </a:r>
          <a:r>
            <a:rPr lang="en-IN" sz="1100" b="0" i="0" baseline="0">
              <a:effectLst/>
              <a:latin typeface="+mn-lt"/>
              <a:ea typeface="+mn-ea"/>
              <a:cs typeface="+mn-cs"/>
            </a:rPr>
            <a:t>and</a:t>
          </a:r>
          <a:r>
            <a:rPr lang="en-IN" sz="1100" b="1" i="0" baseline="0">
              <a:effectLst/>
              <a:latin typeface="+mn-lt"/>
              <a:ea typeface="+mn-ea"/>
              <a:cs typeface="+mn-cs"/>
            </a:rPr>
            <a:t> MyToolName </a:t>
          </a:r>
          <a:r>
            <a:rPr lang="en-IN" sz="1100" b="0" i="0" baseline="0">
              <a:effectLst/>
              <a:latin typeface="+mn-lt"/>
              <a:ea typeface="+mn-ea"/>
              <a:cs typeface="+mn-cs"/>
            </a:rPr>
            <a:t>(H13) on the side of this box are filled  correctly</a:t>
          </a:r>
          <a:endParaRPr lang="en-IN" sz="1000"/>
        </a:p>
      </xdr:txBody>
    </xdr:sp>
    <xdr:clientData/>
  </xdr:twoCellAnchor>
  <xdr:twoCellAnchor>
    <xdr:from>
      <xdr:col>3</xdr:col>
      <xdr:colOff>947058</xdr:colOff>
      <xdr:row>8</xdr:row>
      <xdr:rowOff>73479</xdr:rowOff>
    </xdr:from>
    <xdr:to>
      <xdr:col>3</xdr:col>
      <xdr:colOff>956583</xdr:colOff>
      <xdr:row>16</xdr:row>
      <xdr:rowOff>23379</xdr:rowOff>
    </xdr:to>
    <xdr:cxnSp macro="">
      <xdr:nvCxnSpPr>
        <xdr:cNvPr id="10" name="Straight Connector 9"/>
        <xdr:cNvCxnSpPr/>
      </xdr:nvCxnSpPr>
      <xdr:spPr>
        <a:xfrm>
          <a:off x="4416879" y="2862943"/>
          <a:ext cx="9525" cy="152832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191634</xdr:colOff>
      <xdr:row>10</xdr:row>
      <xdr:rowOff>8390</xdr:rowOff>
    </xdr:from>
    <xdr:to>
      <xdr:col>1</xdr:col>
      <xdr:colOff>1665278</xdr:colOff>
      <xdr:row>16</xdr:row>
      <xdr:rowOff>78113</xdr:rowOff>
    </xdr:to>
    <xdr:sp macro="" textlink="">
      <xdr:nvSpPr>
        <xdr:cNvPr id="12" name="TextBox 4"/>
        <xdr:cNvSpPr txBox="1">
          <a:spLocks noChangeArrowheads="1"/>
        </xdr:cNvSpPr>
      </xdr:nvSpPr>
      <xdr:spPr bwMode="auto">
        <a:xfrm>
          <a:off x="191634" y="3192461"/>
          <a:ext cx="2085965" cy="1253545"/>
        </a:xfrm>
        <a:prstGeom prst="rect">
          <a:avLst/>
        </a:prstGeom>
        <a:solidFill>
          <a:srgbClr val="969696"/>
        </a:solidFill>
        <a:ln w="9525">
          <a:solidFill>
            <a:srgbClr val="BCBCBC"/>
          </a:solidFill>
          <a:miter lim="800000"/>
          <a:headEnd/>
          <a:tailEnd/>
        </a:ln>
      </xdr:spPr>
      <xdr:txBody>
        <a:bodyPr vertOverflow="clip" wrap="square" lIns="27432" tIns="27432" rIns="0" bIns="0" anchor="t" upright="1"/>
        <a:lstStyle/>
        <a:p>
          <a:pPr algn="l" rtl="0">
            <a:lnSpc>
              <a:spcPts val="1000"/>
            </a:lnSpc>
            <a:defRPr sz="1000"/>
          </a:pPr>
          <a:r>
            <a:rPr lang="en-IN" sz="1000" b="1" i="0" u="none" strike="noStrike" baseline="0">
              <a:solidFill>
                <a:srgbClr val="FF0000"/>
              </a:solidFill>
              <a:latin typeface="Arial" pitchFamily="34" charset="0"/>
              <a:cs typeface="Arial" pitchFamily="34" charset="0"/>
            </a:rPr>
            <a:t>Reset all initial links </a:t>
          </a:r>
          <a:r>
            <a:rPr lang="en-IN" sz="1000" b="0" i="0" u="none" strike="noStrike" baseline="0">
              <a:solidFill>
                <a:srgbClr val="000000"/>
              </a:solidFill>
              <a:latin typeface="Arial" pitchFamily="34" charset="0"/>
              <a:cs typeface="Arial" pitchFamily="34" charset="0"/>
            </a:rPr>
            <a:t>in the input cells, so that all the necessary parameters can be calculated from Aircraft Design expert knowledge based just on </a:t>
          </a:r>
          <a:r>
            <a:rPr lang="en-IN" sz="1000" b="1" i="0" u="none" strike="noStrike" baseline="0">
              <a:solidFill>
                <a:srgbClr val="000000"/>
              </a:solidFill>
              <a:latin typeface="Arial" pitchFamily="34" charset="0"/>
              <a:cs typeface="Arial" pitchFamily="34" charset="0"/>
            </a:rPr>
            <a:t>the Number of Passanger</a:t>
          </a:r>
          <a:r>
            <a:rPr lang="en-IN" sz="1000" b="0" i="0" u="none" strike="noStrike" baseline="0">
              <a:solidFill>
                <a:srgbClr val="000000"/>
              </a:solidFill>
              <a:latin typeface="Arial" pitchFamily="34" charset="0"/>
              <a:cs typeface="Arial" pitchFamily="34" charset="0"/>
            </a:rPr>
            <a:t>, </a:t>
          </a:r>
          <a:r>
            <a:rPr lang="en-IN" sz="1000" b="1" i="0" u="none" strike="noStrike" baseline="0">
              <a:solidFill>
                <a:srgbClr val="000000"/>
              </a:solidFill>
              <a:latin typeface="Arial" pitchFamily="34" charset="0"/>
              <a:cs typeface="Arial" pitchFamily="34" charset="0"/>
            </a:rPr>
            <a:t>Cruise Mach Number</a:t>
          </a:r>
          <a:r>
            <a:rPr lang="en-IN" sz="1000" b="0" i="0" u="none" strike="noStrike" baseline="0">
              <a:solidFill>
                <a:srgbClr val="000000"/>
              </a:solidFill>
              <a:latin typeface="Arial" pitchFamily="34" charset="0"/>
              <a:cs typeface="Arial" pitchFamily="34" charset="0"/>
            </a:rPr>
            <a:t>, and the </a:t>
          </a:r>
          <a:r>
            <a:rPr lang="en-IN" sz="1000" b="1" i="0" u="none" strike="noStrike" baseline="0">
              <a:solidFill>
                <a:srgbClr val="000000"/>
              </a:solidFill>
              <a:latin typeface="Arial" pitchFamily="34" charset="0"/>
              <a:cs typeface="Arial" pitchFamily="34" charset="0"/>
            </a:rPr>
            <a:t>other values boxed in</a:t>
          </a:r>
          <a:r>
            <a:rPr lang="en-IN" sz="1000" b="0" i="0" u="none" strike="noStrike" baseline="0">
              <a:solidFill>
                <a:srgbClr val="000000"/>
              </a:solidFill>
              <a:latin typeface="Arial" pitchFamily="34" charset="0"/>
              <a:cs typeface="Arial" pitchFamily="34" charset="0"/>
            </a:rPr>
            <a:t>.</a:t>
          </a:r>
        </a:p>
      </xdr:txBody>
    </xdr: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penvsp.org/" TargetMode="External"/><Relationship Id="rId2" Type="http://schemas.openxmlformats.org/officeDocument/2006/relationships/hyperlink" Target="http://openvsp.profscholz.de/" TargetMode="External"/><Relationship Id="rId1" Type="http://schemas.openxmlformats.org/officeDocument/2006/relationships/hyperlink" Target="http://www.gnu.org/license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AirbusA320.vs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Sheet3"/>
  <dimension ref="B11:B74"/>
  <sheetViews>
    <sheetView zoomScaleNormal="100" workbookViewId="0">
      <selection activeCell="B11" sqref="B11"/>
    </sheetView>
  </sheetViews>
  <sheetFormatPr baseColWidth="10" defaultRowHeight="12.75"/>
  <cols>
    <col min="1" max="1" width="9.140625" style="124" customWidth="1"/>
    <col min="2" max="2" width="150.7109375" style="124" customWidth="1"/>
    <col min="3" max="16384" width="11.42578125" style="124"/>
  </cols>
  <sheetData>
    <row r="11" spans="2:2" ht="59.25">
      <c r="B11" s="126" t="s">
        <v>580</v>
      </c>
    </row>
    <row r="12" spans="2:2" ht="31.5">
      <c r="B12" s="125" t="s">
        <v>526</v>
      </c>
    </row>
    <row r="13" spans="2:2" ht="15">
      <c r="B13" s="165"/>
    </row>
    <row r="14" spans="2:2" ht="15">
      <c r="B14" s="159"/>
    </row>
    <row r="15" spans="2:2" ht="15">
      <c r="B15" s="159"/>
    </row>
    <row r="16" spans="2:2" ht="15">
      <c r="B16" s="159"/>
    </row>
    <row r="17" spans="2:2" ht="15">
      <c r="B17" s="159"/>
    </row>
    <row r="18" spans="2:2" ht="15">
      <c r="B18" s="159"/>
    </row>
    <row r="19" spans="2:2" ht="15">
      <c r="B19" s="159"/>
    </row>
    <row r="20" spans="2:2" ht="15.75">
      <c r="B20" s="162" t="s">
        <v>572</v>
      </c>
    </row>
    <row r="21" spans="2:2" ht="15">
      <c r="B21" s="159" t="s">
        <v>573</v>
      </c>
    </row>
    <row r="22" spans="2:2" ht="15">
      <c r="B22" s="160" t="s">
        <v>525</v>
      </c>
    </row>
    <row r="23" spans="2:2" ht="15">
      <c r="B23" s="159"/>
    </row>
    <row r="24" spans="2:2" ht="15.75">
      <c r="B24" s="162" t="s">
        <v>574</v>
      </c>
    </row>
    <row r="25" spans="2:2" ht="15.75">
      <c r="B25" s="162" t="s">
        <v>575</v>
      </c>
    </row>
    <row r="26" spans="2:2" ht="15">
      <c r="B26" s="159"/>
    </row>
    <row r="27" spans="2:2" ht="15">
      <c r="B27" s="159" t="s">
        <v>564</v>
      </c>
    </row>
    <row r="28" spans="2:2" ht="15">
      <c r="B28" s="159" t="s">
        <v>524</v>
      </c>
    </row>
    <row r="29" spans="2:2" ht="15">
      <c r="B29" s="159"/>
    </row>
    <row r="30" spans="2:2" ht="15.75">
      <c r="B30" s="162" t="s">
        <v>576</v>
      </c>
    </row>
    <row r="31" spans="2:2" ht="15.75">
      <c r="B31" s="162" t="s">
        <v>577</v>
      </c>
    </row>
    <row r="32" spans="2:2" ht="15.75">
      <c r="B32" s="162" t="s">
        <v>523</v>
      </c>
    </row>
    <row r="33" spans="2:2" ht="15">
      <c r="B33" s="159"/>
    </row>
    <row r="34" spans="2:2" ht="15">
      <c r="B34" s="159" t="s">
        <v>579</v>
      </c>
    </row>
    <row r="35" spans="2:2" ht="15">
      <c r="B35" s="163" t="s">
        <v>578</v>
      </c>
    </row>
    <row r="36" spans="2:2" ht="15">
      <c r="B36" s="160"/>
    </row>
    <row r="37" spans="2:2" ht="15">
      <c r="B37" s="159" t="s">
        <v>522</v>
      </c>
    </row>
    <row r="38" spans="2:2" ht="15">
      <c r="B38" s="159"/>
    </row>
    <row r="39" spans="2:2" ht="15">
      <c r="B39" s="159" t="s">
        <v>521</v>
      </c>
    </row>
    <row r="40" spans="2:2" ht="15">
      <c r="B40" s="159" t="s">
        <v>565</v>
      </c>
    </row>
    <row r="41" spans="2:2" ht="15">
      <c r="B41" s="159"/>
    </row>
    <row r="42" spans="2:2" ht="15">
      <c r="B42" s="159"/>
    </row>
    <row r="43" spans="2:2" ht="15">
      <c r="B43" s="159"/>
    </row>
    <row r="44" spans="2:2" ht="15">
      <c r="B44" s="159"/>
    </row>
    <row r="45" spans="2:2" ht="15">
      <c r="B45" s="159"/>
    </row>
    <row r="46" spans="2:2" ht="15">
      <c r="B46" s="159"/>
    </row>
    <row r="47" spans="2:2" ht="15">
      <c r="B47" s="161" t="s">
        <v>520</v>
      </c>
    </row>
    <row r="48" spans="2:2" ht="15">
      <c r="B48" s="161" t="s">
        <v>519</v>
      </c>
    </row>
    <row r="49" spans="2:2" ht="15">
      <c r="B49" s="161" t="s">
        <v>518</v>
      </c>
    </row>
    <row r="50" spans="2:2" ht="15">
      <c r="B50" s="161"/>
    </row>
    <row r="51" spans="2:2" ht="15">
      <c r="B51" s="161" t="s">
        <v>517</v>
      </c>
    </row>
    <row r="52" spans="2:2" ht="15">
      <c r="B52" s="161" t="s">
        <v>516</v>
      </c>
    </row>
    <row r="53" spans="2:2" ht="15">
      <c r="B53" s="161" t="s">
        <v>515</v>
      </c>
    </row>
    <row r="54" spans="2:2" ht="15">
      <c r="B54" s="161" t="s">
        <v>514</v>
      </c>
    </row>
    <row r="55" spans="2:2" ht="15">
      <c r="B55" s="159"/>
    </row>
    <row r="56" spans="2:2" ht="15">
      <c r="B56" s="160" t="s">
        <v>513</v>
      </c>
    </row>
    <row r="57" spans="2:2" ht="15">
      <c r="B57" s="159"/>
    </row>
    <row r="58" spans="2:2" ht="15">
      <c r="B58" s="159"/>
    </row>
    <row r="59" spans="2:2" ht="15">
      <c r="B59" s="159"/>
    </row>
    <row r="60" spans="2:2" ht="15">
      <c r="B60" s="159"/>
    </row>
    <row r="61" spans="2:2" ht="15">
      <c r="B61" s="159"/>
    </row>
    <row r="62" spans="2:2" ht="15">
      <c r="B62" s="159"/>
    </row>
    <row r="63" spans="2:2" ht="15">
      <c r="B63" s="159"/>
    </row>
    <row r="64" spans="2:2" ht="15">
      <c r="B64" s="159"/>
    </row>
    <row r="65" spans="2:2" ht="15">
      <c r="B65" s="159"/>
    </row>
    <row r="66" spans="2:2" ht="15">
      <c r="B66" s="159"/>
    </row>
    <row r="67" spans="2:2" ht="15">
      <c r="B67" s="159"/>
    </row>
    <row r="68" spans="2:2" ht="15">
      <c r="B68" s="159"/>
    </row>
    <row r="69" spans="2:2" ht="15">
      <c r="B69" s="159"/>
    </row>
    <row r="70" spans="2:2" ht="15">
      <c r="B70" s="159"/>
    </row>
    <row r="71" spans="2:2" ht="15">
      <c r="B71" s="159"/>
    </row>
    <row r="72" spans="2:2" ht="15">
      <c r="B72" s="159"/>
    </row>
    <row r="73" spans="2:2" ht="15">
      <c r="B73" s="159"/>
    </row>
    <row r="74" spans="2:2" ht="15">
      <c r="B74" s="159"/>
    </row>
  </sheetData>
  <phoneticPr fontId="37" type="noConversion"/>
  <hyperlinks>
    <hyperlink ref="B56" r:id="rId1"/>
    <hyperlink ref="B35" r:id="rId2"/>
    <hyperlink ref="B22" r:id="rId3"/>
  </hyperlinks>
  <pageMargins left="0.75" right="0.75" top="1" bottom="1" header="0.4921259845" footer="0.4921259845"/>
  <headerFooter alignWithMargins="0"/>
  <drawing r:id="rId4"/>
</worksheet>
</file>

<file path=xl/worksheets/sheet2.xml><?xml version="1.0" encoding="utf-8"?>
<worksheet xmlns="http://schemas.openxmlformats.org/spreadsheetml/2006/main" xmlns:r="http://schemas.openxmlformats.org/officeDocument/2006/relationships">
  <sheetPr codeName="Sheet2">
    <outlinePr summaryBelow="0"/>
  </sheetPr>
  <dimension ref="A1:AI131"/>
  <sheetViews>
    <sheetView tabSelected="1" zoomScaleNormal="100" workbookViewId="0">
      <selection activeCell="B4" sqref="B4"/>
    </sheetView>
  </sheetViews>
  <sheetFormatPr baseColWidth="10" defaultColWidth="9.140625" defaultRowHeight="12.75" outlineLevelRow="1"/>
  <cols>
    <col min="1" max="1" width="9.140625" style="24" customWidth="1"/>
    <col min="2" max="2" width="31.5703125" style="24" customWidth="1"/>
    <col min="3" max="3" width="11.28515625" style="24" customWidth="1"/>
    <col min="4" max="4" width="16.42578125" style="24" customWidth="1"/>
    <col min="5" max="5" width="12.140625" style="24" customWidth="1"/>
    <col min="6" max="6" width="18.85546875" style="24" customWidth="1"/>
    <col min="7" max="7" width="33" style="24" customWidth="1"/>
    <col min="8" max="8" width="9.140625" style="24" customWidth="1"/>
    <col min="9" max="9" width="12.5703125" style="24" bestFit="1" customWidth="1"/>
    <col min="10" max="10" width="9.5703125" style="24" customWidth="1"/>
    <col min="11" max="11" width="30.5703125" style="24" customWidth="1"/>
    <col min="12" max="12" width="8" style="24" customWidth="1"/>
    <col min="13" max="13" width="8.5703125" style="24" customWidth="1"/>
    <col min="14" max="14" width="9.140625" style="24" customWidth="1"/>
    <col min="15" max="15" width="25.42578125" style="24" customWidth="1"/>
    <col min="16" max="24" width="9.140625" style="24" customWidth="1"/>
    <col min="25" max="25" width="26.85546875" style="24" customWidth="1"/>
    <col min="26" max="26" width="22" style="24" customWidth="1"/>
    <col min="27" max="16384" width="9.140625" style="24"/>
  </cols>
  <sheetData>
    <row r="1" spans="1:11" ht="20.25">
      <c r="B1" s="179" t="s">
        <v>458</v>
      </c>
      <c r="C1" s="179"/>
      <c r="D1" s="179"/>
      <c r="E1" s="179"/>
    </row>
    <row r="2" spans="1:11" ht="20.25">
      <c r="B2" s="91" t="s">
        <v>571</v>
      </c>
      <c r="C2" s="69"/>
      <c r="D2" s="69"/>
      <c r="E2" s="69"/>
    </row>
    <row r="3" spans="1:11" ht="20.25" customHeight="1">
      <c r="B3" s="69"/>
      <c r="C3" s="69"/>
      <c r="D3" s="69"/>
      <c r="E3" s="69"/>
      <c r="F3" s="25"/>
      <c r="G3" s="25"/>
    </row>
    <row r="4" spans="1:11">
      <c r="B4" s="45" t="s">
        <v>512</v>
      </c>
      <c r="C4" s="182" t="s">
        <v>569</v>
      </c>
      <c r="D4" s="183"/>
      <c r="E4" s="183"/>
      <c r="F4" s="183"/>
    </row>
    <row r="5" spans="1:11">
      <c r="B5" s="45"/>
      <c r="G5" s="25"/>
    </row>
    <row r="6" spans="1:11" ht="99.95" customHeight="1">
      <c r="B6" s="129" t="s">
        <v>511</v>
      </c>
      <c r="C6" s="184" t="s">
        <v>582</v>
      </c>
      <c r="D6" s="185"/>
      <c r="E6" s="185"/>
      <c r="F6" s="185"/>
    </row>
    <row r="8" spans="1:11" s="26" customFormat="1" ht="15.75" customHeight="1">
      <c r="A8" s="73" t="s">
        <v>431</v>
      </c>
      <c r="B8" s="72" t="s">
        <v>432</v>
      </c>
      <c r="C8" s="70"/>
      <c r="D8" s="70"/>
      <c r="E8" s="70"/>
    </row>
    <row r="9" spans="1:11" ht="15.75" customHeight="1" outlineLevel="1" thickBot="1">
      <c r="B9" s="69"/>
      <c r="C9" s="69"/>
      <c r="D9" s="69"/>
      <c r="E9" s="69"/>
    </row>
    <row r="10" spans="1:11" ht="15.75" customHeight="1" outlineLevel="1" thickBot="1">
      <c r="B10" s="69"/>
      <c r="C10" s="69"/>
      <c r="D10" s="69"/>
      <c r="E10" s="69"/>
      <c r="G10" s="150" t="s">
        <v>570</v>
      </c>
      <c r="H10" s="180" t="s">
        <v>567</v>
      </c>
      <c r="I10" s="180"/>
      <c r="J10" s="180"/>
      <c r="K10" s="181"/>
    </row>
    <row r="11" spans="1:11" ht="15.75" customHeight="1" outlineLevel="1" thickBot="1">
      <c r="B11" s="69"/>
      <c r="C11" s="69"/>
      <c r="D11" s="69"/>
      <c r="E11" s="69"/>
      <c r="G11" s="150" t="s">
        <v>583</v>
      </c>
      <c r="H11" s="164" t="s">
        <v>581</v>
      </c>
      <c r="I11" s="148"/>
      <c r="J11" s="148"/>
      <c r="K11" s="149"/>
    </row>
    <row r="12" spans="1:11" ht="15.75" customHeight="1" outlineLevel="1" thickBot="1">
      <c r="B12" s="69"/>
      <c r="C12" s="69"/>
      <c r="D12" s="69"/>
      <c r="E12" s="69"/>
      <c r="G12" s="112" t="s">
        <v>963</v>
      </c>
      <c r="H12" s="145" t="s">
        <v>568</v>
      </c>
      <c r="I12" s="146"/>
      <c r="J12" s="146"/>
      <c r="K12" s="147"/>
    </row>
    <row r="13" spans="1:11" ht="15.75" customHeight="1" outlineLevel="1" thickBot="1">
      <c r="B13" s="69"/>
      <c r="C13" s="69"/>
      <c r="D13" s="69"/>
      <c r="E13" s="69"/>
      <c r="G13" s="137" t="s">
        <v>964</v>
      </c>
      <c r="H13" s="145" t="s">
        <v>586</v>
      </c>
      <c r="I13" s="146"/>
      <c r="J13" s="146"/>
      <c r="K13" s="147"/>
    </row>
    <row r="14" spans="1:11" ht="15.75" customHeight="1" outlineLevel="1">
      <c r="B14" s="69"/>
      <c r="C14" s="69"/>
      <c r="D14" s="69"/>
      <c r="E14" s="69"/>
      <c r="G14" s="25"/>
      <c r="H14" s="25"/>
    </row>
    <row r="15" spans="1:11" ht="15.75" customHeight="1" outlineLevel="1">
      <c r="B15" s="69"/>
      <c r="C15" s="69"/>
      <c r="D15" s="69"/>
      <c r="E15" s="69"/>
      <c r="G15" s="25"/>
      <c r="H15" s="25"/>
    </row>
    <row r="16" spans="1:11" ht="15.75" customHeight="1" outlineLevel="1">
      <c r="B16" s="69"/>
      <c r="C16" s="69"/>
      <c r="D16" s="69"/>
      <c r="E16" s="69"/>
      <c r="G16" s="25"/>
      <c r="H16" s="25"/>
    </row>
    <row r="17" spans="1:28" ht="15.75" customHeight="1" outlineLevel="1">
      <c r="B17" s="69"/>
      <c r="C17" s="69"/>
      <c r="D17" s="69"/>
      <c r="E17" s="69"/>
      <c r="G17" s="25"/>
      <c r="H17" s="25"/>
    </row>
    <row r="18" spans="1:28" s="26" customFormat="1" ht="15.75">
      <c r="A18" s="73" t="s">
        <v>433</v>
      </c>
      <c r="B18" s="76" t="s">
        <v>403</v>
      </c>
    </row>
    <row r="19" spans="1:28" ht="16.5" outlineLevel="1" thickBot="1">
      <c r="A19" s="74"/>
      <c r="B19" s="75"/>
    </row>
    <row r="20" spans="1:28" ht="17.25" outlineLevel="1" thickBot="1">
      <c r="A20" s="74"/>
      <c r="B20" s="45" t="s">
        <v>556</v>
      </c>
      <c r="C20" s="138" t="s">
        <v>557</v>
      </c>
      <c r="D20" s="166">
        <v>150</v>
      </c>
      <c r="E20" s="45" t="s">
        <v>315</v>
      </c>
      <c r="F20" s="142"/>
    </row>
    <row r="21" spans="1:28" ht="16.5" outlineLevel="1" thickBot="1">
      <c r="B21" s="45" t="s">
        <v>310</v>
      </c>
      <c r="C21" s="45" t="s">
        <v>489</v>
      </c>
      <c r="D21" s="167">
        <v>0.78</v>
      </c>
      <c r="E21" s="24" t="s">
        <v>315</v>
      </c>
      <c r="Z21" s="45"/>
    </row>
    <row r="22" spans="1:28" ht="15.75" outlineLevel="1">
      <c r="B22" s="45"/>
      <c r="C22" s="45"/>
      <c r="D22" s="46"/>
      <c r="E22" s="45"/>
      <c r="G22" s="45" t="s">
        <v>464</v>
      </c>
      <c r="H22" s="45" t="s">
        <v>465</v>
      </c>
      <c r="I22" s="42">
        <f>M_CR + M22</f>
        <v>0.82000000000000006</v>
      </c>
      <c r="J22" s="45" t="s">
        <v>315</v>
      </c>
      <c r="K22" s="45" t="s">
        <v>491</v>
      </c>
      <c r="L22" s="45" t="s">
        <v>492</v>
      </c>
      <c r="M22" s="113">
        <v>0.04</v>
      </c>
      <c r="N22" s="45" t="s">
        <v>315</v>
      </c>
      <c r="Z22" s="45"/>
    </row>
    <row r="23" spans="1:28" outlineLevel="1">
      <c r="B23" s="45"/>
      <c r="C23" s="45"/>
      <c r="D23" s="46"/>
      <c r="E23" s="45"/>
      <c r="G23" s="45"/>
      <c r="H23" s="45"/>
      <c r="I23" s="46"/>
      <c r="J23" s="45"/>
      <c r="K23" s="45"/>
      <c r="L23" s="45"/>
      <c r="M23" s="144"/>
      <c r="N23" s="45"/>
      <c r="Z23" s="45"/>
    </row>
    <row r="24" spans="1:28" s="26" customFormat="1" ht="15.75">
      <c r="A24" s="73" t="s">
        <v>434</v>
      </c>
      <c r="B24" s="76" t="s">
        <v>226</v>
      </c>
      <c r="Z24" s="71"/>
    </row>
    <row r="25" spans="1:28" ht="16.5" outlineLevel="1" thickBot="1">
      <c r="A25" s="74"/>
      <c r="B25" s="75"/>
      <c r="Z25" s="45"/>
    </row>
    <row r="26" spans="1:28" ht="13.5" outlineLevel="1" thickBot="1">
      <c r="B26" s="45" t="s">
        <v>362</v>
      </c>
      <c r="D26" s="167" t="s">
        <v>584</v>
      </c>
      <c r="E26" s="45" t="s">
        <v>315</v>
      </c>
      <c r="Z26" s="47" t="s">
        <v>363</v>
      </c>
      <c r="AA26" s="24">
        <v>131</v>
      </c>
      <c r="AB26" s="24" t="s">
        <v>364</v>
      </c>
    </row>
    <row r="27" spans="1:28" ht="16.5" outlineLevel="1" thickBot="1">
      <c r="B27" s="45" t="s">
        <v>313</v>
      </c>
      <c r="C27" s="45" t="s">
        <v>314</v>
      </c>
      <c r="D27" s="167">
        <v>2</v>
      </c>
      <c r="E27" s="24" t="s">
        <v>315</v>
      </c>
      <c r="Z27" s="44" t="s">
        <v>463</v>
      </c>
      <c r="AA27" s="24">
        <v>1.2250000000000001</v>
      </c>
      <c r="AB27" s="45" t="s">
        <v>365</v>
      </c>
    </row>
    <row r="28" spans="1:28" ht="13.5" outlineLevel="1" thickBot="1">
      <c r="B28" s="45"/>
      <c r="C28" s="45"/>
      <c r="D28" s="81"/>
      <c r="E28" s="45"/>
      <c r="Z28" s="44"/>
      <c r="AB28" s="45"/>
    </row>
    <row r="29" spans="1:28" ht="13.5" outlineLevel="1" thickBot="1">
      <c r="B29" s="89" t="str">
        <f>IF(Type_e="Jet","Edit this section","Do not edit this section")</f>
        <v>Edit this section</v>
      </c>
    </row>
    <row r="30" spans="1:28" ht="15" customHeight="1" outlineLevel="1">
      <c r="B30" s="49" t="s">
        <v>348</v>
      </c>
      <c r="C30" s="50"/>
      <c r="D30" s="50"/>
      <c r="E30" s="50"/>
      <c r="F30" s="51"/>
      <c r="G30" s="50"/>
      <c r="H30" s="50"/>
      <c r="I30" s="50"/>
      <c r="J30" s="52"/>
    </row>
    <row r="31" spans="1:28" ht="15.75" outlineLevel="1">
      <c r="B31" s="53" t="s">
        <v>406</v>
      </c>
      <c r="C31" s="54" t="s">
        <v>405</v>
      </c>
      <c r="D31" s="153">
        <v>236</v>
      </c>
      <c r="E31" s="54" t="s">
        <v>407</v>
      </c>
      <c r="F31" s="56" t="s">
        <v>417</v>
      </c>
      <c r="G31" s="54" t="s">
        <v>406</v>
      </c>
      <c r="H31" s="54" t="s">
        <v>405</v>
      </c>
      <c r="I31" s="42">
        <f>(0.00110987068294407*n_p^2+0.393331615513631*n_p)*2.63967403072373+20.762394999916</f>
        <v>242.42066107266155</v>
      </c>
      <c r="J31" s="57" t="s">
        <v>407</v>
      </c>
      <c r="K31" s="140"/>
    </row>
    <row r="32" spans="1:28" ht="15.75" outlineLevel="1">
      <c r="B32" s="53" t="s">
        <v>411</v>
      </c>
      <c r="C32" s="54" t="s">
        <v>413</v>
      </c>
      <c r="D32" s="153">
        <f>I32</f>
        <v>1.64347</v>
      </c>
      <c r="E32" s="54" t="s">
        <v>322</v>
      </c>
      <c r="F32" s="56" t="s">
        <v>417</v>
      </c>
      <c r="G32" s="54" t="s">
        <v>323</v>
      </c>
      <c r="H32" s="54" t="s">
        <v>413</v>
      </c>
      <c r="I32" s="42">
        <f>(6.005*T_TO/n_e + 934.88)/1000</f>
        <v>1.64347</v>
      </c>
      <c r="J32" s="57" t="s">
        <v>322</v>
      </c>
    </row>
    <row r="33" spans="1:11" ht="16.5" outlineLevel="1" thickBot="1">
      <c r="B33" s="53" t="s">
        <v>414</v>
      </c>
      <c r="C33" s="54" t="s">
        <v>461</v>
      </c>
      <c r="D33" s="153">
        <f>I33</f>
        <v>2.9988330000000003</v>
      </c>
      <c r="E33" s="54" t="s">
        <v>322</v>
      </c>
      <c r="F33" s="56" t="s">
        <v>417</v>
      </c>
      <c r="G33" s="54" t="s">
        <v>324</v>
      </c>
      <c r="H33" s="54" t="s">
        <v>461</v>
      </c>
      <c r="I33" s="41">
        <f>(8.8935*T_TO/n_e + 1949.4)/1000</f>
        <v>2.9988330000000003</v>
      </c>
      <c r="J33" s="57" t="s">
        <v>322</v>
      </c>
    </row>
    <row r="34" spans="1:11" ht="13.5" outlineLevel="1" thickBot="1">
      <c r="B34" s="58" t="s">
        <v>376</v>
      </c>
      <c r="C34" s="59"/>
      <c r="D34" s="168">
        <v>50</v>
      </c>
      <c r="E34" s="59" t="s">
        <v>385</v>
      </c>
      <c r="F34" s="60"/>
      <c r="G34" s="60"/>
      <c r="H34" s="60"/>
      <c r="I34" s="61"/>
      <c r="J34" s="62"/>
    </row>
    <row r="35" spans="1:11" ht="13.5" outlineLevel="1" thickBot="1">
      <c r="A35" s="25"/>
      <c r="B35" s="54"/>
      <c r="C35" s="54"/>
      <c r="D35" s="63"/>
      <c r="E35" s="54"/>
      <c r="F35" s="25"/>
      <c r="G35" s="25"/>
      <c r="H35" s="25"/>
      <c r="I35" s="46"/>
      <c r="J35" s="25"/>
      <c r="K35" s="25"/>
    </row>
    <row r="36" spans="1:11" ht="13.5" outlineLevel="1" thickBot="1">
      <c r="A36" s="25"/>
      <c r="B36" s="89" t="str">
        <f>IF(Type_e="Propeller","Edit this section","Do not edit this section")</f>
        <v>Do not edit this section</v>
      </c>
      <c r="C36" s="59"/>
      <c r="D36" s="61"/>
      <c r="E36" s="59"/>
      <c r="G36" s="60"/>
      <c r="H36" s="60"/>
      <c r="I36" s="61"/>
      <c r="J36" s="60"/>
      <c r="K36" s="25"/>
    </row>
    <row r="37" spans="1:11" outlineLevel="1">
      <c r="B37" s="49" t="s">
        <v>404</v>
      </c>
      <c r="C37" s="64"/>
      <c r="D37" s="65"/>
      <c r="E37" s="64"/>
      <c r="F37" s="50"/>
      <c r="G37" s="50"/>
      <c r="H37" s="50"/>
      <c r="I37" s="65"/>
      <c r="J37" s="52"/>
    </row>
    <row r="38" spans="1:11" ht="16.5" outlineLevel="1" thickBot="1">
      <c r="B38" s="53" t="s">
        <v>409</v>
      </c>
      <c r="C38" s="54" t="s">
        <v>408</v>
      </c>
      <c r="D38" s="153">
        <f>I38</f>
        <v>7965.6652789161153</v>
      </c>
      <c r="E38" s="54" t="s">
        <v>410</v>
      </c>
      <c r="F38" s="56" t="s">
        <v>417</v>
      </c>
      <c r="G38" s="54" t="s">
        <v>409</v>
      </c>
      <c r="H38" s="54" t="s">
        <v>408</v>
      </c>
      <c r="I38" s="42">
        <f>274.257204134621*(0.362865751969511*n_p)^0.842207666235257+20.67308469625</f>
        <v>7965.6652789161153</v>
      </c>
      <c r="J38" s="139" t="s">
        <v>410</v>
      </c>
    </row>
    <row r="39" spans="1:11" ht="16.5" outlineLevel="1" thickBot="1">
      <c r="B39" s="53" t="s">
        <v>471</v>
      </c>
      <c r="C39" s="54" t="s">
        <v>472</v>
      </c>
      <c r="D39" s="167">
        <v>6</v>
      </c>
      <c r="E39" s="54" t="s">
        <v>315</v>
      </c>
      <c r="F39" s="25"/>
      <c r="G39" s="25"/>
      <c r="H39" s="25"/>
      <c r="I39" s="143" t="s">
        <v>561</v>
      </c>
      <c r="J39" s="55"/>
    </row>
    <row r="40" spans="1:11" ht="15.75" outlineLevel="1">
      <c r="B40" s="53" t="s">
        <v>412</v>
      </c>
      <c r="C40" s="54" t="s">
        <v>361</v>
      </c>
      <c r="D40" s="153">
        <f>I40</f>
        <v>0.73785879933344478</v>
      </c>
      <c r="E40" s="54" t="s">
        <v>322</v>
      </c>
      <c r="F40" s="56" t="s">
        <v>417</v>
      </c>
      <c r="G40" s="54" t="s">
        <v>323</v>
      </c>
      <c r="H40" s="54" t="s">
        <v>361</v>
      </c>
      <c r="I40" s="42">
        <f>(0.049*P_TO/n_e + 542.7)/1000</f>
        <v>0.73785879933344478</v>
      </c>
      <c r="J40" s="57" t="s">
        <v>322</v>
      </c>
    </row>
    <row r="41" spans="1:11" ht="15.75" outlineLevel="1">
      <c r="B41" s="53" t="s">
        <v>415</v>
      </c>
      <c r="C41" s="54" t="s">
        <v>462</v>
      </c>
      <c r="D41" s="153">
        <f>I41</f>
        <v>2.8923691057422429</v>
      </c>
      <c r="E41" s="54" t="s">
        <v>322</v>
      </c>
      <c r="F41" s="56" t="s">
        <v>417</v>
      </c>
      <c r="G41" s="54" t="s">
        <v>357</v>
      </c>
      <c r="H41" s="54" t="s">
        <v>462</v>
      </c>
      <c r="I41" s="42">
        <f>(0.328*P_TO/n_e + 1586)/1000</f>
        <v>2.8923691057422429</v>
      </c>
      <c r="J41" s="57" t="s">
        <v>322</v>
      </c>
    </row>
    <row r="42" spans="1:11" ht="16.5" outlineLevel="1" thickBot="1">
      <c r="B42" s="58" t="s">
        <v>421</v>
      </c>
      <c r="C42" s="59" t="s">
        <v>422</v>
      </c>
      <c r="D42" s="154">
        <f>I42</f>
        <v>3.1715565509235231</v>
      </c>
      <c r="E42" s="59" t="s">
        <v>322</v>
      </c>
      <c r="F42" s="78" t="s">
        <v>417</v>
      </c>
      <c r="G42" s="59" t="s">
        <v>421</v>
      </c>
      <c r="H42" s="59" t="s">
        <v>422</v>
      </c>
      <c r="I42" s="79">
        <f>2*SQRT((P_TO/n_e)/(DL_av*DL_den))/PI()</f>
        <v>3.1715565509235231</v>
      </c>
      <c r="J42" s="80" t="s">
        <v>322</v>
      </c>
    </row>
    <row r="43" spans="1:11" outlineLevel="1">
      <c r="B43" s="54"/>
      <c r="C43" s="54"/>
      <c r="D43" s="46"/>
      <c r="E43" s="54"/>
      <c r="F43" s="25"/>
      <c r="G43" s="25"/>
      <c r="H43" s="25"/>
      <c r="I43" s="25"/>
      <c r="J43" s="25"/>
    </row>
    <row r="44" spans="1:11" s="26" customFormat="1" ht="15.75">
      <c r="A44" s="73" t="s">
        <v>435</v>
      </c>
      <c r="B44" s="76" t="s">
        <v>144</v>
      </c>
    </row>
    <row r="45" spans="1:11" ht="13.5" outlineLevel="1" thickBot="1">
      <c r="B45" s="44"/>
    </row>
    <row r="46" spans="1:11" ht="16.5" outlineLevel="1" thickBot="1">
      <c r="B46" s="44" t="s">
        <v>440</v>
      </c>
      <c r="C46" s="45" t="s">
        <v>474</v>
      </c>
      <c r="D46" s="167" t="s">
        <v>566</v>
      </c>
      <c r="E46" s="45" t="s">
        <v>315</v>
      </c>
    </row>
    <row r="47" spans="1:11" ht="16.5" outlineLevel="1" thickBot="1">
      <c r="B47" s="45" t="s">
        <v>381</v>
      </c>
      <c r="C47" s="45" t="s">
        <v>312</v>
      </c>
      <c r="D47" s="141">
        <v>122.6</v>
      </c>
      <c r="E47" s="45" t="s">
        <v>316</v>
      </c>
      <c r="F47" s="56" t="s">
        <v>417</v>
      </c>
      <c r="G47" s="138" t="s">
        <v>558</v>
      </c>
      <c r="H47" s="45" t="s">
        <v>312</v>
      </c>
      <c r="I47" s="68">
        <f>IF(Type_e="Jet",1.45473418814703*(0.00110987068294407*n_p^2+0.393331615513631*n_p)+20.67308469625,8.92220992837205*(0.362865751969511*n_p)^0.619379632830338)</f>
        <v>142.82978055653595</v>
      </c>
      <c r="J47" s="138" t="s">
        <v>559</v>
      </c>
    </row>
    <row r="48" spans="1:11" ht="16.5" outlineLevel="1" thickBot="1">
      <c r="B48" s="45" t="s">
        <v>450</v>
      </c>
      <c r="C48" s="45" t="s">
        <v>311</v>
      </c>
      <c r="D48" s="167">
        <v>9.3960000000000008</v>
      </c>
      <c r="E48" s="45" t="s">
        <v>315</v>
      </c>
      <c r="G48" s="54"/>
      <c r="K48" s="45"/>
    </row>
    <row r="49" spans="2:28" ht="15.75" outlineLevel="1">
      <c r="B49" s="45"/>
      <c r="C49" s="45"/>
      <c r="D49" s="46"/>
      <c r="E49" s="45"/>
      <c r="G49" s="54" t="s">
        <v>382</v>
      </c>
      <c r="H49" s="54" t="s">
        <v>379</v>
      </c>
      <c r="I49" s="68">
        <f>SQRT(S_W*A_W)</f>
        <v>33.940383026713178</v>
      </c>
      <c r="J49" s="45" t="s">
        <v>322</v>
      </c>
    </row>
    <row r="50" spans="2:28" ht="15.75" outlineLevel="1">
      <c r="B50" s="45" t="str">
        <f>IF(Type_W="Trapezoidal", "Wing 25% Sweep", "Outboard 25% Sweep")</f>
        <v>Outboard 25% Sweep</v>
      </c>
      <c r="C50" s="45" t="s">
        <v>420</v>
      </c>
      <c r="D50" s="141">
        <v>25</v>
      </c>
      <c r="E50" s="45" t="s">
        <v>338</v>
      </c>
      <c r="F50" s="56" t="s">
        <v>417</v>
      </c>
      <c r="G50" s="45" t="s">
        <v>430</v>
      </c>
      <c r="H50" s="45" t="s">
        <v>420</v>
      </c>
      <c r="I50" s="43">
        <f>IF(M_CR&lt;0.54,0,27926.089*M_CR^6-133114.861*M_CR^5+262686.398*M_CR^4-274864.452*M_CR^3+160851.684*M_CR^2-49806.55*M_CR+6356.421)</f>
        <v>21.881068294975194</v>
      </c>
      <c r="J50" s="45" t="s">
        <v>338</v>
      </c>
    </row>
    <row r="51" spans="2:28" ht="15.75" outlineLevel="1">
      <c r="B51" s="45" t="s">
        <v>327</v>
      </c>
      <c r="C51" s="45" t="s">
        <v>317</v>
      </c>
      <c r="D51" s="141">
        <v>0.246</v>
      </c>
      <c r="E51" s="45" t="s">
        <v>315</v>
      </c>
      <c r="F51" s="56" t="s">
        <v>417</v>
      </c>
      <c r="G51" s="54" t="s">
        <v>490</v>
      </c>
      <c r="H51" s="45" t="s">
        <v>317</v>
      </c>
      <c r="I51" s="43">
        <f>0.45*EXP(-0.0375*phi_25.W.o)</f>
        <v>0.17622253200455956</v>
      </c>
      <c r="J51" s="45" t="s">
        <v>315</v>
      </c>
    </row>
    <row r="52" spans="2:28" ht="15.75" outlineLevel="1">
      <c r="G52" s="54" t="s">
        <v>371</v>
      </c>
      <c r="H52" s="45" t="s">
        <v>378</v>
      </c>
      <c r="I52" s="127">
        <f ca="1">(S_W - (b_W/2)*b_W.i*(TAN(phi_100.W.i*PI()/180) - TAN(phi_0.W.i*PI()/180)) )/ (b_W/2 + b_W.i + lam_W*(b_W/2 - b_W.i))</f>
        <v>6.7405821934004502</v>
      </c>
      <c r="J52" s="45" t="s">
        <v>322</v>
      </c>
      <c r="O52" s="45"/>
    </row>
    <row r="53" spans="2:28" ht="15.75" outlineLevel="1">
      <c r="G53" s="54" t="s">
        <v>372</v>
      </c>
      <c r="H53" s="45" t="s">
        <v>377</v>
      </c>
      <c r="I53" s="68">
        <f ca="1">lam_W*c_r.W</f>
        <v>1.6581832195765107</v>
      </c>
      <c r="J53" s="45" t="s">
        <v>322</v>
      </c>
    </row>
    <row r="54" spans="2:28" ht="15.75" outlineLevel="1">
      <c r="B54" s="45"/>
      <c r="C54" s="45"/>
      <c r="D54" s="46"/>
      <c r="E54" s="45"/>
      <c r="G54" s="45" t="str">
        <f>IF(Type_W="Trapezoidal", "Wing Leading edge Sweep", "Outboard Leading edge Sweep")</f>
        <v>Outboard Leading edge Sweep</v>
      </c>
      <c r="H54" s="45" t="s">
        <v>418</v>
      </c>
      <c r="I54" s="68">
        <f ca="1">ATAN(TAN(phi_25.W.o*PI()/180)-(2/A_W.o)*((0-25)/100*(1-lam_W.o)/(1+lam_W.o)))*180/PI()</f>
        <v>27.281923804208166</v>
      </c>
      <c r="J54" s="45" t="s">
        <v>338</v>
      </c>
    </row>
    <row r="55" spans="2:28" ht="15.75" outlineLevel="1">
      <c r="B55" s="45"/>
      <c r="C55" s="45"/>
      <c r="D55" s="46"/>
      <c r="E55" s="45"/>
      <c r="G55" s="45" t="s">
        <v>536</v>
      </c>
      <c r="H55" s="45" t="s">
        <v>529</v>
      </c>
      <c r="I55" s="68">
        <f ca="1">ATAN(TAN(phi_25.W.o*PI()/180)-2/A_W.o*((100-25)/100*(1-lam_W.o)/(1+lam_W.o)))*180/PI()</f>
        <v>17.641370631862166</v>
      </c>
      <c r="J55" s="45" t="s">
        <v>373</v>
      </c>
    </row>
    <row r="56" spans="2:28" outlineLevel="1">
      <c r="B56" s="45" t="s">
        <v>469</v>
      </c>
      <c r="C56" s="45" t="s">
        <v>470</v>
      </c>
      <c r="D56" s="141">
        <v>0.13</v>
      </c>
      <c r="E56" s="45" t="s">
        <v>315</v>
      </c>
      <c r="F56" s="56" t="s">
        <v>417</v>
      </c>
      <c r="G56" s="45" t="s">
        <v>468</v>
      </c>
      <c r="H56" s="45" t="s">
        <v>470</v>
      </c>
      <c r="I56" s="42">
        <f>-0.045*ATAN(3*M_CR - 2.732) + 0.099</f>
        <v>0.11581158861160795</v>
      </c>
      <c r="J56" s="45" t="s">
        <v>315</v>
      </c>
      <c r="Z56" s="45" t="s">
        <v>528</v>
      </c>
      <c r="AA56" s="42">
        <f ca="1">c_W.k+ (0.35*(b_W/2) - b_W.i)*(TAN(phi_25.W.o*PI()/180) - TAN(phi_0.W.o*PI()/180))</f>
        <v>3.9147156370652429</v>
      </c>
      <c r="AB56" s="45" t="s">
        <v>315</v>
      </c>
    </row>
    <row r="57" spans="2:28" ht="16.5" outlineLevel="1" thickBot="1">
      <c r="B57" s="45" t="s">
        <v>342</v>
      </c>
      <c r="C57" s="45" t="s">
        <v>475</v>
      </c>
      <c r="D57" s="141">
        <f>I57</f>
        <v>31.5</v>
      </c>
      <c r="E57" s="45" t="s">
        <v>343</v>
      </c>
      <c r="F57" s="56" t="s">
        <v>417</v>
      </c>
      <c r="G57" s="45" t="s">
        <v>342</v>
      </c>
      <c r="H57" s="45"/>
      <c r="I57" s="68">
        <v>31.5</v>
      </c>
      <c r="J57" s="45" t="s">
        <v>343</v>
      </c>
      <c r="Z57" s="45" t="s">
        <v>428</v>
      </c>
      <c r="AA57" s="42">
        <f ca="1">(b_W-2*b_W.i)/(c_t.W+c_W.k)</f>
        <v>4.1227570453223006</v>
      </c>
      <c r="AB57" s="45" t="s">
        <v>315</v>
      </c>
    </row>
    <row r="58" spans="2:28" ht="16.5" outlineLevel="1" thickBot="1">
      <c r="B58" s="45" t="s">
        <v>347</v>
      </c>
      <c r="C58" s="45" t="s">
        <v>476</v>
      </c>
      <c r="D58" s="168">
        <v>25</v>
      </c>
      <c r="E58" s="45" t="s">
        <v>358</v>
      </c>
      <c r="Z58" s="45" t="s">
        <v>429</v>
      </c>
      <c r="AA58" s="42">
        <f ca="1">c_t.W/c_W.k</f>
        <v>0.42087135125145059</v>
      </c>
      <c r="AB58" s="45" t="s">
        <v>315</v>
      </c>
    </row>
    <row r="59" spans="2:28" ht="15.75" outlineLevel="1">
      <c r="B59" s="45" t="s">
        <v>453</v>
      </c>
      <c r="C59" s="54" t="s">
        <v>452</v>
      </c>
      <c r="D59" s="141">
        <v>5.0999999999999996</v>
      </c>
      <c r="E59" s="45" t="s">
        <v>338</v>
      </c>
      <c r="F59" s="56" t="s">
        <v>417</v>
      </c>
      <c r="G59" s="45" t="s">
        <v>453</v>
      </c>
      <c r="H59" s="54" t="s">
        <v>452</v>
      </c>
      <c r="I59" s="42">
        <f>6.9137 - (7.46*RelPos_W.z/100) - (0.1153*phi_25.W.o)</f>
        <v>2.1662000000000003</v>
      </c>
      <c r="J59" s="45" t="s">
        <v>338</v>
      </c>
      <c r="Z59" s="45" t="s">
        <v>380</v>
      </c>
      <c r="AA59" s="42">
        <f>eta_k.W*(b_W/2)</f>
        <v>5.4304612842741085</v>
      </c>
      <c r="AB59" s="45" t="s">
        <v>373</v>
      </c>
    </row>
    <row r="60" spans="2:28" ht="13.5" outlineLevel="1" thickBot="1">
      <c r="B60" s="45"/>
      <c r="C60" s="54"/>
      <c r="D60" s="46"/>
      <c r="E60" s="45"/>
      <c r="G60" s="45"/>
      <c r="H60" s="54"/>
      <c r="I60" s="46"/>
      <c r="J60" s="45"/>
      <c r="Z60" s="45" t="s">
        <v>555</v>
      </c>
      <c r="AA60" s="42">
        <f ca="1">c_r.W + b_W.i*(TAN(phi_100.W.i*PI()/180) - TAN(phi_0.W.i*PI()/180))</f>
        <v>3.9398814261078683</v>
      </c>
      <c r="AB60" s="45" t="s">
        <v>373</v>
      </c>
    </row>
    <row r="61" spans="2:28" ht="13.5" outlineLevel="1" thickBot="1">
      <c r="B61" s="155" t="str">
        <f>IF(Type_W= "Double-trapezoidal","Edit this section","Do not edit this section")</f>
        <v>Edit this section</v>
      </c>
    </row>
    <row r="62" spans="2:28" ht="15.75" outlineLevel="1">
      <c r="B62" s="83" t="s">
        <v>441</v>
      </c>
      <c r="C62" s="64" t="s">
        <v>423</v>
      </c>
      <c r="D62" s="156">
        <f>I62</f>
        <v>0.32</v>
      </c>
      <c r="E62" s="64" t="s">
        <v>315</v>
      </c>
      <c r="F62" s="85" t="s">
        <v>417</v>
      </c>
      <c r="G62" s="64" t="s">
        <v>441</v>
      </c>
      <c r="H62" s="64" t="s">
        <v>423</v>
      </c>
      <c r="I62" s="86">
        <f>IF(Type_W = "Trapezoidal", 0.5, M62)</f>
        <v>0.32</v>
      </c>
      <c r="J62" s="64" t="s">
        <v>315</v>
      </c>
      <c r="K62" s="64" t="s">
        <v>493</v>
      </c>
      <c r="L62" s="64" t="s">
        <v>494</v>
      </c>
      <c r="M62" s="136">
        <v>0.32</v>
      </c>
      <c r="N62" s="82" t="s">
        <v>315</v>
      </c>
    </row>
    <row r="63" spans="2:28" ht="15.75" outlineLevel="1">
      <c r="B63" s="53" t="s">
        <v>535</v>
      </c>
      <c r="C63" s="54" t="s">
        <v>451</v>
      </c>
      <c r="D63" s="153">
        <f ca="1">I63</f>
        <v>27.281923804208166</v>
      </c>
      <c r="E63" s="54" t="s">
        <v>338</v>
      </c>
      <c r="F63" s="56" t="s">
        <v>417</v>
      </c>
      <c r="G63" s="54" t="s">
        <v>535</v>
      </c>
      <c r="H63" s="54" t="s">
        <v>451</v>
      </c>
      <c r="I63" s="42">
        <f ca="1">phi_0.W.o</f>
        <v>27.281923804208166</v>
      </c>
      <c r="J63" s="54" t="s">
        <v>338</v>
      </c>
      <c r="K63" s="54"/>
      <c r="L63" s="54"/>
      <c r="M63" s="123"/>
      <c r="N63" s="57"/>
    </row>
    <row r="64" spans="2:28" ht="15.75" outlineLevel="1">
      <c r="B64" s="53" t="s">
        <v>537</v>
      </c>
      <c r="C64" s="54" t="s">
        <v>419</v>
      </c>
      <c r="D64" s="153">
        <f>I64</f>
        <v>0</v>
      </c>
      <c r="E64" s="54" t="s">
        <v>338</v>
      </c>
      <c r="F64" s="56" t="s">
        <v>417</v>
      </c>
      <c r="G64" s="54" t="s">
        <v>537</v>
      </c>
      <c r="H64" s="54" t="s">
        <v>419</v>
      </c>
      <c r="I64" s="68">
        <f>IF(Type_W = "Double-trapezoidal", 0, phi_100.W.o)</f>
        <v>0</v>
      </c>
      <c r="J64" s="54" t="s">
        <v>338</v>
      </c>
      <c r="K64" s="25"/>
      <c r="L64" s="25"/>
      <c r="M64" s="25"/>
      <c r="N64" s="55"/>
    </row>
    <row r="65" spans="1:14" ht="16.5" outlineLevel="1" thickBot="1">
      <c r="B65" s="58" t="s">
        <v>454</v>
      </c>
      <c r="C65" s="59" t="s">
        <v>460</v>
      </c>
      <c r="D65" s="154">
        <v>5.0999999999999996</v>
      </c>
      <c r="E65" s="59" t="s">
        <v>338</v>
      </c>
      <c r="F65" s="78" t="s">
        <v>417</v>
      </c>
      <c r="G65" s="59" t="s">
        <v>454</v>
      </c>
      <c r="H65" s="59" t="s">
        <v>460</v>
      </c>
      <c r="I65" s="79">
        <f>ggam_W.o</f>
        <v>5.0999999999999996</v>
      </c>
      <c r="J65" s="59" t="s">
        <v>338</v>
      </c>
      <c r="K65" s="60"/>
      <c r="L65" s="60"/>
      <c r="M65" s="60"/>
      <c r="N65" s="62"/>
    </row>
    <row r="66" spans="1:14" outlineLevel="1"/>
    <row r="67" spans="1:14" s="26" customFormat="1" ht="15.75">
      <c r="A67" s="73" t="s">
        <v>436</v>
      </c>
      <c r="B67" s="76" t="s">
        <v>282</v>
      </c>
    </row>
    <row r="68" spans="1:14" outlineLevel="1">
      <c r="B68" s="44"/>
    </row>
    <row r="69" spans="1:14" ht="15.75" outlineLevel="1">
      <c r="B69" s="45" t="s">
        <v>319</v>
      </c>
      <c r="C69" s="45" t="s">
        <v>321</v>
      </c>
      <c r="D69" s="141">
        <v>3.96</v>
      </c>
      <c r="E69" s="45" t="s">
        <v>322</v>
      </c>
      <c r="F69" s="56" t="s">
        <v>417</v>
      </c>
      <c r="G69" s="45" t="s">
        <v>319</v>
      </c>
      <c r="H69" s="45" t="s">
        <v>321</v>
      </c>
      <c r="I69" s="42">
        <f>IF(M69&lt;7,0.045*(M69*0.495+2*0.025+0.4826)+0.084+(M69*0.495+2*0.025+0.4826),(M69*0.495+2*0.025+2*0.4826+2*0.15)*0.045+0.084+(M69*0.495+2*0.025+2*0.4826+2*0.15))</f>
        <v>3.7442169999999999</v>
      </c>
      <c r="J69" s="45" t="s">
        <v>322</v>
      </c>
      <c r="K69" s="138" t="s">
        <v>562</v>
      </c>
      <c r="L69" s="138" t="s">
        <v>563</v>
      </c>
      <c r="M69" s="24">
        <f>ROUND(0.45*SQRT(n_p),0)</f>
        <v>6</v>
      </c>
    </row>
    <row r="70" spans="1:14" ht="15.75" outlineLevel="1">
      <c r="B70" s="45" t="s">
        <v>318</v>
      </c>
      <c r="C70" s="45" t="s">
        <v>320</v>
      </c>
      <c r="D70" s="141">
        <v>35.799999999999997</v>
      </c>
      <c r="E70" s="45" t="s">
        <v>322</v>
      </c>
      <c r="F70" s="56" t="s">
        <v>417</v>
      </c>
      <c r="G70" s="45" t="s">
        <v>318</v>
      </c>
      <c r="H70" s="45" t="s">
        <v>320</v>
      </c>
      <c r="I70" s="42">
        <f>M70*d_F</f>
        <v>43.56</v>
      </c>
      <c r="J70" s="45" t="s">
        <v>322</v>
      </c>
      <c r="K70" s="45" t="s">
        <v>495</v>
      </c>
      <c r="L70" s="45" t="s">
        <v>496</v>
      </c>
      <c r="M70" s="113">
        <v>11</v>
      </c>
      <c r="N70" s="45" t="s">
        <v>315</v>
      </c>
    </row>
    <row r="71" spans="1:14" ht="15.75" outlineLevel="1">
      <c r="B71" s="45" t="s">
        <v>339</v>
      </c>
      <c r="C71" s="45" t="s">
        <v>340</v>
      </c>
      <c r="D71" s="141">
        <f>I71</f>
        <v>6.203031120000011</v>
      </c>
      <c r="E71" s="45" t="s">
        <v>322</v>
      </c>
      <c r="F71" s="56" t="s">
        <v>417</v>
      </c>
      <c r="G71" s="45" t="s">
        <v>339</v>
      </c>
      <c r="H71" s="45" t="s">
        <v>340</v>
      </c>
      <c r="I71" s="42">
        <f>(44.405*(M_MO^2) -71.625*M_MO +30.441)*d_F</f>
        <v>6.203031120000011</v>
      </c>
      <c r="J71" s="45" t="s">
        <v>322</v>
      </c>
    </row>
    <row r="72" spans="1:14" ht="15.75" outlineLevel="1">
      <c r="B72" s="45" t="s">
        <v>466</v>
      </c>
      <c r="C72" s="45" t="s">
        <v>467</v>
      </c>
      <c r="D72" s="141">
        <f>I72</f>
        <v>2.5739999999999998</v>
      </c>
      <c r="E72" s="45" t="s">
        <v>322</v>
      </c>
      <c r="F72" s="56" t="s">
        <v>417</v>
      </c>
      <c r="G72" s="45" t="s">
        <v>466</v>
      </c>
      <c r="H72" s="45" t="s">
        <v>467</v>
      </c>
      <c r="I72" s="42">
        <f>M72*d_F</f>
        <v>2.5739999999999998</v>
      </c>
      <c r="J72" s="45" t="s">
        <v>322</v>
      </c>
      <c r="K72" s="45" t="s">
        <v>498</v>
      </c>
      <c r="L72" s="45" t="s">
        <v>503</v>
      </c>
      <c r="M72" s="113">
        <v>0.65</v>
      </c>
      <c r="N72" s="45" t="s">
        <v>315</v>
      </c>
    </row>
    <row r="73" spans="1:14" ht="15.75" outlineLevel="1">
      <c r="B73" s="45" t="s">
        <v>442</v>
      </c>
      <c r="C73" s="45" t="s">
        <v>341</v>
      </c>
      <c r="D73" s="141">
        <f>I73</f>
        <v>13.068</v>
      </c>
      <c r="E73" s="45" t="s">
        <v>322</v>
      </c>
      <c r="F73" s="56" t="s">
        <v>417</v>
      </c>
      <c r="G73" s="45" t="s">
        <v>482</v>
      </c>
      <c r="H73" s="45" t="s">
        <v>483</v>
      </c>
      <c r="I73" s="42">
        <f>M73*d_F</f>
        <v>13.068</v>
      </c>
      <c r="J73" s="45" t="s">
        <v>322</v>
      </c>
      <c r="K73" s="45" t="s">
        <v>499</v>
      </c>
      <c r="L73" s="45" t="s">
        <v>504</v>
      </c>
      <c r="M73" s="113">
        <v>3.3</v>
      </c>
      <c r="N73" s="45" t="s">
        <v>315</v>
      </c>
    </row>
    <row r="74" spans="1:14" ht="15.75" outlineLevel="1">
      <c r="G74" s="45" t="s">
        <v>443</v>
      </c>
      <c r="H74" s="45" t="s">
        <v>444</v>
      </c>
      <c r="I74" s="127">
        <f>l_F-D71-D73</f>
        <v>16.528968879999987</v>
      </c>
      <c r="J74" s="45" t="s">
        <v>322</v>
      </c>
      <c r="K74" s="114"/>
      <c r="L74" s="45"/>
      <c r="M74" s="45"/>
      <c r="N74" s="45"/>
    </row>
    <row r="75" spans="1:14" outlineLevel="1">
      <c r="D75" s="66"/>
      <c r="I75" s="66"/>
    </row>
    <row r="76" spans="1:14" s="26" customFormat="1" ht="17.25" customHeight="1">
      <c r="A76" s="73" t="s">
        <v>437</v>
      </c>
      <c r="B76" s="76" t="s">
        <v>325</v>
      </c>
      <c r="D76" s="77"/>
      <c r="I76" s="77"/>
    </row>
    <row r="77" spans="1:14" ht="17.25" customHeight="1" outlineLevel="1">
      <c r="A77" s="74"/>
      <c r="B77" s="75"/>
      <c r="D77" s="66"/>
      <c r="I77" s="66"/>
    </row>
    <row r="78" spans="1:14" ht="15.75" outlineLevel="1">
      <c r="B78" s="45" t="s">
        <v>446</v>
      </c>
      <c r="C78" s="45" t="s">
        <v>330</v>
      </c>
      <c r="D78" s="151">
        <v>5</v>
      </c>
      <c r="E78" s="45" t="s">
        <v>315</v>
      </c>
      <c r="F78" s="56" t="s">
        <v>417</v>
      </c>
      <c r="G78" s="45" t="s">
        <v>326</v>
      </c>
      <c r="H78" s="45" t="s">
        <v>330</v>
      </c>
      <c r="I78" s="42">
        <f>M78*A_W</f>
        <v>5.2006860000000001</v>
      </c>
      <c r="J78" s="45" t="s">
        <v>315</v>
      </c>
      <c r="K78" s="45" t="s">
        <v>500</v>
      </c>
      <c r="L78" s="45" t="s">
        <v>505</v>
      </c>
      <c r="M78" s="113">
        <v>0.55349999999999999</v>
      </c>
      <c r="N78" s="45" t="s">
        <v>315</v>
      </c>
    </row>
    <row r="79" spans="1:14" ht="15.75" outlineLevel="1">
      <c r="B79" s="45" t="s">
        <v>447</v>
      </c>
      <c r="C79" s="45" t="s">
        <v>331</v>
      </c>
      <c r="D79" s="151">
        <v>0.29499999999999998</v>
      </c>
      <c r="E79" s="45" t="s">
        <v>315</v>
      </c>
      <c r="F79" s="56" t="s">
        <v>417</v>
      </c>
      <c r="G79" s="45" t="s">
        <v>327</v>
      </c>
      <c r="H79" s="45" t="s">
        <v>331</v>
      </c>
      <c r="I79" s="42">
        <f>M79*lam_W</f>
        <v>0.29519999999999996</v>
      </c>
      <c r="J79" s="45" t="s">
        <v>315</v>
      </c>
      <c r="K79" s="45" t="s">
        <v>501</v>
      </c>
      <c r="L79" s="45" t="s">
        <v>506</v>
      </c>
      <c r="M79" s="113">
        <v>1.2</v>
      </c>
      <c r="N79" s="45" t="s">
        <v>315</v>
      </c>
    </row>
    <row r="80" spans="1:14" ht="15.75" outlineLevel="1">
      <c r="B80" s="45" t="s">
        <v>445</v>
      </c>
      <c r="C80" s="45" t="s">
        <v>333</v>
      </c>
      <c r="D80" s="151">
        <v>31</v>
      </c>
      <c r="E80" s="45" t="s">
        <v>316</v>
      </c>
      <c r="F80" s="56" t="s">
        <v>417</v>
      </c>
      <c r="G80" s="54" t="s">
        <v>6</v>
      </c>
      <c r="H80" s="54" t="s">
        <v>333</v>
      </c>
      <c r="I80" s="42">
        <f ca="1">100*C_H*S_W*c_MAC.W/((RelPos_H.x-RelPos_W.x)*l_F)</f>
        <v>25.305913267904284</v>
      </c>
      <c r="J80" s="54" t="s">
        <v>316</v>
      </c>
      <c r="K80" s="45" t="s">
        <v>457</v>
      </c>
      <c r="L80" s="54" t="s">
        <v>456</v>
      </c>
      <c r="M80" s="113">
        <v>0.99099999999999999</v>
      </c>
      <c r="N80" s="54" t="s">
        <v>315</v>
      </c>
    </row>
    <row r="81" spans="1:18" ht="15.75" outlineLevel="1">
      <c r="B81" s="45" t="s">
        <v>8</v>
      </c>
      <c r="C81" s="45" t="s">
        <v>332</v>
      </c>
      <c r="D81" s="151">
        <v>28</v>
      </c>
      <c r="E81" s="45" t="s">
        <v>338</v>
      </c>
      <c r="F81" s="56" t="s">
        <v>417</v>
      </c>
      <c r="G81" s="45" t="s">
        <v>8</v>
      </c>
      <c r="H81" s="45" t="s">
        <v>332</v>
      </c>
      <c r="I81" s="42">
        <f>phi_25.W.o+M81</f>
        <v>30</v>
      </c>
      <c r="J81" s="45" t="s">
        <v>338</v>
      </c>
      <c r="K81" s="45" t="s">
        <v>502</v>
      </c>
      <c r="L81" s="45" t="s">
        <v>527</v>
      </c>
      <c r="M81" s="113">
        <v>5</v>
      </c>
      <c r="N81" s="45" t="s">
        <v>315</v>
      </c>
    </row>
    <row r="82" spans="1:18" ht="15.75" outlineLevel="1">
      <c r="B82" s="45" t="s">
        <v>448</v>
      </c>
      <c r="C82" s="54" t="s">
        <v>346</v>
      </c>
      <c r="D82" s="151">
        <v>6</v>
      </c>
      <c r="E82" s="45" t="s">
        <v>338</v>
      </c>
      <c r="F82" s="56" t="s">
        <v>417</v>
      </c>
      <c r="G82" s="45" t="s">
        <v>448</v>
      </c>
      <c r="H82" s="54" t="s">
        <v>346</v>
      </c>
      <c r="I82" s="42">
        <f>0</f>
        <v>0</v>
      </c>
      <c r="J82" s="45" t="s">
        <v>338</v>
      </c>
    </row>
    <row r="83" spans="1:18" ht="16.5" outlineLevel="1" thickBot="1">
      <c r="B83" s="45" t="s">
        <v>344</v>
      </c>
      <c r="C83" s="45" t="s">
        <v>477</v>
      </c>
      <c r="D83" s="141">
        <v>84</v>
      </c>
      <c r="E83" s="45" t="s">
        <v>343</v>
      </c>
      <c r="F83" s="56" t="s">
        <v>417</v>
      </c>
      <c r="G83" s="45" t="s">
        <v>344</v>
      </c>
      <c r="H83" s="45" t="s">
        <v>477</v>
      </c>
      <c r="I83" s="42">
        <v>84</v>
      </c>
      <c r="J83" s="45" t="s">
        <v>343</v>
      </c>
    </row>
    <row r="84" spans="1:18" ht="16.5" outlineLevel="1" thickBot="1">
      <c r="B84" s="45" t="s">
        <v>345</v>
      </c>
      <c r="C84" s="45" t="s">
        <v>478</v>
      </c>
      <c r="D84" s="168">
        <v>-15</v>
      </c>
      <c r="E84" s="45" t="s">
        <v>481</v>
      </c>
      <c r="F84" s="56" t="s">
        <v>417</v>
      </c>
      <c r="G84" s="45" t="s">
        <v>345</v>
      </c>
      <c r="H84" s="45" t="s">
        <v>478</v>
      </c>
      <c r="I84" s="42">
        <v>-15</v>
      </c>
      <c r="J84" s="45" t="s">
        <v>481</v>
      </c>
    </row>
    <row r="85" spans="1:18" outlineLevel="1">
      <c r="B85" s="45"/>
      <c r="D85" s="66"/>
      <c r="I85" s="66"/>
    </row>
    <row r="86" spans="1:18" s="26" customFormat="1" ht="15.75">
      <c r="A86" s="73" t="s">
        <v>438</v>
      </c>
      <c r="B86" s="76" t="s">
        <v>328</v>
      </c>
      <c r="D86" s="77"/>
      <c r="I86" s="77"/>
    </row>
    <row r="87" spans="1:18" ht="16.5" outlineLevel="1" thickBot="1">
      <c r="A87" s="74"/>
      <c r="B87" s="75"/>
      <c r="D87" s="66"/>
      <c r="I87" s="66"/>
    </row>
    <row r="88" spans="1:18" ht="16.5" outlineLevel="1" thickBot="1">
      <c r="B88" s="45" t="s">
        <v>370</v>
      </c>
      <c r="C88" s="54" t="s">
        <v>479</v>
      </c>
      <c r="D88" s="167" t="s">
        <v>585</v>
      </c>
      <c r="E88" s="45" t="s">
        <v>315</v>
      </c>
      <c r="I88" s="66"/>
    </row>
    <row r="89" spans="1:18" outlineLevel="1">
      <c r="B89" s="45"/>
      <c r="D89" s="66"/>
      <c r="E89" s="45"/>
      <c r="I89" s="66"/>
    </row>
    <row r="90" spans="1:18" ht="15.75" outlineLevel="1">
      <c r="B90" s="54" t="s">
        <v>326</v>
      </c>
      <c r="C90" s="54" t="s">
        <v>334</v>
      </c>
      <c r="D90" s="151">
        <v>1.6020000000000001</v>
      </c>
      <c r="E90" s="54" t="s">
        <v>315</v>
      </c>
      <c r="F90" s="56" t="s">
        <v>417</v>
      </c>
      <c r="G90" s="54" t="s">
        <v>326</v>
      </c>
      <c r="H90" s="54" t="s">
        <v>334</v>
      </c>
      <c r="I90" s="42">
        <f>IF(RelPos_H.z&lt;0,2,M90 - (M90-Q90)*(RelPos_H.z/100))</f>
        <v>2</v>
      </c>
      <c r="J90" s="54" t="s">
        <v>315</v>
      </c>
      <c r="K90" s="45" t="s">
        <v>530</v>
      </c>
      <c r="L90" s="45" t="s">
        <v>507</v>
      </c>
      <c r="M90" s="113">
        <v>2</v>
      </c>
      <c r="N90" s="45" t="s">
        <v>315</v>
      </c>
      <c r="O90" s="45" t="s">
        <v>532</v>
      </c>
      <c r="P90" s="45" t="s">
        <v>509</v>
      </c>
      <c r="Q90" s="113">
        <v>0.7</v>
      </c>
      <c r="R90" s="45" t="s">
        <v>315</v>
      </c>
    </row>
    <row r="91" spans="1:18" ht="15.75" outlineLevel="1">
      <c r="B91" s="54" t="s">
        <v>327</v>
      </c>
      <c r="C91" s="54" t="s">
        <v>335</v>
      </c>
      <c r="D91" s="151">
        <f>I91</f>
        <v>0.3</v>
      </c>
      <c r="E91" s="54" t="s">
        <v>315</v>
      </c>
      <c r="F91" s="56" t="s">
        <v>417</v>
      </c>
      <c r="G91" s="54" t="s">
        <v>327</v>
      </c>
      <c r="H91" s="54" t="s">
        <v>335</v>
      </c>
      <c r="I91" s="42">
        <f>IF(RelPos_H.z&lt;0,0.3,M91 + (Q91-M91)*RelPos_H.z/100)</f>
        <v>0.3</v>
      </c>
      <c r="J91" s="54" t="s">
        <v>315</v>
      </c>
      <c r="K91" s="45" t="s">
        <v>531</v>
      </c>
      <c r="L91" s="45" t="s">
        <v>508</v>
      </c>
      <c r="M91" s="113">
        <v>0.3</v>
      </c>
      <c r="N91" s="45" t="s">
        <v>315</v>
      </c>
      <c r="O91" s="45" t="s">
        <v>533</v>
      </c>
      <c r="P91" s="45" t="s">
        <v>510</v>
      </c>
      <c r="Q91" s="113">
        <v>1</v>
      </c>
      <c r="R91" s="45" t="s">
        <v>315</v>
      </c>
    </row>
    <row r="92" spans="1:18" ht="15.75" outlineLevel="1">
      <c r="B92" s="54" t="s">
        <v>6</v>
      </c>
      <c r="C92" s="54" t="s">
        <v>337</v>
      </c>
      <c r="D92" s="151">
        <v>21.51</v>
      </c>
      <c r="E92" s="54" t="s">
        <v>316</v>
      </c>
      <c r="F92" s="56" t="s">
        <v>417</v>
      </c>
      <c r="G92" s="54" t="s">
        <v>6</v>
      </c>
      <c r="H92" s="54" t="s">
        <v>337</v>
      </c>
      <c r="I92" s="42">
        <f>100*C_V*S_W*b_W/((RelPos_H.x-RelPos_W.x)*l_F)</f>
        <v>17.556505084046307</v>
      </c>
      <c r="J92" s="54" t="s">
        <v>316</v>
      </c>
      <c r="K92" s="45" t="s">
        <v>455</v>
      </c>
      <c r="L92" s="45" t="s">
        <v>497</v>
      </c>
      <c r="M92" s="128">
        <v>7.9299999999999995E-2</v>
      </c>
      <c r="N92" s="45" t="s">
        <v>315</v>
      </c>
    </row>
    <row r="93" spans="1:18" ht="15.75" outlineLevel="1">
      <c r="B93" s="54"/>
      <c r="C93" s="54"/>
      <c r="D93" s="46"/>
      <c r="E93" s="54"/>
      <c r="G93" s="54" t="s">
        <v>371</v>
      </c>
      <c r="H93" s="54" t="s">
        <v>426</v>
      </c>
      <c r="I93" s="68">
        <f>2*S_V/(b_V*(lam_V+1))</f>
        <v>5.6373577032928592</v>
      </c>
      <c r="J93" s="54" t="s">
        <v>322</v>
      </c>
    </row>
    <row r="94" spans="1:18" ht="15.75" outlineLevel="1">
      <c r="B94" s="54"/>
      <c r="C94" s="54"/>
      <c r="D94" s="46"/>
      <c r="E94" s="54"/>
      <c r="G94" s="54" t="s">
        <v>372</v>
      </c>
      <c r="H94" s="54" t="s">
        <v>427</v>
      </c>
      <c r="I94" s="68">
        <f>lam_V*c_r.V</f>
        <v>1.6912073109878578</v>
      </c>
      <c r="J94" s="54" t="s">
        <v>322</v>
      </c>
    </row>
    <row r="95" spans="1:18" ht="15.75" outlineLevel="1">
      <c r="B95" s="54"/>
      <c r="C95" s="54"/>
      <c r="D95" s="46"/>
      <c r="E95" s="54"/>
      <c r="G95" s="54" t="s">
        <v>7</v>
      </c>
      <c r="H95" s="54" t="s">
        <v>360</v>
      </c>
      <c r="I95" s="68">
        <f>SQRT(S_V*A_V)</f>
        <v>5.8701805764388544</v>
      </c>
      <c r="J95" s="54" t="s">
        <v>373</v>
      </c>
    </row>
    <row r="96" spans="1:18" outlineLevel="1">
      <c r="B96" s="54"/>
      <c r="C96" s="54"/>
      <c r="D96" s="46"/>
      <c r="E96" s="54"/>
      <c r="G96" s="54"/>
      <c r="H96" s="54"/>
      <c r="I96" s="87"/>
      <c r="J96" s="54"/>
    </row>
    <row r="97" spans="1:14" ht="15.75" outlineLevel="1">
      <c r="B97" s="45" t="s">
        <v>369</v>
      </c>
      <c r="C97" s="45" t="s">
        <v>336</v>
      </c>
      <c r="D97" s="152">
        <v>35</v>
      </c>
      <c r="E97" s="45" t="s">
        <v>338</v>
      </c>
      <c r="F97" s="56" t="s">
        <v>417</v>
      </c>
      <c r="G97" s="45" t="s">
        <v>369</v>
      </c>
      <c r="H97" s="45" t="s">
        <v>336</v>
      </c>
      <c r="I97" s="42">
        <f>phi_25.H*(0.003*(phi_25.W.o^2) - 0.1847*phi_25.W.o + 4.0448)</f>
        <v>36.464400000000019</v>
      </c>
      <c r="J97" s="45" t="s">
        <v>338</v>
      </c>
    </row>
    <row r="98" spans="1:14" ht="15.75" outlineLevel="1">
      <c r="G98" s="45" t="s">
        <v>534</v>
      </c>
      <c r="H98" s="45" t="s">
        <v>366</v>
      </c>
      <c r="I98" s="68">
        <f>ATAN(TAN(phi_25.V*PI()/180)-2/A_V*((0-25)/100*(1-lam_V)/(1+lam_V)))*180/PI()</f>
        <v>40.966694182635813</v>
      </c>
      <c r="J98" s="45" t="s">
        <v>338</v>
      </c>
    </row>
    <row r="99" spans="1:14" ht="15.75" outlineLevel="1">
      <c r="D99" s="66"/>
      <c r="G99" s="45" t="s">
        <v>538</v>
      </c>
      <c r="H99" s="45" t="s">
        <v>368</v>
      </c>
      <c r="I99" s="68">
        <f>ATAN(TAN(phi_25.V*PI()/180)-2/A_V*((100-25)/100*(1-lam_V)/(1+lam_V)))*180/PI()</f>
        <v>11.091054547988708</v>
      </c>
      <c r="J99" s="45" t="s">
        <v>338</v>
      </c>
    </row>
    <row r="100" spans="1:14" ht="15.75" outlineLevel="1">
      <c r="B100" s="45" t="s">
        <v>359</v>
      </c>
      <c r="C100" s="54" t="s">
        <v>480</v>
      </c>
      <c r="D100" s="141">
        <v>76.5</v>
      </c>
      <c r="E100" s="45" t="s">
        <v>343</v>
      </c>
      <c r="F100" s="56" t="s">
        <v>417</v>
      </c>
      <c r="G100" s="45" t="s">
        <v>359</v>
      </c>
      <c r="H100" s="54" t="s">
        <v>480</v>
      </c>
      <c r="I100" s="42">
        <v>76.5</v>
      </c>
      <c r="J100" s="45" t="s">
        <v>343</v>
      </c>
      <c r="K100" s="54"/>
      <c r="L100" s="54"/>
      <c r="M100" s="46"/>
      <c r="N100" s="54"/>
    </row>
    <row r="101" spans="1:14" outlineLevel="1">
      <c r="D101" s="66"/>
      <c r="I101" s="66"/>
    </row>
    <row r="102" spans="1:14" ht="13.5" outlineLevel="1" thickBot="1">
      <c r="B102" s="44" t="s">
        <v>329</v>
      </c>
      <c r="D102" s="66"/>
      <c r="I102" s="66"/>
    </row>
    <row r="103" spans="1:14" ht="13.5" outlineLevel="1" thickBot="1">
      <c r="B103" s="155" t="str">
        <f>IF(Type_df="Yes","Edit this section","Do not edit this section")</f>
        <v>Do not edit this section</v>
      </c>
      <c r="D103" s="66"/>
      <c r="I103" s="66"/>
    </row>
    <row r="104" spans="1:14" ht="15.75" outlineLevel="1">
      <c r="B104" s="83" t="s">
        <v>539</v>
      </c>
      <c r="C104" s="64" t="s">
        <v>375</v>
      </c>
      <c r="D104" s="157">
        <f>I104</f>
        <v>3.2414806793933937</v>
      </c>
      <c r="E104" s="64" t="s">
        <v>322</v>
      </c>
      <c r="F104" s="85" t="s">
        <v>417</v>
      </c>
      <c r="G104" s="64" t="s">
        <v>539</v>
      </c>
      <c r="H104" s="64" t="s">
        <v>375</v>
      </c>
      <c r="I104" s="86">
        <f>IF(Type_e = "Jet", 0.575*c_r.V, 2.699*c_r.V)</f>
        <v>3.2414806793933937</v>
      </c>
      <c r="J104" s="82" t="s">
        <v>322</v>
      </c>
      <c r="K104" s="45"/>
    </row>
    <row r="105" spans="1:14" ht="15.75" outlineLevel="1">
      <c r="B105" s="53" t="s">
        <v>540</v>
      </c>
      <c r="C105" s="54" t="s">
        <v>449</v>
      </c>
      <c r="D105" s="158">
        <f>I105</f>
        <v>72.365475361712924</v>
      </c>
      <c r="E105" s="54" t="s">
        <v>560</v>
      </c>
      <c r="F105" s="56" t="s">
        <v>417</v>
      </c>
      <c r="G105" s="54" t="s">
        <v>540</v>
      </c>
      <c r="H105" s="54" t="s">
        <v>449</v>
      </c>
      <c r="I105" s="42">
        <f>IF(Type_e = "Jet", 59.42 + 0.316*phi_0.V, 70.49 + 0.141*phi_0.V)</f>
        <v>72.365475361712924</v>
      </c>
      <c r="J105" s="57" t="s">
        <v>560</v>
      </c>
      <c r="K105" s="45"/>
    </row>
    <row r="106" spans="1:14" ht="16.5" outlineLevel="1" thickBot="1">
      <c r="B106" s="88"/>
      <c r="C106" s="60"/>
      <c r="D106" s="60"/>
      <c r="E106" s="60"/>
      <c r="F106" s="60"/>
      <c r="G106" s="59" t="s">
        <v>7</v>
      </c>
      <c r="H106" s="59" t="s">
        <v>374</v>
      </c>
      <c r="I106" s="84">
        <f>c_r.df/(TAN(phi_0.df*PI()/180) - TAN(phi_0.V*PI()/180))</f>
        <v>1.4232285583388811</v>
      </c>
      <c r="J106" s="80" t="s">
        <v>373</v>
      </c>
    </row>
    <row r="107" spans="1:14" outlineLevel="1">
      <c r="B107" s="45"/>
    </row>
    <row r="108" spans="1:14" s="26" customFormat="1" ht="15.75">
      <c r="A108" s="73" t="s">
        <v>439</v>
      </c>
      <c r="B108" s="76" t="s">
        <v>384</v>
      </c>
    </row>
    <row r="109" spans="1:14" outlineLevel="1"/>
    <row r="110" spans="1:14" outlineLevel="1">
      <c r="B110" s="67" t="s">
        <v>40</v>
      </c>
      <c r="C110" s="67" t="s">
        <v>349</v>
      </c>
      <c r="D110" s="67" t="s">
        <v>350</v>
      </c>
      <c r="E110" s="67" t="s">
        <v>351</v>
      </c>
      <c r="G110" s="67" t="s">
        <v>40</v>
      </c>
      <c r="H110" s="67" t="s">
        <v>349</v>
      </c>
      <c r="I110" s="67" t="s">
        <v>350</v>
      </c>
      <c r="J110" s="67" t="s">
        <v>351</v>
      </c>
    </row>
    <row r="111" spans="1:14" outlineLevel="1">
      <c r="B111" s="48" t="s">
        <v>352</v>
      </c>
      <c r="C111" s="90">
        <f>H111</f>
        <v>30.071999999999999</v>
      </c>
      <c r="D111" s="90">
        <f>I111</f>
        <v>0</v>
      </c>
      <c r="E111" s="90">
        <f>J111</f>
        <v>1.0994729135341719</v>
      </c>
      <c r="F111" s="56" t="s">
        <v>417</v>
      </c>
      <c r="G111" s="48" t="s">
        <v>352</v>
      </c>
      <c r="H111" s="41">
        <f>(RelPos_H.x*l_F/100)</f>
        <v>30.071999999999999</v>
      </c>
      <c r="I111" s="42">
        <v>0</v>
      </c>
      <c r="J111" s="42">
        <f>pos_V.z+(RelPos_H.z/100)*b_V</f>
        <v>1.0994729135341719</v>
      </c>
    </row>
    <row r="112" spans="1:14" outlineLevel="1">
      <c r="B112" s="48" t="s">
        <v>353</v>
      </c>
      <c r="C112" s="90">
        <f t="shared" ref="C112:C125" si="0">H112</f>
        <v>27.386999999999997</v>
      </c>
      <c r="D112" s="90">
        <f t="shared" ref="D112:D125" si="1">I112</f>
        <v>0</v>
      </c>
      <c r="E112" s="90">
        <f t="shared" ref="E112:E122" si="2">J112</f>
        <v>1.98</v>
      </c>
      <c r="F112" s="56" t="s">
        <v>417</v>
      </c>
      <c r="G112" s="48" t="s">
        <v>353</v>
      </c>
      <c r="H112" s="41">
        <f>RelPos_V.x*l_F/100</f>
        <v>27.386999999999997</v>
      </c>
      <c r="I112" s="42">
        <v>0</v>
      </c>
      <c r="J112" s="42">
        <f>d_F/2</f>
        <v>1.98</v>
      </c>
      <c r="K112" s="114"/>
    </row>
    <row r="113" spans="2:31" outlineLevel="1">
      <c r="B113" s="48" t="s">
        <v>144</v>
      </c>
      <c r="C113" s="90">
        <f t="shared" si="0"/>
        <v>11.276999999999997</v>
      </c>
      <c r="D113" s="90">
        <f t="shared" si="1"/>
        <v>0</v>
      </c>
      <c r="E113" s="90">
        <f t="shared" si="2"/>
        <v>-0.99</v>
      </c>
      <c r="F113" s="56" t="s">
        <v>417</v>
      </c>
      <c r="G113" s="48" t="s">
        <v>144</v>
      </c>
      <c r="H113" s="41">
        <f>RelPos_W.x*l_F/100</f>
        <v>11.276999999999997</v>
      </c>
      <c r="I113" s="42">
        <v>0</v>
      </c>
      <c r="J113" s="42">
        <f xml:space="preserve"> -d_F/2 +(RelPos_W.z/100)*d_F</f>
        <v>-0.99</v>
      </c>
    </row>
    <row r="114" spans="2:31" outlineLevel="1">
      <c r="B114" s="48" t="s">
        <v>282</v>
      </c>
      <c r="C114" s="90">
        <f t="shared" si="0"/>
        <v>0</v>
      </c>
      <c r="D114" s="90">
        <f t="shared" si="1"/>
        <v>0</v>
      </c>
      <c r="E114" s="90">
        <f t="shared" si="2"/>
        <v>0</v>
      </c>
      <c r="F114" s="56" t="s">
        <v>417</v>
      </c>
      <c r="G114" s="48" t="s">
        <v>282</v>
      </c>
      <c r="H114" s="42">
        <v>0</v>
      </c>
      <c r="I114" s="42">
        <v>0</v>
      </c>
      <c r="J114" s="42">
        <v>0</v>
      </c>
    </row>
    <row r="115" spans="2:31" ht="14.25" outlineLevel="1">
      <c r="B115" s="48" t="str">
        <f>"Jet " &amp; Convert!$B$1213</f>
        <v>Jet Engine 2</v>
      </c>
      <c r="C115" s="90">
        <f t="shared" ca="1" si="0"/>
        <v>13.056760454354746</v>
      </c>
      <c r="D115" s="90">
        <f t="shared" si="1"/>
        <v>5.5305854142029123</v>
      </c>
      <c r="E115" s="90">
        <f t="shared" si="2"/>
        <v>-2.2181434014923496</v>
      </c>
      <c r="F115" s="56" t="s">
        <v>417</v>
      </c>
      <c r="G115" s="48" t="str">
        <f>"Jet " &amp; Convert!$B$1213</f>
        <v>Jet Engine 2</v>
      </c>
      <c r="H115" s="41">
        <f ca="1">IF(n_e=1,pos_V.x,pos_W.x+(pos_e.j1.y*TAN(phi_0.W.o*PI()/180)) - l_e.j.pylon*TAN(phi_0.e.j.pylon*PI()/180))</f>
        <v>13.056760454354746</v>
      </c>
      <c r="I115" s="42">
        <f>IF(n_e=1,0,IF(OR(n_e=2,n_e=3),M115,Q115))*(b_W/2)/100</f>
        <v>5.5305854142029123</v>
      </c>
      <c r="J115" s="42">
        <f>IF(n_e=1,pos_V.z+d_e.j/2,pos_W.z+ pos_e.j1.y*TAN(ggam_W.o*PI()/180)-d_e.j/2-l_e.j.pylon)</f>
        <v>-2.2181434014923496</v>
      </c>
      <c r="K115" s="45" t="s">
        <v>545</v>
      </c>
      <c r="L115" s="45" t="s">
        <v>547</v>
      </c>
      <c r="M115" s="128">
        <v>32.590000000000003</v>
      </c>
      <c r="N115" s="45" t="s">
        <v>544</v>
      </c>
      <c r="O115" s="45" t="s">
        <v>546</v>
      </c>
      <c r="P115" s="45" t="s">
        <v>547</v>
      </c>
      <c r="Q115" s="128">
        <v>39.299999999999997</v>
      </c>
      <c r="R115" s="45" t="s">
        <v>544</v>
      </c>
    </row>
    <row r="116" spans="2:31" outlineLevel="1">
      <c r="B116" s="48" t="str">
        <f>"Jet " &amp; Convert!$B$1746</f>
        <v>Jet Engine 1</v>
      </c>
      <c r="C116" s="90">
        <f t="shared" ca="1" si="0"/>
        <v>13.056760454354746</v>
      </c>
      <c r="D116" s="90">
        <f t="shared" si="1"/>
        <v>-5.5305854142029123</v>
      </c>
      <c r="E116" s="90">
        <f t="shared" si="2"/>
        <v>-2.2181434014923496</v>
      </c>
      <c r="F116" s="56" t="s">
        <v>417</v>
      </c>
      <c r="G116" s="48" t="str">
        <f>"Jet " &amp; Convert!$B$1746</f>
        <v>Jet Engine 1</v>
      </c>
      <c r="H116" s="41">
        <f ca="1">IF(n_e=1,"N/A",pos_W.x-(pos_e.j2.y*TAN(phi_0.W.o*PI()/180)) - l_e.j.pylon*TAN(phi_0.e.j.pylon*PI()/180))</f>
        <v>13.056760454354746</v>
      </c>
      <c r="I116" s="42">
        <f>IF(n_e=1,"N/A",-pos_e.j1.y)</f>
        <v>-5.5305854142029123</v>
      </c>
      <c r="J116" s="42">
        <f>IF(n_e=1,"N/A",pos_e.j1.z)</f>
        <v>-2.2181434014923496</v>
      </c>
    </row>
    <row r="117" spans="2:31" ht="14.25" outlineLevel="1">
      <c r="B117" s="48" t="str">
        <f>"Jet " &amp; Convert!$B$2279</f>
        <v>Jet Engine 4</v>
      </c>
      <c r="C117" s="90" t="str">
        <f t="shared" si="0"/>
        <v>N/A</v>
      </c>
      <c r="D117" s="90" t="str">
        <f t="shared" si="1"/>
        <v>N/A</v>
      </c>
      <c r="E117" s="90" t="str">
        <f t="shared" si="2"/>
        <v>N/A</v>
      </c>
      <c r="F117" s="56" t="s">
        <v>417</v>
      </c>
      <c r="G117" s="48" t="str">
        <f>"Jet " &amp; Convert!$B$2279</f>
        <v>Jet Engine 4</v>
      </c>
      <c r="H117" s="41" t="str">
        <f>IF(OR(n_e=1,n_e=2),"N/A",IF(n_e=3,pos_V.x,pos_W.x+(pos_e.j3.y*TAN(phi_0.W.o*PI()/180)) - l_e.j.pylon*TAN(phi_0.e.j.pylon*PI()/180)))</f>
        <v>N/A</v>
      </c>
      <c r="I117" s="42" t="str">
        <f>IF(OR(n_e=1,n_e=2),"N/A",IF(n_e=3,0,M117*(b_W/2)/100))</f>
        <v>N/A</v>
      </c>
      <c r="J117" s="42" t="str">
        <f>IF(OR(n_e=1,n_e=2),"N/A",IF(n_e=3,pos_V.z + 0.65*d_e.j,pos_W.z+ pos_e.j3.y*TAN(ggam_W.o*PI()/180)-d_e.j/2-l_e.j.pylon))</f>
        <v>N/A</v>
      </c>
      <c r="K117" s="45" t="s">
        <v>546</v>
      </c>
      <c r="L117" s="45" t="s">
        <v>548</v>
      </c>
      <c r="M117" s="128">
        <v>67.27</v>
      </c>
      <c r="N117" s="45" t="s">
        <v>544</v>
      </c>
    </row>
    <row r="118" spans="2:31" outlineLevel="1">
      <c r="B118" s="48" t="str">
        <f>"Jet " &amp; Convert!$B$2812</f>
        <v>Jet Engine 1</v>
      </c>
      <c r="C118" s="90" t="str">
        <f t="shared" si="0"/>
        <v>N/A</v>
      </c>
      <c r="D118" s="90" t="str">
        <f t="shared" si="1"/>
        <v>N/A</v>
      </c>
      <c r="E118" s="90" t="str">
        <f t="shared" si="2"/>
        <v>N/A</v>
      </c>
      <c r="F118" s="56" t="s">
        <v>417</v>
      </c>
      <c r="G118" s="48" t="str">
        <f>"Jet " &amp; Convert!$B$2812</f>
        <v>Jet Engine 1</v>
      </c>
      <c r="H118" s="41" t="str">
        <f>IF(n_e=4,pos_W.x-(pos_e.j4.y*TAN(phi_0.W.o*PI()/180)) - l_e.j.pylon*TAN(phi_0.e.j.pylon*PI()/180),"N/A")</f>
        <v>N/A</v>
      </c>
      <c r="I118" s="42" t="str">
        <f>IF(OR(n_e=1,n_e=2,n_e=3),"N/A",-pos_e.j3.y)</f>
        <v>N/A</v>
      </c>
      <c r="J118" s="42" t="str">
        <f>IF(n_e=4,pos_e.j3.z,"N/A")</f>
        <v>N/A</v>
      </c>
    </row>
    <row r="119" spans="2:31" ht="14.25" outlineLevel="1">
      <c r="B119" s="48" t="str">
        <f>"Prop " &amp; Convert!$B$1213</f>
        <v>Prop Engine 2</v>
      </c>
      <c r="C119" s="90">
        <f t="shared" ca="1" si="0"/>
        <v>12.867398604048542</v>
      </c>
      <c r="D119" s="90">
        <f t="shared" si="1"/>
        <v>4.4857782754617617</v>
      </c>
      <c r="E119" s="90">
        <f t="shared" si="2"/>
        <v>-0.95858435412235798</v>
      </c>
      <c r="F119" s="56" t="s">
        <v>417</v>
      </c>
      <c r="G119" s="48" t="str">
        <f>"Prop " &amp; Convert!$B$1213</f>
        <v>Prop Engine 2</v>
      </c>
      <c r="H119" s="42">
        <f ca="1">IF(n_e=1,-0.1*l_e.p,pos_W.x+(pos_e.p1.y*TAN(phi_0.W.o*PI()/180) - 0.25*l_e.p))</f>
        <v>12.867398604048542</v>
      </c>
      <c r="I119" s="115">
        <f>IF(n_e=1,pos_F.y,IF(OR(n_e=2,n_e=3),d_F/2 + M119 + d_e.p.r/2,d_F/2 + Q119 + d_e.p.r/2))</f>
        <v>4.4857782754617617</v>
      </c>
      <c r="J119" s="41">
        <f>IF(n_e=1,pos_nose.F.z,pos_W.z-d_e.p/2 + pos_e.p1.y*TAN(ggam_W.o*PI()/180))</f>
        <v>-0.95858435412235798</v>
      </c>
      <c r="K119" s="45" t="s">
        <v>549</v>
      </c>
      <c r="L119" s="45" t="s">
        <v>550</v>
      </c>
      <c r="M119" s="128">
        <v>0.92</v>
      </c>
      <c r="N119" s="45" t="s">
        <v>315</v>
      </c>
      <c r="O119" s="45" t="s">
        <v>551</v>
      </c>
      <c r="P119" s="45" t="s">
        <v>550</v>
      </c>
      <c r="Q119" s="128">
        <v>1.01</v>
      </c>
      <c r="R119" s="45" t="s">
        <v>315</v>
      </c>
    </row>
    <row r="120" spans="2:31" outlineLevel="1">
      <c r="B120" s="48" t="str">
        <f>"Prop " &amp; Convert!$B$1746</f>
        <v>Prop Engine 1</v>
      </c>
      <c r="C120" s="90">
        <f t="shared" ca="1" si="0"/>
        <v>12.867398604048542</v>
      </c>
      <c r="D120" s="90">
        <f t="shared" si="1"/>
        <v>-4.4857782754617617</v>
      </c>
      <c r="E120" s="90">
        <f t="shared" si="2"/>
        <v>-0.95858435412235798</v>
      </c>
      <c r="F120" s="56" t="s">
        <v>417</v>
      </c>
      <c r="G120" s="48" t="str">
        <f>"Prop " &amp; Convert!$B$1746</f>
        <v>Prop Engine 1</v>
      </c>
      <c r="H120" s="42">
        <f ca="1">IF(n_e=1,"N/A",pos_e.p1.x)</f>
        <v>12.867398604048542</v>
      </c>
      <c r="I120" s="115">
        <f>IF(n_e=1,"N/A",-pos_e.p1.y)</f>
        <v>-4.4857782754617617</v>
      </c>
      <c r="J120" s="41">
        <f>IF(n_e=1,"N/A",pos_W.z -d_e.p/2- pos_e.p2.y*TAN(ggam_W.o*PI()/180))</f>
        <v>-0.95858435412235798</v>
      </c>
    </row>
    <row r="121" spans="2:31" ht="14.25" outlineLevel="1">
      <c r="B121" s="48" t="str">
        <f>"Prop " &amp; Convert!$B$2279</f>
        <v>Prop Engine 4</v>
      </c>
      <c r="C121" s="90" t="str">
        <f t="shared" si="0"/>
        <v>N/A</v>
      </c>
      <c r="D121" s="90" t="str">
        <f t="shared" si="1"/>
        <v>N/A</v>
      </c>
      <c r="E121" s="90" t="str">
        <f t="shared" si="2"/>
        <v>N/A</v>
      </c>
      <c r="F121" s="56" t="s">
        <v>417</v>
      </c>
      <c r="G121" s="48" t="str">
        <f>"Prop " &amp; Convert!$B$2279</f>
        <v>Prop Engine 4</v>
      </c>
      <c r="H121" s="42" t="str">
        <f>IF(OR(n_e=1,n_e=2),"N/A",IF(n_e=3,pos_V.x,pos_W.x- 0.25*l_e.p+(pos_e.p3.y*TAN(phi_0.W.o*PI()/180))))</f>
        <v>N/A</v>
      </c>
      <c r="I121" s="115" t="str">
        <f>IF(OR(n_e=1,n_e=2),"N/A",IF(n_e=3,0,IF(n_e=4,pos_e.p1.y + d_e.p.r + M121)))</f>
        <v>N/A</v>
      </c>
      <c r="J121" s="41" t="str">
        <f>IF(OR(n_e=1,n_e=2),"N/A",IF(n_e=3,pos_V.z+(d_e.p.r*0.6),pos_W.z-d_e.p/2 + pos_e.p3.y*TAN(ggam_W.o*PI()/180)))</f>
        <v>N/A</v>
      </c>
      <c r="K121" s="45" t="s">
        <v>551</v>
      </c>
      <c r="L121" s="45" t="s">
        <v>552</v>
      </c>
      <c r="M121" s="128">
        <v>0.26</v>
      </c>
      <c r="N121" s="45" t="s">
        <v>315</v>
      </c>
    </row>
    <row r="122" spans="2:31" outlineLevel="1">
      <c r="B122" s="48" t="str">
        <f>"Prop " &amp; Convert!$B$2812</f>
        <v>Prop Engine 1</v>
      </c>
      <c r="C122" s="90" t="str">
        <f t="shared" si="0"/>
        <v>N/A</v>
      </c>
      <c r="D122" s="90" t="str">
        <f t="shared" si="1"/>
        <v>N/A</v>
      </c>
      <c r="E122" s="90" t="str">
        <f t="shared" si="2"/>
        <v>N/A</v>
      </c>
      <c r="F122" s="56" t="s">
        <v>417</v>
      </c>
      <c r="G122" s="48" t="str">
        <f>"Prop " &amp; Convert!$B$2812</f>
        <v>Prop Engine 1</v>
      </c>
      <c r="H122" s="42" t="str">
        <f>IF(n_e=4,pos_e.p3.x,"N/A")</f>
        <v>N/A</v>
      </c>
      <c r="I122" s="115" t="str">
        <f>IF(n_e=4, -pos_e.p3.y, "N/A")</f>
        <v>N/A</v>
      </c>
      <c r="J122" s="41" t="str">
        <f>IF(n_e=4,pos_W.z-d_e.p/2- pos_e.p4.y*TAN(ggam_W.o*PI()/180),"N/A")</f>
        <v>N/A</v>
      </c>
    </row>
    <row r="123" spans="2:31" ht="14.25" outlineLevel="1">
      <c r="B123" s="48" t="s">
        <v>354</v>
      </c>
      <c r="C123" s="90">
        <f>H123</f>
        <v>14.889216158654019</v>
      </c>
      <c r="D123" s="90">
        <f t="shared" si="1"/>
        <v>3.6173825159651627</v>
      </c>
      <c r="E123" s="90">
        <f>J123</f>
        <v>-4.125</v>
      </c>
      <c r="F123" s="56" t="s">
        <v>417</v>
      </c>
      <c r="G123" s="48" t="s">
        <v>354</v>
      </c>
      <c r="H123" s="42">
        <f>pos_W.x+ S_W/b_W</f>
        <v>14.889216158654019</v>
      </c>
      <c r="I123" s="42">
        <f>M123*b_W/2 - w_LG/2</f>
        <v>3.6173825159651627</v>
      </c>
      <c r="J123" s="42">
        <f>-(25/24)*d_F</f>
        <v>-4.125</v>
      </c>
      <c r="K123" s="45" t="s">
        <v>553</v>
      </c>
      <c r="L123" s="45" t="s">
        <v>554</v>
      </c>
      <c r="M123" s="128">
        <v>0.222</v>
      </c>
      <c r="N123" s="45" t="s">
        <v>315</v>
      </c>
    </row>
    <row r="124" spans="2:31" outlineLevel="1">
      <c r="B124" s="48" t="s">
        <v>356</v>
      </c>
      <c r="C124" s="90">
        <f>H124</f>
        <v>14.889216158654019</v>
      </c>
      <c r="D124" s="90">
        <f t="shared" si="1"/>
        <v>-3.9173825159651625</v>
      </c>
      <c r="E124" s="90">
        <f>J124</f>
        <v>-4.125</v>
      </c>
      <c r="F124" s="56" t="s">
        <v>417</v>
      </c>
      <c r="G124" s="48" t="s">
        <v>356</v>
      </c>
      <c r="H124" s="42">
        <f>pos_LG1.x</f>
        <v>14.889216158654019</v>
      </c>
      <c r="I124" s="42">
        <f>-M123*b_W/2 - w_LG/2</f>
        <v>-3.9173825159651625</v>
      </c>
      <c r="J124" s="42">
        <f>-(25/24)*d_F</f>
        <v>-4.125</v>
      </c>
    </row>
    <row r="125" spans="2:31" outlineLevel="1">
      <c r="B125" s="48" t="s">
        <v>355</v>
      </c>
      <c r="C125" s="90">
        <f t="shared" si="0"/>
        <v>3.96</v>
      </c>
      <c r="D125" s="90">
        <f t="shared" si="1"/>
        <v>-0.15</v>
      </c>
      <c r="E125" s="90">
        <f>J125</f>
        <v>-4.125</v>
      </c>
      <c r="F125" s="56" t="s">
        <v>417</v>
      </c>
      <c r="G125" s="48" t="s">
        <v>355</v>
      </c>
      <c r="H125" s="42">
        <f>d_F</f>
        <v>3.96</v>
      </c>
      <c r="I125" s="42">
        <f xml:space="preserve"> -w_LG/2</f>
        <v>-0.15</v>
      </c>
      <c r="J125" s="42">
        <f>-(25/24)*d_F</f>
        <v>-4.125</v>
      </c>
      <c r="K125" s="114"/>
    </row>
    <row r="126" spans="2:31" outlineLevel="1"/>
    <row r="128" spans="2:31">
      <c r="B128" s="114"/>
      <c r="AE128" s="114"/>
    </row>
    <row r="129" spans="31:35">
      <c r="AE129" s="114"/>
      <c r="AI129" s="114"/>
    </row>
    <row r="131" spans="31:35">
      <c r="AE131" s="114" t="s">
        <v>473</v>
      </c>
    </row>
  </sheetData>
  <mergeCells count="4">
    <mergeCell ref="B1:E1"/>
    <mergeCell ref="H10:K10"/>
    <mergeCell ref="C4:F4"/>
    <mergeCell ref="C6:F6"/>
  </mergeCells>
  <phoneticPr fontId="19" type="noConversion"/>
  <conditionalFormatting sqref="B29 B36 B61 B103">
    <cfRule type="containsText" dxfId="3" priority="3" stopIfTrue="1" operator="containsText" text="Do not">
      <formula>NOT(ISERROR(SEARCH("Do not",B29)))</formula>
    </cfRule>
  </conditionalFormatting>
  <dataValidations xWindow="534" yWindow="304" count="9">
    <dataValidation type="decimal" allowBlank="1" showInputMessage="1" showErrorMessage="1" promptTitle="Input range" prompt="Input a value only between [0 to +100]. For low wing, input a low value and input a high value for high wing." sqref="D58">
      <formula1>0</formula1>
      <formula2>100</formula2>
    </dataValidation>
    <dataValidation type="decimal" allowBlank="1" showInputMessage="1" showErrorMessage="1" sqref="D57">
      <formula1>0</formula1>
      <formula2>100</formula2>
    </dataValidation>
    <dataValidation type="list" allowBlank="1" showInputMessage="1" showErrorMessage="1" sqref="D46">
      <formula1>"Trapezoidal, Double-trapezoidal"</formula1>
    </dataValidation>
    <dataValidation type="list" allowBlank="1" showInputMessage="1" showErrorMessage="1" sqref="D26">
      <formula1>"Jet,Propeller"</formula1>
    </dataValidation>
    <dataValidation type="whole" allowBlank="1" showInputMessage="1" showErrorMessage="1" prompt="If your selection is between 1 to 4 engines, the standard engine positions are calculated. Please delete the validation on this cell if you desire number of engines different from this. In this case, you have to manually input the engine positions." sqref="D27:D28">
      <formula1>1</formula1>
      <formula2>4</formula2>
    </dataValidation>
    <dataValidation type="list" allowBlank="1" showInputMessage="1" showErrorMessage="1" promptTitle="Please note" prompt="Here, the dorsal fin is considered as an addition to the vertical tail. Hence, the user is advised to first design a good vertical tail and then proceed to define an appropriate dorsal fin for it." sqref="D88">
      <formula1>"Yes, No"</formula1>
    </dataValidation>
    <dataValidation type="whole" operator="equal" allowBlank="1" showInputMessage="1" showErrorMessage="1" sqref="I83">
      <formula1>84</formula1>
    </dataValidation>
    <dataValidation type="decimal" allowBlank="1" showInputMessage="1" showErrorMessage="1" sqref="I84">
      <formula1>-21.75</formula1>
      <formula2>-15</formula2>
    </dataValidation>
    <dataValidation type="decimal" allowBlank="1" showInputMessage="1" showErrorMessage="1" promptTitle="Valid Input range" prompt="Input a value between 0 - 100%." sqref="D34">
      <formula1>0</formula1>
      <formula2>100</formula2>
    </dataValidation>
  </dataValidations>
  <hyperlinks>
    <hyperlink ref="H11" r:id="rId1" display="AirbusA320.vsp"/>
  </hyperlinks>
  <pageMargins left="0.7" right="0.7" top="0.75" bottom="0.75" header="0.3" footer="0.3"/>
  <pageSetup paperSize="9" orientation="portrait" verticalDpi="300" r:id="rId2"/>
  <ignoredErrors>
    <ignoredError sqref="I71" formula="1"/>
  </ignoredErrors>
  <drawing r:id="rId3"/>
  <legacyDrawing r:id="rId4"/>
</worksheet>
</file>

<file path=xl/worksheets/sheet3.xml><?xml version="1.0" encoding="utf-8"?>
<worksheet xmlns="http://schemas.openxmlformats.org/spreadsheetml/2006/main" xmlns:r="http://schemas.openxmlformats.org/officeDocument/2006/relationships">
  <sheetPr codeName="Sheet1">
    <outlinePr summaryBelow="0"/>
  </sheetPr>
  <dimension ref="A1:DD3609"/>
  <sheetViews>
    <sheetView workbookViewId="0">
      <selection activeCell="A3612" sqref="A3612"/>
    </sheetView>
  </sheetViews>
  <sheetFormatPr baseColWidth="10" defaultColWidth="11.42578125" defaultRowHeight="12.75" outlineLevelRow="7"/>
  <cols>
    <col min="1" max="1" width="33.140625" style="4" customWidth="1"/>
    <col min="2" max="2" width="19.42578125" style="6" customWidth="1"/>
    <col min="3" max="3" width="12.7109375" style="2" customWidth="1"/>
    <col min="4" max="4" width="44.85546875" style="2" customWidth="1"/>
    <col min="5" max="5" width="9.7109375" customWidth="1"/>
    <col min="6" max="6" width="26.42578125" customWidth="1"/>
    <col min="7" max="7" width="13.42578125" customWidth="1"/>
  </cols>
  <sheetData>
    <row r="1" spans="1:13" ht="21" thickBot="1">
      <c r="A1" s="120" t="s">
        <v>416</v>
      </c>
      <c r="B1" s="120"/>
      <c r="F1" s="170" t="s">
        <v>960</v>
      </c>
      <c r="G1" s="169">
        <f ca="1">COUNTIF(E:E,"No")</f>
        <v>0</v>
      </c>
      <c r="H1" s="6"/>
      <c r="K1" s="18"/>
    </row>
    <row r="2" spans="1:13">
      <c r="A2" s="3" t="s">
        <v>459</v>
      </c>
      <c r="B2" s="3"/>
      <c r="D2" s="3"/>
      <c r="F2" s="6"/>
      <c r="G2" s="6"/>
      <c r="H2" s="6"/>
      <c r="I2" s="6"/>
      <c r="J2" s="6"/>
      <c r="K2" s="18"/>
    </row>
    <row r="3" spans="1:13">
      <c r="A3" s="3"/>
      <c r="B3" s="3"/>
      <c r="C3" s="19" t="s">
        <v>484</v>
      </c>
      <c r="D3" s="3"/>
      <c r="E3" s="171" t="s">
        <v>961</v>
      </c>
      <c r="F3" s="6"/>
      <c r="G3" s="6"/>
      <c r="H3" s="6"/>
      <c r="I3" s="6"/>
      <c r="J3" s="6"/>
      <c r="K3" s="18"/>
    </row>
    <row r="4" spans="1:13" s="8" customFormat="1">
      <c r="A4" s="7" t="s">
        <v>488</v>
      </c>
      <c r="B4" s="122" t="s">
        <v>487</v>
      </c>
      <c r="C4" s="121" t="s">
        <v>485</v>
      </c>
      <c r="D4" s="121" t="s">
        <v>486</v>
      </c>
      <c r="E4" s="172" t="s">
        <v>962</v>
      </c>
      <c r="F4" s="109"/>
      <c r="G4" s="109"/>
    </row>
    <row r="5" spans="1:13">
      <c r="E5" s="173"/>
      <c r="F5" s="6"/>
      <c r="G5" s="6"/>
    </row>
    <row r="6" spans="1:13">
      <c r="A6" s="4" t="s">
        <v>139</v>
      </c>
      <c r="B6" s="96" t="s">
        <v>36</v>
      </c>
      <c r="D6" t="str">
        <f>"&lt;?" &amp; A6 &amp; "=" &amp; B6 &amp; "?&gt;"</f>
        <v>&lt;?xml version="1.0"?&gt;</v>
      </c>
      <c r="E6" s="174" t="str">
        <f>IF(D6=F6,"Yes","No")</f>
        <v>Yes</v>
      </c>
      <c r="F6" s="6" t="s">
        <v>587</v>
      </c>
      <c r="G6" s="6"/>
    </row>
    <row r="7" spans="1:13">
      <c r="A7" s="4" t="s">
        <v>37</v>
      </c>
      <c r="B7" s="97"/>
      <c r="D7" s="2" t="str">
        <f>"&lt;" &amp; A7 &amp; "&gt;"</f>
        <v>&lt;Vsp_Geometry&gt;</v>
      </c>
      <c r="E7" s="174" t="str">
        <f t="shared" ref="E7:E70" si="0">IF(D7=F7,"Yes","No")</f>
        <v>Yes</v>
      </c>
      <c r="F7" s="6" t="s">
        <v>588</v>
      </c>
      <c r="G7" s="6"/>
    </row>
    <row r="8" spans="1:13" outlineLevel="1">
      <c r="A8" s="4" t="s">
        <v>38</v>
      </c>
      <c r="B8" s="98">
        <v>3</v>
      </c>
      <c r="D8" s="1" t="str">
        <f>"&lt;" &amp; A8 &amp; "&gt;" &amp; TEXT(B8,0) &amp; "&lt;/" &amp; A8 &amp; "&gt;"</f>
        <v>&lt;Version&gt;3&lt;/Version&gt;</v>
      </c>
      <c r="E8" s="174" t="str">
        <f t="shared" si="0"/>
        <v>Yes</v>
      </c>
      <c r="F8" s="6" t="s">
        <v>589</v>
      </c>
      <c r="G8" s="6"/>
      <c r="K8" s="5"/>
    </row>
    <row r="9" spans="1:13" outlineLevel="1" collapsed="1">
      <c r="A9" s="4" t="s">
        <v>1</v>
      </c>
      <c r="B9" s="99" t="str">
        <f>Name_aircraft</f>
        <v>AirbusA320</v>
      </c>
      <c r="D9" s="1" t="str">
        <f>"&lt;" &amp; A9 &amp; "&gt;" &amp; TEXT(B9,0) &amp; "&lt;/" &amp; A9 &amp; "&gt;"</f>
        <v>&lt;Name&gt;AirbusA320&lt;/Name&gt;</v>
      </c>
      <c r="E9" s="174" t="str">
        <f t="shared" si="0"/>
        <v>Yes</v>
      </c>
      <c r="F9" s="6" t="s">
        <v>590</v>
      </c>
      <c r="G9" s="6"/>
    </row>
    <row r="10" spans="1:13" ht="12.75" hidden="1" customHeight="1" outlineLevel="2">
      <c r="A10" s="10" t="s">
        <v>145</v>
      </c>
      <c r="B10" s="100" t="s">
        <v>12</v>
      </c>
      <c r="D10" s="2" t="str">
        <f>"&lt;" &amp; A10 &amp; "&gt;" &amp;IF(B10="Yes",1,0) &amp;"&lt;/" &amp;A10&amp;"&gt;"</f>
        <v>&lt;CG_Rel_AC_Flag&gt;0&lt;/CG_Rel_AC_Flag&gt;</v>
      </c>
      <c r="E10" s="174" t="str">
        <f t="shared" si="0"/>
        <v>Yes</v>
      </c>
      <c r="F10" s="6" t="s">
        <v>591</v>
      </c>
      <c r="G10" s="6"/>
      <c r="M10" s="11"/>
    </row>
    <row r="11" spans="1:13" ht="12.75" hidden="1" customHeight="1" outlineLevel="2">
      <c r="A11" s="10" t="s">
        <v>146</v>
      </c>
      <c r="B11" s="101">
        <v>10</v>
      </c>
      <c r="D11" s="1" t="str">
        <f t="shared" ref="D11:D18" si="1">"&lt;" &amp; A11 &amp; "&gt;" &amp; TEXT(B11,"0.000000") &amp; "&lt;/" &amp; A11 &amp; "&gt;"</f>
        <v>&lt;CG_X&gt;10.000000&lt;/CG_X&gt;</v>
      </c>
      <c r="E11" s="174" t="str">
        <f t="shared" si="0"/>
        <v>Yes</v>
      </c>
      <c r="F11" s="6" t="s">
        <v>592</v>
      </c>
      <c r="G11" s="6"/>
      <c r="M11" s="11"/>
    </row>
    <row r="12" spans="1:13" ht="12.75" hidden="1" customHeight="1" outlineLevel="2">
      <c r="A12" s="10" t="s">
        <v>147</v>
      </c>
      <c r="B12" s="101">
        <v>0</v>
      </c>
      <c r="D12" s="1" t="str">
        <f t="shared" si="1"/>
        <v>&lt;CG_Y&gt;0.000000&lt;/CG_Y&gt;</v>
      </c>
      <c r="E12" s="174" t="str">
        <f t="shared" si="0"/>
        <v>Yes</v>
      </c>
      <c r="F12" s="6" t="s">
        <v>593</v>
      </c>
      <c r="G12" s="6"/>
      <c r="M12" s="11"/>
    </row>
    <row r="13" spans="1:13" ht="12.75" hidden="1" customHeight="1" outlineLevel="2">
      <c r="A13" s="10" t="s">
        <v>148</v>
      </c>
      <c r="B13" s="101">
        <v>0</v>
      </c>
      <c r="D13" s="1" t="str">
        <f t="shared" si="1"/>
        <v>&lt;CG_Z&gt;0.000000&lt;/CG_Z&gt;</v>
      </c>
      <c r="E13" s="174" t="str">
        <f t="shared" si="0"/>
        <v>Yes</v>
      </c>
      <c r="F13" s="6" t="s">
        <v>594</v>
      </c>
      <c r="G13" s="6"/>
      <c r="M13" s="11"/>
    </row>
    <row r="14" spans="1:13" ht="12.75" hidden="1" customHeight="1" outlineLevel="2">
      <c r="A14" s="10" t="s">
        <v>149</v>
      </c>
      <c r="B14" s="101">
        <v>0.5</v>
      </c>
      <c r="D14" s="1" t="str">
        <f t="shared" si="1"/>
        <v>&lt;CFD_Mesh_Base_Length&gt;0.500000&lt;/CFD_Mesh_Base_Length&gt;</v>
      </c>
      <c r="E14" s="174" t="str">
        <f t="shared" si="0"/>
        <v>Yes</v>
      </c>
      <c r="F14" s="6" t="s">
        <v>595</v>
      </c>
      <c r="G14" s="6"/>
      <c r="M14" s="11"/>
    </row>
    <row r="15" spans="1:13" ht="12.75" hidden="1" customHeight="1" outlineLevel="2">
      <c r="A15" s="10" t="s">
        <v>150</v>
      </c>
      <c r="B15" s="101">
        <v>0.1</v>
      </c>
      <c r="D15" s="1" t="str">
        <f t="shared" si="1"/>
        <v>&lt;CFD_Mesh_Min_Length&gt;0.100000&lt;/CFD_Mesh_Min_Length&gt;</v>
      </c>
      <c r="E15" s="174" t="str">
        <f t="shared" si="0"/>
        <v>Yes</v>
      </c>
      <c r="F15" s="6" t="s">
        <v>596</v>
      </c>
      <c r="G15" s="6"/>
      <c r="M15" s="11"/>
    </row>
    <row r="16" spans="1:13" ht="12.75" hidden="1" customHeight="1" outlineLevel="2">
      <c r="A16" s="10" t="s">
        <v>151</v>
      </c>
      <c r="B16" s="101">
        <v>5.0000000000000001E-3</v>
      </c>
      <c r="D16" s="1" t="str">
        <f t="shared" si="1"/>
        <v>&lt;CFD_Mesh_Max_Gap&gt;0.005000&lt;/CFD_Mesh_Max_Gap&gt;</v>
      </c>
      <c r="E16" s="174" t="str">
        <f t="shared" si="0"/>
        <v>Yes</v>
      </c>
      <c r="F16" s="6" t="s">
        <v>597</v>
      </c>
      <c r="G16" s="6"/>
      <c r="M16" s="11"/>
    </row>
    <row r="17" spans="1:13" ht="12.75" hidden="1" customHeight="1" outlineLevel="2">
      <c r="A17" s="10" t="s">
        <v>152</v>
      </c>
      <c r="B17" s="101">
        <v>16</v>
      </c>
      <c r="D17" s="1" t="str">
        <f t="shared" si="1"/>
        <v>&lt;CFD_Mesh_Num_Circle_Segments&gt;16.000000&lt;/CFD_Mesh_Num_Circle_Segments&gt;</v>
      </c>
      <c r="E17" s="174" t="str">
        <f t="shared" si="0"/>
        <v>Yes</v>
      </c>
      <c r="F17" s="6" t="s">
        <v>598</v>
      </c>
      <c r="G17" s="6"/>
      <c r="M17" s="11"/>
    </row>
    <row r="18" spans="1:13" ht="12.75" hidden="1" customHeight="1" outlineLevel="2">
      <c r="A18" s="10" t="s">
        <v>153</v>
      </c>
      <c r="B18" s="101">
        <v>1.3</v>
      </c>
      <c r="D18" s="1" t="str">
        <f t="shared" si="1"/>
        <v>&lt;CFD_Mesh_Growth_Ratio&gt;1.300000&lt;/CFD_Mesh_Growth_Ratio&gt;</v>
      </c>
      <c r="E18" s="174" t="str">
        <f t="shared" si="0"/>
        <v>Yes</v>
      </c>
      <c r="F18" s="6" t="s">
        <v>599</v>
      </c>
      <c r="G18" s="6"/>
      <c r="M18" s="11"/>
    </row>
    <row r="19" spans="1:13" ht="12.75" hidden="1" customHeight="1" outlineLevel="2">
      <c r="A19" s="10" t="s">
        <v>154</v>
      </c>
      <c r="B19" s="102">
        <v>0</v>
      </c>
      <c r="D19" s="1" t="str">
        <f>"&lt;" &amp; A19 &amp; "&gt;" &amp; TEXT(B19,0) &amp; "&lt;/" &amp; A19 &amp; "&gt;"</f>
        <v>&lt;CFD_Mesh_Rigorous_Limiting&gt;0&lt;/CFD_Mesh_Rigorous_Limiting&gt;</v>
      </c>
      <c r="E19" s="174" t="str">
        <f t="shared" si="0"/>
        <v>Yes</v>
      </c>
      <c r="F19" s="6" t="s">
        <v>600</v>
      </c>
      <c r="G19" s="6"/>
      <c r="M19" s="11"/>
    </row>
    <row r="20" spans="1:13" ht="12.75" hidden="1" customHeight="1" outlineLevel="2">
      <c r="A20" s="10" t="s">
        <v>155</v>
      </c>
      <c r="B20" s="101">
        <v>4</v>
      </c>
      <c r="D20" s="1" t="str">
        <f>"&lt;" &amp; A20 &amp; "&gt;" &amp; TEXT(B20,"0.000000") &amp; "&lt;/" &amp; A20 &amp; "&gt;"</f>
        <v>&lt;CFD_Far_Field_Scale_X&gt;4.000000&lt;/CFD_Far_Field_Scale_X&gt;</v>
      </c>
      <c r="E20" s="174" t="str">
        <f t="shared" si="0"/>
        <v>Yes</v>
      </c>
      <c r="F20" s="6" t="s">
        <v>601</v>
      </c>
      <c r="G20" s="6"/>
      <c r="M20" s="11"/>
    </row>
    <row r="21" spans="1:13" ht="12.75" hidden="1" customHeight="1" outlineLevel="2">
      <c r="A21" s="10" t="s">
        <v>156</v>
      </c>
      <c r="B21" s="101">
        <v>4</v>
      </c>
      <c r="D21" s="1" t="str">
        <f>"&lt;" &amp; A21 &amp; "&gt;" &amp; TEXT(B21,"0.000000") &amp; "&lt;/" &amp; A21 &amp; "&gt;"</f>
        <v>&lt;CFD_Far_Field_Scale_Y&gt;4.000000&lt;/CFD_Far_Field_Scale_Y&gt;</v>
      </c>
      <c r="E21" s="174" t="str">
        <f t="shared" si="0"/>
        <v>Yes</v>
      </c>
      <c r="F21" s="6" t="s">
        <v>602</v>
      </c>
      <c r="G21" s="6"/>
      <c r="M21" s="11"/>
    </row>
    <row r="22" spans="1:13" ht="12.75" hidden="1" customHeight="1" outlineLevel="2">
      <c r="A22" s="10" t="s">
        <v>157</v>
      </c>
      <c r="B22" s="101">
        <v>4</v>
      </c>
      <c r="D22" s="1" t="str">
        <f>"&lt;" &amp; A22 &amp; "&gt;" &amp; TEXT(B22,"0.000000") &amp; "&lt;/" &amp; A22 &amp; "&gt;"</f>
        <v>&lt;CFD_Far_Field_Scale_Z&gt;4.000000&lt;/CFD_Far_Field_Scale_Z&gt;</v>
      </c>
      <c r="E22" s="174" t="str">
        <f t="shared" si="0"/>
        <v>Yes</v>
      </c>
      <c r="F22" s="6" t="s">
        <v>603</v>
      </c>
      <c r="G22" s="6"/>
      <c r="M22" s="11"/>
    </row>
    <row r="23" spans="1:13" ht="12.75" hidden="1" customHeight="1" outlineLevel="2">
      <c r="A23" s="10" t="s">
        <v>158</v>
      </c>
      <c r="B23" s="100" t="s">
        <v>12</v>
      </c>
      <c r="D23" s="2" t="str">
        <f>"&lt;" &amp; A23 &amp; "&gt;" &amp;IF(B23="Yes",1,0) &amp;"&lt;/" &amp;A23&amp;"&gt;"</f>
        <v>&lt;CFD_Half_Mesh_Flag&gt;0&lt;/CFD_Half_Mesh_Flag&gt;</v>
      </c>
      <c r="E23" s="174" t="str">
        <f t="shared" si="0"/>
        <v>Yes</v>
      </c>
      <c r="F23" s="6" t="s">
        <v>604</v>
      </c>
      <c r="G23" s="6"/>
      <c r="H23" s="3"/>
      <c r="M23" s="11"/>
    </row>
    <row r="24" spans="1:13" ht="12.75" hidden="1" customHeight="1" outlineLevel="2">
      <c r="A24" s="10" t="s">
        <v>159</v>
      </c>
      <c r="B24" s="101">
        <v>0</v>
      </c>
      <c r="D24" s="1" t="str">
        <f>"&lt;" &amp; A24 &amp; "&gt;" &amp; TEXT(B24,"0.000000") &amp; "&lt;/" &amp; A24 &amp; "&gt;"</f>
        <v>&lt;CFD_Wake_Angle&gt;0.000000&lt;/CFD_Wake_Angle&gt;</v>
      </c>
      <c r="E24" s="174" t="str">
        <f t="shared" si="0"/>
        <v>Yes</v>
      </c>
      <c r="F24" s="6" t="s">
        <v>605</v>
      </c>
      <c r="G24" s="6"/>
      <c r="M24" s="11"/>
    </row>
    <row r="25" spans="1:13" ht="12.75" hidden="1" customHeight="1" outlineLevel="2">
      <c r="A25" s="10" t="s">
        <v>160</v>
      </c>
      <c r="B25" s="101">
        <v>2</v>
      </c>
      <c r="D25" s="1" t="str">
        <f>"&lt;" &amp; A25 &amp; "&gt;" &amp; TEXT(B25,"0.000000") &amp; "&lt;/" &amp; A25 &amp; "&gt;"</f>
        <v>&lt;CFD_Wake_Scale&gt;2.000000&lt;/CFD_Wake_Scale&gt;</v>
      </c>
      <c r="E25" s="174" t="str">
        <f t="shared" si="0"/>
        <v>Yes</v>
      </c>
      <c r="F25" s="6" t="s">
        <v>606</v>
      </c>
      <c r="G25" s="6"/>
      <c r="M25" s="11"/>
    </row>
    <row r="26" spans="1:13" ht="12.75" customHeight="1" outlineLevel="1" collapsed="1">
      <c r="A26" s="10" t="s">
        <v>161</v>
      </c>
      <c r="B26" s="100"/>
      <c r="D26" t="str">
        <f>"&lt;" &amp; A26 &amp; "&gt;"</f>
        <v>&lt;VirtWindow_List&gt;</v>
      </c>
      <c r="E26" s="174" t="str">
        <f t="shared" si="0"/>
        <v>Yes</v>
      </c>
      <c r="F26" s="6" t="s">
        <v>607</v>
      </c>
      <c r="G26" s="6"/>
      <c r="M26" s="11"/>
    </row>
    <row r="27" spans="1:13" ht="12.75" hidden="1" customHeight="1" outlineLevel="2" collapsed="1">
      <c r="A27" s="10" t="s">
        <v>162</v>
      </c>
      <c r="B27" s="100"/>
      <c r="D27" t="str">
        <f>"&lt;" &amp; A27 &amp; "&gt;"</f>
        <v>&lt;VirtWindow&gt;</v>
      </c>
      <c r="E27" s="174" t="str">
        <f t="shared" si="0"/>
        <v>Yes</v>
      </c>
      <c r="F27" s="6" t="s">
        <v>608</v>
      </c>
      <c r="G27" s="6"/>
      <c r="M27" s="11"/>
    </row>
    <row r="28" spans="1:13" ht="12.75" hidden="1" customHeight="1" outlineLevel="3">
      <c r="A28" s="10" t="s">
        <v>163</v>
      </c>
      <c r="B28" s="101">
        <v>1</v>
      </c>
      <c r="D28" s="1" t="str">
        <f>"&lt;" &amp; A28 &amp; "&gt;" &amp; TEXT(B28,"0.000000") &amp; "&lt;/" &amp; A28 &amp; "&gt;"</f>
        <v>&lt;Back_Img_Scale_W&gt;1.000000&lt;/Back_Img_Scale_W&gt;</v>
      </c>
      <c r="E28" s="174" t="str">
        <f t="shared" si="0"/>
        <v>Yes</v>
      </c>
      <c r="F28" s="6" t="s">
        <v>609</v>
      </c>
      <c r="G28" s="6"/>
      <c r="M28" s="11"/>
    </row>
    <row r="29" spans="1:13" ht="12.75" hidden="1" customHeight="1" outlineLevel="3">
      <c r="A29" s="10" t="s">
        <v>164</v>
      </c>
      <c r="B29" s="101">
        <v>1</v>
      </c>
      <c r="D29" s="1" t="str">
        <f>"&lt;" &amp; A29 &amp; "&gt;" &amp; TEXT(B29,"0.000000") &amp; "&lt;/" &amp; A29 &amp; "&gt;"</f>
        <v>&lt;Back_Img_Scale_H&gt;1.000000&lt;/Back_Img_Scale_H&gt;</v>
      </c>
      <c r="E29" s="174" t="str">
        <f t="shared" si="0"/>
        <v>Yes</v>
      </c>
      <c r="F29" s="6" t="s">
        <v>610</v>
      </c>
      <c r="G29" s="6"/>
      <c r="M29" s="11"/>
    </row>
    <row r="30" spans="1:13" ht="12.75" hidden="1" customHeight="1" outlineLevel="3">
      <c r="A30" s="10" t="s">
        <v>165</v>
      </c>
      <c r="B30" s="101">
        <v>0</v>
      </c>
      <c r="D30" s="1" t="str">
        <f>"&lt;" &amp; A30 &amp; "&gt;" &amp; TEXT(B30,"0.000000") &amp; "&lt;/" &amp; A30 &amp; "&gt;"</f>
        <v>&lt;Back_Img_Offset_X&gt;0.000000&lt;/Back_Img_Offset_X&gt;</v>
      </c>
      <c r="E30" s="174" t="str">
        <f t="shared" si="0"/>
        <v>Yes</v>
      </c>
      <c r="F30" s="6" t="s">
        <v>611</v>
      </c>
      <c r="G30" s="6"/>
      <c r="M30" s="11"/>
    </row>
    <row r="31" spans="1:13" ht="12.75" hidden="1" customHeight="1" outlineLevel="3">
      <c r="A31" s="10" t="s">
        <v>166</v>
      </c>
      <c r="B31" s="101">
        <v>0</v>
      </c>
      <c r="D31" s="1" t="str">
        <f>"&lt;" &amp; A31 &amp; "&gt;" &amp; TEXT(B31,"0.000000") &amp; "&lt;/" &amp; A31 &amp; "&gt;"</f>
        <v>&lt;Back_Img_Offset_Y&gt;0.000000&lt;/Back_Img_Offset_Y&gt;</v>
      </c>
      <c r="E31" s="174" t="str">
        <f t="shared" si="0"/>
        <v>Yes</v>
      </c>
      <c r="F31" s="6" t="s">
        <v>612</v>
      </c>
      <c r="G31" s="6"/>
      <c r="M31" s="11"/>
    </row>
    <row r="32" spans="1:13" ht="12.75" hidden="1" customHeight="1" outlineLevel="3" collapsed="1">
      <c r="A32" s="10" t="s">
        <v>167</v>
      </c>
      <c r="B32" s="100"/>
      <c r="D32" t="str">
        <f>"&lt;" &amp; A32 &amp; "&gt;"</f>
        <v>&lt;User_View_List&gt;</v>
      </c>
      <c r="E32" s="174" t="str">
        <f t="shared" si="0"/>
        <v>Yes</v>
      </c>
      <c r="F32" s="6" t="s">
        <v>613</v>
      </c>
      <c r="G32" s="6"/>
      <c r="M32" s="11"/>
    </row>
    <row r="33" spans="1:13" ht="12.75" hidden="1" customHeight="1" outlineLevel="4" collapsed="1">
      <c r="A33" s="10" t="s">
        <v>168</v>
      </c>
      <c r="B33" s="100"/>
      <c r="D33" t="str">
        <f>"&lt;" &amp; A33 &amp; "&gt;"</f>
        <v>&lt;User_View&gt;</v>
      </c>
      <c r="E33" s="174" t="str">
        <f t="shared" si="0"/>
        <v>Yes</v>
      </c>
      <c r="F33" s="6" t="s">
        <v>614</v>
      </c>
      <c r="G33" s="6"/>
      <c r="M33" s="11"/>
    </row>
    <row r="34" spans="1:13" ht="12.75" hidden="1" customHeight="1" outlineLevel="5">
      <c r="A34" s="10" t="s">
        <v>169</v>
      </c>
      <c r="B34" s="100" t="s">
        <v>12</v>
      </c>
      <c r="D34" s="2" t="str">
        <f>"&lt;" &amp; A34 &amp; "&gt;" &amp;IF(B34="Yes",1,0) &amp;"&lt;/" &amp;A34&amp;"&gt;"</f>
        <v>&lt;Saved_User_View_Flag&gt;0&lt;/Saved_User_View_Flag&gt;</v>
      </c>
      <c r="E34" s="174" t="str">
        <f t="shared" si="0"/>
        <v>Yes</v>
      </c>
      <c r="F34" s="6" t="s">
        <v>615</v>
      </c>
      <c r="G34" s="6"/>
      <c r="M34" s="11"/>
    </row>
    <row r="35" spans="1:13" ht="12.75" hidden="1" customHeight="1" outlineLevel="5">
      <c r="A35" s="10" t="s">
        <v>170</v>
      </c>
      <c r="B35" s="100"/>
      <c r="D35" t="str">
        <f>"&lt;" &amp; A35 &amp; "&gt;"</f>
        <v>&lt;/User_View&gt;</v>
      </c>
      <c r="E35" s="174" t="str">
        <f t="shared" si="0"/>
        <v>Yes</v>
      </c>
      <c r="F35" s="6" t="s">
        <v>616</v>
      </c>
      <c r="G35" s="6"/>
      <c r="M35" s="11"/>
    </row>
    <row r="36" spans="1:13" ht="12.75" hidden="1" customHeight="1" outlineLevel="4" collapsed="1">
      <c r="A36" s="10" t="s">
        <v>168</v>
      </c>
      <c r="B36" s="100"/>
      <c r="D36" t="str">
        <f>"&lt;" &amp; A36 &amp; "&gt;"</f>
        <v>&lt;User_View&gt;</v>
      </c>
      <c r="E36" s="174" t="str">
        <f t="shared" si="0"/>
        <v>Yes</v>
      </c>
      <c r="F36" s="6" t="s">
        <v>614</v>
      </c>
      <c r="G36" s="6"/>
      <c r="M36" s="11"/>
    </row>
    <row r="37" spans="1:13" ht="12.75" hidden="1" customHeight="1" outlineLevel="5">
      <c r="A37" s="10" t="s">
        <v>169</v>
      </c>
      <c r="B37" s="100" t="s">
        <v>12</v>
      </c>
      <c r="D37" s="2" t="str">
        <f>"&lt;" &amp; A37 &amp; "&gt;" &amp;IF(B37="Yes",1,0) &amp;"&lt;/" &amp;A37&amp;"&gt;"</f>
        <v>&lt;Saved_User_View_Flag&gt;0&lt;/Saved_User_View_Flag&gt;</v>
      </c>
      <c r="E37" s="174" t="str">
        <f t="shared" si="0"/>
        <v>Yes</v>
      </c>
      <c r="F37" s="6" t="s">
        <v>615</v>
      </c>
      <c r="G37" s="6"/>
      <c r="M37" s="11"/>
    </row>
    <row r="38" spans="1:13" ht="12.75" hidden="1" customHeight="1" outlineLevel="5">
      <c r="A38" s="10" t="s">
        <v>170</v>
      </c>
      <c r="B38" s="100"/>
      <c r="D38" t="str">
        <f>"&lt;" &amp; A38 &amp; "&gt;"</f>
        <v>&lt;/User_View&gt;</v>
      </c>
      <c r="E38" s="174" t="str">
        <f t="shared" si="0"/>
        <v>Yes</v>
      </c>
      <c r="F38" s="6" t="s">
        <v>616</v>
      </c>
      <c r="G38" s="6"/>
      <c r="M38" s="11"/>
    </row>
    <row r="39" spans="1:13" ht="12.75" hidden="1" customHeight="1" outlineLevel="4" collapsed="1">
      <c r="A39" s="10" t="s">
        <v>168</v>
      </c>
      <c r="B39" s="100"/>
      <c r="D39" t="str">
        <f>"&lt;" &amp; A39 &amp; "&gt;"</f>
        <v>&lt;User_View&gt;</v>
      </c>
      <c r="E39" s="174" t="str">
        <f t="shared" si="0"/>
        <v>Yes</v>
      </c>
      <c r="F39" s="6" t="s">
        <v>614</v>
      </c>
      <c r="G39" s="6"/>
      <c r="M39" s="11"/>
    </row>
    <row r="40" spans="1:13" ht="12.75" hidden="1" customHeight="1" outlineLevel="5">
      <c r="A40" s="10" t="s">
        <v>169</v>
      </c>
      <c r="B40" s="100" t="s">
        <v>12</v>
      </c>
      <c r="D40" s="2" t="str">
        <f>"&lt;" &amp; A40 &amp; "&gt;" &amp;IF(B40="Yes",1,0) &amp;"&lt;/" &amp;A40&amp;"&gt;"</f>
        <v>&lt;Saved_User_View_Flag&gt;0&lt;/Saved_User_View_Flag&gt;</v>
      </c>
      <c r="E40" s="174" t="str">
        <f t="shared" si="0"/>
        <v>Yes</v>
      </c>
      <c r="F40" s="6" t="s">
        <v>615</v>
      </c>
      <c r="G40" s="6"/>
      <c r="M40" s="11"/>
    </row>
    <row r="41" spans="1:13" ht="12.75" hidden="1" customHeight="1" outlineLevel="5">
      <c r="A41" s="10" t="s">
        <v>170</v>
      </c>
      <c r="B41" s="100"/>
      <c r="D41" t="str">
        <f>"&lt;" &amp; A41 &amp; "&gt;"</f>
        <v>&lt;/User_View&gt;</v>
      </c>
      <c r="E41" s="174" t="str">
        <f t="shared" si="0"/>
        <v>Yes</v>
      </c>
      <c r="F41" s="6" t="s">
        <v>616</v>
      </c>
      <c r="G41" s="6"/>
      <c r="M41" s="11"/>
    </row>
    <row r="42" spans="1:13" ht="12.75" hidden="1" customHeight="1" outlineLevel="4" collapsed="1">
      <c r="A42" s="10" t="s">
        <v>168</v>
      </c>
      <c r="B42" s="100"/>
      <c r="D42" t="str">
        <f>"&lt;" &amp; A42 &amp; "&gt;"</f>
        <v>&lt;User_View&gt;</v>
      </c>
      <c r="E42" s="174" t="str">
        <f t="shared" si="0"/>
        <v>Yes</v>
      </c>
      <c r="F42" s="6" t="s">
        <v>614</v>
      </c>
      <c r="G42" s="6"/>
      <c r="M42" s="11"/>
    </row>
    <row r="43" spans="1:13" ht="12.75" hidden="1" customHeight="1" outlineLevel="5">
      <c r="A43" s="10" t="s">
        <v>169</v>
      </c>
      <c r="B43" s="100" t="s">
        <v>12</v>
      </c>
      <c r="D43" s="2" t="str">
        <f>"&lt;" &amp; A43 &amp; "&gt;" &amp;IF(B43="Yes",1,0) &amp;"&lt;/" &amp;A43&amp;"&gt;"</f>
        <v>&lt;Saved_User_View_Flag&gt;0&lt;/Saved_User_View_Flag&gt;</v>
      </c>
      <c r="E43" s="174" t="str">
        <f t="shared" si="0"/>
        <v>Yes</v>
      </c>
      <c r="F43" s="6" t="s">
        <v>615</v>
      </c>
      <c r="G43" s="6"/>
      <c r="M43" s="11"/>
    </row>
    <row r="44" spans="1:13" ht="12.75" hidden="1" customHeight="1" outlineLevel="5">
      <c r="A44" s="10" t="s">
        <v>170</v>
      </c>
      <c r="B44" s="100"/>
      <c r="D44" t="str">
        <f>"&lt;" &amp; A44 &amp; "&gt;"</f>
        <v>&lt;/User_View&gt;</v>
      </c>
      <c r="E44" s="174" t="str">
        <f t="shared" si="0"/>
        <v>Yes</v>
      </c>
      <c r="F44" s="6" t="s">
        <v>616</v>
      </c>
      <c r="G44" s="6"/>
      <c r="M44" s="11"/>
    </row>
    <row r="45" spans="1:13" ht="12.75" hidden="1" customHeight="1" outlineLevel="4">
      <c r="A45" s="10" t="s">
        <v>171</v>
      </c>
      <c r="B45" s="100"/>
      <c r="D45" t="str">
        <f>"&lt;" &amp; A45 &amp; "&gt;"</f>
        <v>&lt;/User_View_List&gt;</v>
      </c>
      <c r="E45" s="174" t="str">
        <f t="shared" si="0"/>
        <v>Yes</v>
      </c>
      <c r="F45" s="6" t="s">
        <v>617</v>
      </c>
      <c r="G45" s="6"/>
      <c r="M45" s="11"/>
    </row>
    <row r="46" spans="1:13" ht="12.75" hidden="1" customHeight="1" outlineLevel="3">
      <c r="A46" s="10" t="s">
        <v>172</v>
      </c>
      <c r="B46" s="100"/>
      <c r="D46" t="str">
        <f>"&lt;" &amp; A46 &amp; "&gt;"</f>
        <v>&lt;/VirtWindow&gt;</v>
      </c>
      <c r="E46" s="174" t="str">
        <f t="shared" si="0"/>
        <v>Yes</v>
      </c>
      <c r="F46" s="6" t="s">
        <v>618</v>
      </c>
      <c r="G46" s="6"/>
      <c r="M46" s="11"/>
    </row>
    <row r="47" spans="1:13" ht="12.75" hidden="1" customHeight="1" outlineLevel="2" collapsed="1">
      <c r="A47" s="10" t="s">
        <v>162</v>
      </c>
      <c r="B47" s="100"/>
      <c r="D47" t="str">
        <f>"&lt;" &amp; A47 &amp; "&gt;"</f>
        <v>&lt;VirtWindow&gt;</v>
      </c>
      <c r="E47" s="174" t="str">
        <f t="shared" si="0"/>
        <v>Yes</v>
      </c>
      <c r="F47" s="6" t="s">
        <v>608</v>
      </c>
      <c r="G47" s="6"/>
      <c r="M47" s="11"/>
    </row>
    <row r="48" spans="1:13" ht="12.75" hidden="1" customHeight="1" outlineLevel="3">
      <c r="A48" s="10" t="s">
        <v>163</v>
      </c>
      <c r="B48" s="101">
        <v>1</v>
      </c>
      <c r="D48" s="1" t="str">
        <f>"&lt;" &amp; A48 &amp; "&gt;" &amp; TEXT(B48,"0.000000") &amp; "&lt;/" &amp; A48 &amp; "&gt;"</f>
        <v>&lt;Back_Img_Scale_W&gt;1.000000&lt;/Back_Img_Scale_W&gt;</v>
      </c>
      <c r="E48" s="174" t="str">
        <f t="shared" si="0"/>
        <v>Yes</v>
      </c>
      <c r="F48" s="6" t="s">
        <v>609</v>
      </c>
      <c r="G48" s="6"/>
      <c r="M48" s="11"/>
    </row>
    <row r="49" spans="1:13" ht="12.75" hidden="1" customHeight="1" outlineLevel="3">
      <c r="A49" s="10" t="s">
        <v>164</v>
      </c>
      <c r="B49" s="101">
        <v>1</v>
      </c>
      <c r="D49" s="1" t="str">
        <f>"&lt;" &amp; A49 &amp; "&gt;" &amp; TEXT(B49,"0.000000") &amp; "&lt;/" &amp; A49 &amp; "&gt;"</f>
        <v>&lt;Back_Img_Scale_H&gt;1.000000&lt;/Back_Img_Scale_H&gt;</v>
      </c>
      <c r="E49" s="174" t="str">
        <f t="shared" si="0"/>
        <v>Yes</v>
      </c>
      <c r="F49" s="6" t="s">
        <v>610</v>
      </c>
      <c r="G49" s="6"/>
      <c r="M49" s="11"/>
    </row>
    <row r="50" spans="1:13" ht="12.75" hidden="1" customHeight="1" outlineLevel="3">
      <c r="A50" s="10" t="s">
        <v>165</v>
      </c>
      <c r="B50" s="101">
        <v>0</v>
      </c>
      <c r="D50" s="1" t="str">
        <f>"&lt;" &amp; A50 &amp; "&gt;" &amp; TEXT(B50,"0.000000") &amp; "&lt;/" &amp; A50 &amp; "&gt;"</f>
        <v>&lt;Back_Img_Offset_X&gt;0.000000&lt;/Back_Img_Offset_X&gt;</v>
      </c>
      <c r="E50" s="174" t="str">
        <f t="shared" si="0"/>
        <v>Yes</v>
      </c>
      <c r="F50" s="6" t="s">
        <v>611</v>
      </c>
      <c r="G50" s="6"/>
      <c r="M50" s="11"/>
    </row>
    <row r="51" spans="1:13" ht="12.75" hidden="1" customHeight="1" outlineLevel="3">
      <c r="A51" s="10" t="s">
        <v>166</v>
      </c>
      <c r="B51" s="101">
        <v>0</v>
      </c>
      <c r="D51" s="1" t="str">
        <f>"&lt;" &amp; A51 &amp; "&gt;" &amp; TEXT(B51,"0.000000") &amp; "&lt;/" &amp; A51 &amp; "&gt;"</f>
        <v>&lt;Back_Img_Offset_Y&gt;0.000000&lt;/Back_Img_Offset_Y&gt;</v>
      </c>
      <c r="E51" s="174" t="str">
        <f t="shared" si="0"/>
        <v>Yes</v>
      </c>
      <c r="F51" s="6" t="s">
        <v>612</v>
      </c>
      <c r="G51" s="6"/>
      <c r="M51" s="11"/>
    </row>
    <row r="52" spans="1:13" ht="12.75" hidden="1" customHeight="1" outlineLevel="3" collapsed="1">
      <c r="A52" s="10" t="s">
        <v>167</v>
      </c>
      <c r="B52" s="100"/>
      <c r="D52" t="str">
        <f>"&lt;" &amp; A52 &amp; "&gt;"</f>
        <v>&lt;User_View_List&gt;</v>
      </c>
      <c r="E52" s="174" t="str">
        <f t="shared" si="0"/>
        <v>Yes</v>
      </c>
      <c r="F52" s="6" t="s">
        <v>613</v>
      </c>
      <c r="G52" s="6"/>
      <c r="M52" s="11"/>
    </row>
    <row r="53" spans="1:13" ht="12.75" hidden="1" customHeight="1" outlineLevel="4" collapsed="1">
      <c r="A53" s="10" t="s">
        <v>168</v>
      </c>
      <c r="B53" s="100"/>
      <c r="D53" t="str">
        <f>"&lt;" &amp; A53 &amp; "&gt;"</f>
        <v>&lt;User_View&gt;</v>
      </c>
      <c r="E53" s="174" t="str">
        <f t="shared" si="0"/>
        <v>Yes</v>
      </c>
      <c r="F53" s="6" t="s">
        <v>614</v>
      </c>
      <c r="G53" s="6"/>
      <c r="M53" s="11"/>
    </row>
    <row r="54" spans="1:13" ht="12.75" hidden="1" customHeight="1" outlineLevel="5">
      <c r="A54" s="10" t="s">
        <v>169</v>
      </c>
      <c r="B54" s="100" t="s">
        <v>12</v>
      </c>
      <c r="D54" s="2" t="str">
        <f>"&lt;" &amp; A54 &amp; "&gt;" &amp;IF(B54="Yes",1,0) &amp;"&lt;/" &amp;A54&amp;"&gt;"</f>
        <v>&lt;Saved_User_View_Flag&gt;0&lt;/Saved_User_View_Flag&gt;</v>
      </c>
      <c r="E54" s="174" t="str">
        <f t="shared" si="0"/>
        <v>Yes</v>
      </c>
      <c r="F54" s="6" t="s">
        <v>615</v>
      </c>
      <c r="G54" s="6"/>
      <c r="M54" s="11"/>
    </row>
    <row r="55" spans="1:13" ht="12.75" hidden="1" customHeight="1" outlineLevel="5">
      <c r="A55" s="10" t="s">
        <v>170</v>
      </c>
      <c r="B55" s="100"/>
      <c r="D55" t="str">
        <f>"&lt;" &amp; A55 &amp; "&gt;"</f>
        <v>&lt;/User_View&gt;</v>
      </c>
      <c r="E55" s="174" t="str">
        <f t="shared" si="0"/>
        <v>Yes</v>
      </c>
      <c r="F55" s="6" t="s">
        <v>616</v>
      </c>
      <c r="G55" s="6"/>
      <c r="M55" s="11"/>
    </row>
    <row r="56" spans="1:13" ht="12.75" hidden="1" customHeight="1" outlineLevel="4" collapsed="1">
      <c r="A56" s="10" t="s">
        <v>168</v>
      </c>
      <c r="B56" s="100"/>
      <c r="D56" t="str">
        <f>"&lt;" &amp; A56 &amp; "&gt;"</f>
        <v>&lt;User_View&gt;</v>
      </c>
      <c r="E56" s="174" t="str">
        <f t="shared" si="0"/>
        <v>Yes</v>
      </c>
      <c r="F56" s="6" t="s">
        <v>614</v>
      </c>
      <c r="G56" s="6"/>
      <c r="M56" s="11"/>
    </row>
    <row r="57" spans="1:13" ht="12.75" hidden="1" customHeight="1" outlineLevel="5">
      <c r="A57" s="10" t="s">
        <v>169</v>
      </c>
      <c r="B57" s="100" t="s">
        <v>12</v>
      </c>
      <c r="D57" s="2" t="str">
        <f>"&lt;" &amp; A57 &amp; "&gt;" &amp;IF(B57="Yes",1,0) &amp;"&lt;/" &amp;A57&amp;"&gt;"</f>
        <v>&lt;Saved_User_View_Flag&gt;0&lt;/Saved_User_View_Flag&gt;</v>
      </c>
      <c r="E57" s="174" t="str">
        <f t="shared" si="0"/>
        <v>Yes</v>
      </c>
      <c r="F57" s="6" t="s">
        <v>615</v>
      </c>
      <c r="G57" s="6"/>
      <c r="M57" s="11"/>
    </row>
    <row r="58" spans="1:13" ht="12.75" hidden="1" customHeight="1" outlineLevel="5">
      <c r="A58" s="10" t="s">
        <v>170</v>
      </c>
      <c r="B58" s="100"/>
      <c r="D58" t="str">
        <f>"&lt;" &amp; A58 &amp; "&gt;"</f>
        <v>&lt;/User_View&gt;</v>
      </c>
      <c r="E58" s="174" t="str">
        <f t="shared" si="0"/>
        <v>Yes</v>
      </c>
      <c r="F58" s="6" t="s">
        <v>616</v>
      </c>
      <c r="G58" s="6"/>
      <c r="M58" s="11"/>
    </row>
    <row r="59" spans="1:13" ht="12.75" hidden="1" customHeight="1" outlineLevel="4" collapsed="1">
      <c r="A59" s="10" t="s">
        <v>168</v>
      </c>
      <c r="B59" s="100"/>
      <c r="D59" t="str">
        <f>"&lt;" &amp; A59 &amp; "&gt;"</f>
        <v>&lt;User_View&gt;</v>
      </c>
      <c r="E59" s="174" t="str">
        <f t="shared" si="0"/>
        <v>Yes</v>
      </c>
      <c r="F59" s="6" t="s">
        <v>614</v>
      </c>
      <c r="G59" s="6"/>
      <c r="M59" s="11"/>
    </row>
    <row r="60" spans="1:13" ht="12.75" hidden="1" customHeight="1" outlineLevel="5">
      <c r="A60" s="10" t="s">
        <v>169</v>
      </c>
      <c r="B60" s="100" t="s">
        <v>12</v>
      </c>
      <c r="D60" s="2" t="str">
        <f>"&lt;" &amp; A60 &amp; "&gt;" &amp;IF(B60="Yes",1,0) &amp;"&lt;/" &amp;A60&amp;"&gt;"</f>
        <v>&lt;Saved_User_View_Flag&gt;0&lt;/Saved_User_View_Flag&gt;</v>
      </c>
      <c r="E60" s="174" t="str">
        <f t="shared" si="0"/>
        <v>Yes</v>
      </c>
      <c r="F60" s="6" t="s">
        <v>615</v>
      </c>
      <c r="G60" s="6"/>
      <c r="M60" s="11"/>
    </row>
    <row r="61" spans="1:13" ht="12.75" hidden="1" customHeight="1" outlineLevel="5">
      <c r="A61" s="10" t="s">
        <v>170</v>
      </c>
      <c r="B61" s="100"/>
      <c r="D61" t="str">
        <f>"&lt;" &amp; A61 &amp; "&gt;"</f>
        <v>&lt;/User_View&gt;</v>
      </c>
      <c r="E61" s="174" t="str">
        <f t="shared" si="0"/>
        <v>Yes</v>
      </c>
      <c r="F61" s="6" t="s">
        <v>616</v>
      </c>
      <c r="G61" s="6"/>
      <c r="M61" s="11"/>
    </row>
    <row r="62" spans="1:13" ht="12.75" hidden="1" customHeight="1" outlineLevel="4" collapsed="1">
      <c r="A62" s="10" t="s">
        <v>168</v>
      </c>
      <c r="B62" s="100"/>
      <c r="D62" t="str">
        <f>"&lt;" &amp; A62 &amp; "&gt;"</f>
        <v>&lt;User_View&gt;</v>
      </c>
      <c r="E62" s="174" t="str">
        <f t="shared" si="0"/>
        <v>Yes</v>
      </c>
      <c r="F62" s="6" t="s">
        <v>614</v>
      </c>
      <c r="G62" s="6"/>
      <c r="M62" s="11"/>
    </row>
    <row r="63" spans="1:13" ht="12.75" hidden="1" customHeight="1" outlineLevel="5">
      <c r="A63" s="10" t="s">
        <v>169</v>
      </c>
      <c r="B63" s="100" t="s">
        <v>12</v>
      </c>
      <c r="D63" s="2" t="str">
        <f>"&lt;" &amp; A63 &amp; "&gt;" &amp;IF(B63="Yes",1,0) &amp;"&lt;/" &amp;A63&amp;"&gt;"</f>
        <v>&lt;Saved_User_View_Flag&gt;0&lt;/Saved_User_View_Flag&gt;</v>
      </c>
      <c r="E63" s="174" t="str">
        <f t="shared" si="0"/>
        <v>Yes</v>
      </c>
      <c r="F63" s="6" t="s">
        <v>615</v>
      </c>
      <c r="G63" s="6"/>
      <c r="M63" s="11"/>
    </row>
    <row r="64" spans="1:13" ht="12.75" hidden="1" customHeight="1" outlineLevel="5">
      <c r="A64" s="10" t="s">
        <v>170</v>
      </c>
      <c r="B64" s="100"/>
      <c r="D64" t="str">
        <f>"&lt;" &amp; A64 &amp; "&gt;"</f>
        <v>&lt;/User_View&gt;</v>
      </c>
      <c r="E64" s="174" t="str">
        <f t="shared" si="0"/>
        <v>Yes</v>
      </c>
      <c r="F64" s="6" t="s">
        <v>616</v>
      </c>
      <c r="G64" s="6"/>
      <c r="M64" s="11"/>
    </row>
    <row r="65" spans="1:13" ht="12.75" hidden="1" customHeight="1" outlineLevel="4">
      <c r="A65" s="10" t="s">
        <v>171</v>
      </c>
      <c r="B65" s="100"/>
      <c r="D65" t="str">
        <f>"&lt;" &amp; A65 &amp; "&gt;"</f>
        <v>&lt;/User_View_List&gt;</v>
      </c>
      <c r="E65" s="174" t="str">
        <f t="shared" si="0"/>
        <v>Yes</v>
      </c>
      <c r="F65" s="6" t="s">
        <v>617</v>
      </c>
      <c r="G65" s="6"/>
      <c r="M65" s="11"/>
    </row>
    <row r="66" spans="1:13" ht="12.75" hidden="1" customHeight="1" outlineLevel="3">
      <c r="A66" s="10" t="s">
        <v>172</v>
      </c>
      <c r="B66" s="100"/>
      <c r="D66" t="str">
        <f>"&lt;" &amp; A66 &amp; "&gt;"</f>
        <v>&lt;/VirtWindow&gt;</v>
      </c>
      <c r="E66" s="174" t="str">
        <f t="shared" si="0"/>
        <v>Yes</v>
      </c>
      <c r="F66" s="6" t="s">
        <v>618</v>
      </c>
      <c r="G66" s="6"/>
      <c r="M66" s="11"/>
    </row>
    <row r="67" spans="1:13" ht="12.75" hidden="1" customHeight="1" outlineLevel="2" collapsed="1">
      <c r="A67" s="10" t="s">
        <v>162</v>
      </c>
      <c r="B67" s="100"/>
      <c r="D67" t="str">
        <f>"&lt;" &amp; A67 &amp; "&gt;"</f>
        <v>&lt;VirtWindow&gt;</v>
      </c>
      <c r="E67" s="174" t="str">
        <f t="shared" si="0"/>
        <v>Yes</v>
      </c>
      <c r="F67" s="6" t="s">
        <v>608</v>
      </c>
      <c r="G67" s="6"/>
      <c r="M67" s="11"/>
    </row>
    <row r="68" spans="1:13" ht="12.75" hidden="1" customHeight="1" outlineLevel="3">
      <c r="A68" s="10" t="s">
        <v>163</v>
      </c>
      <c r="B68" s="101">
        <v>1</v>
      </c>
      <c r="D68" s="1" t="str">
        <f>"&lt;" &amp; A68 &amp; "&gt;" &amp; TEXT(B68,"0.000000") &amp; "&lt;/" &amp; A68 &amp; "&gt;"</f>
        <v>&lt;Back_Img_Scale_W&gt;1.000000&lt;/Back_Img_Scale_W&gt;</v>
      </c>
      <c r="E68" s="174" t="str">
        <f t="shared" si="0"/>
        <v>Yes</v>
      </c>
      <c r="F68" s="6" t="s">
        <v>609</v>
      </c>
      <c r="G68" s="6"/>
      <c r="M68" s="11"/>
    </row>
    <row r="69" spans="1:13" ht="12.75" hidden="1" customHeight="1" outlineLevel="3">
      <c r="A69" s="10" t="s">
        <v>164</v>
      </c>
      <c r="B69" s="101">
        <v>1</v>
      </c>
      <c r="D69" s="1" t="str">
        <f>"&lt;" &amp; A69 &amp; "&gt;" &amp; TEXT(B69,"0.000000") &amp; "&lt;/" &amp; A69 &amp; "&gt;"</f>
        <v>&lt;Back_Img_Scale_H&gt;1.000000&lt;/Back_Img_Scale_H&gt;</v>
      </c>
      <c r="E69" s="174" t="str">
        <f t="shared" si="0"/>
        <v>Yes</v>
      </c>
      <c r="F69" s="6" t="s">
        <v>610</v>
      </c>
      <c r="G69" s="6"/>
      <c r="M69" s="11"/>
    </row>
    <row r="70" spans="1:13" ht="12.75" hidden="1" customHeight="1" outlineLevel="3">
      <c r="A70" s="10" t="s">
        <v>165</v>
      </c>
      <c r="B70" s="101">
        <v>0</v>
      </c>
      <c r="D70" s="1" t="str">
        <f>"&lt;" &amp; A70 &amp; "&gt;" &amp; TEXT(B70,"0.000000") &amp; "&lt;/" &amp; A70 &amp; "&gt;"</f>
        <v>&lt;Back_Img_Offset_X&gt;0.000000&lt;/Back_Img_Offset_X&gt;</v>
      </c>
      <c r="E70" s="174" t="str">
        <f t="shared" si="0"/>
        <v>Yes</v>
      </c>
      <c r="F70" s="6" t="s">
        <v>611</v>
      </c>
      <c r="G70" s="6"/>
      <c r="M70" s="11"/>
    </row>
    <row r="71" spans="1:13" ht="12.75" hidden="1" customHeight="1" outlineLevel="3">
      <c r="A71" s="10" t="s">
        <v>166</v>
      </c>
      <c r="B71" s="101">
        <v>0</v>
      </c>
      <c r="D71" s="1" t="str">
        <f>"&lt;" &amp; A71 &amp; "&gt;" &amp; TEXT(B71,"0.000000") &amp; "&lt;/" &amp; A71 &amp; "&gt;"</f>
        <v>&lt;Back_Img_Offset_Y&gt;0.000000&lt;/Back_Img_Offset_Y&gt;</v>
      </c>
      <c r="E71" s="174" t="str">
        <f t="shared" ref="E71:E134" si="2">IF(D71=F71,"Yes","No")</f>
        <v>Yes</v>
      </c>
      <c r="F71" s="6" t="s">
        <v>612</v>
      </c>
      <c r="G71" s="6"/>
      <c r="M71" s="11"/>
    </row>
    <row r="72" spans="1:13" ht="12.75" hidden="1" customHeight="1" outlineLevel="3" collapsed="1">
      <c r="A72" s="10" t="s">
        <v>167</v>
      </c>
      <c r="B72" s="100"/>
      <c r="D72" t="str">
        <f>"&lt;" &amp; A72 &amp; "&gt;"</f>
        <v>&lt;User_View_List&gt;</v>
      </c>
      <c r="E72" s="174" t="str">
        <f t="shared" si="2"/>
        <v>Yes</v>
      </c>
      <c r="F72" s="6" t="s">
        <v>613</v>
      </c>
      <c r="G72" s="6"/>
      <c r="M72" s="8"/>
    </row>
    <row r="73" spans="1:13" ht="12.75" hidden="1" customHeight="1" outlineLevel="4" collapsed="1">
      <c r="A73" s="10" t="s">
        <v>168</v>
      </c>
      <c r="B73" s="100"/>
      <c r="D73" t="str">
        <f>"&lt;" &amp; A73 &amp; "&gt;"</f>
        <v>&lt;User_View&gt;</v>
      </c>
      <c r="E73" s="174" t="str">
        <f t="shared" si="2"/>
        <v>Yes</v>
      </c>
      <c r="F73" s="6" t="s">
        <v>614</v>
      </c>
      <c r="G73" s="6"/>
      <c r="M73" s="11"/>
    </row>
    <row r="74" spans="1:13" ht="12.75" hidden="1" customHeight="1" outlineLevel="5">
      <c r="A74" s="10" t="s">
        <v>169</v>
      </c>
      <c r="B74" s="100" t="s">
        <v>12</v>
      </c>
      <c r="D74" s="2" t="str">
        <f>"&lt;" &amp; A74 &amp; "&gt;" &amp;IF(B74="Yes",1,0) &amp;"&lt;/" &amp;A74&amp;"&gt;"</f>
        <v>&lt;Saved_User_View_Flag&gt;0&lt;/Saved_User_View_Flag&gt;</v>
      </c>
      <c r="E74" s="174" t="str">
        <f t="shared" si="2"/>
        <v>Yes</v>
      </c>
      <c r="F74" s="6" t="s">
        <v>615</v>
      </c>
      <c r="G74" s="6"/>
      <c r="M74" s="11"/>
    </row>
    <row r="75" spans="1:13" ht="12.75" hidden="1" customHeight="1" outlineLevel="5">
      <c r="A75" s="10" t="s">
        <v>170</v>
      </c>
      <c r="B75" s="100"/>
      <c r="D75" t="str">
        <f>"&lt;" &amp; A75 &amp; "&gt;"</f>
        <v>&lt;/User_View&gt;</v>
      </c>
      <c r="E75" s="174" t="str">
        <f t="shared" si="2"/>
        <v>Yes</v>
      </c>
      <c r="F75" s="6" t="s">
        <v>616</v>
      </c>
      <c r="G75" s="6"/>
      <c r="M75" s="11"/>
    </row>
    <row r="76" spans="1:13" ht="12.75" hidden="1" customHeight="1" outlineLevel="4" collapsed="1">
      <c r="A76" s="10" t="s">
        <v>168</v>
      </c>
      <c r="B76" s="100"/>
      <c r="D76" t="str">
        <f>"&lt;" &amp; A76 &amp; "&gt;"</f>
        <v>&lt;User_View&gt;</v>
      </c>
      <c r="E76" s="174" t="str">
        <f t="shared" si="2"/>
        <v>Yes</v>
      </c>
      <c r="F76" s="6" t="s">
        <v>614</v>
      </c>
      <c r="G76" s="6"/>
      <c r="M76" s="11"/>
    </row>
    <row r="77" spans="1:13" ht="12.75" hidden="1" customHeight="1" outlineLevel="5">
      <c r="A77" s="10" t="s">
        <v>169</v>
      </c>
      <c r="B77" s="100" t="s">
        <v>12</v>
      </c>
      <c r="D77" s="2" t="str">
        <f>"&lt;" &amp; A77 &amp; "&gt;" &amp;IF(B77="Yes",1,0) &amp;"&lt;/" &amp;A77&amp;"&gt;"</f>
        <v>&lt;Saved_User_View_Flag&gt;0&lt;/Saved_User_View_Flag&gt;</v>
      </c>
      <c r="E77" s="174" t="str">
        <f t="shared" si="2"/>
        <v>Yes</v>
      </c>
      <c r="F77" s="6" t="s">
        <v>615</v>
      </c>
      <c r="G77" s="6"/>
      <c r="M77" s="11"/>
    </row>
    <row r="78" spans="1:13" ht="12.75" hidden="1" customHeight="1" outlineLevel="5">
      <c r="A78" s="10" t="s">
        <v>170</v>
      </c>
      <c r="B78" s="100"/>
      <c r="D78" t="str">
        <f>"&lt;" &amp; A78 &amp; "&gt;"</f>
        <v>&lt;/User_View&gt;</v>
      </c>
      <c r="E78" s="174" t="str">
        <f t="shared" si="2"/>
        <v>Yes</v>
      </c>
      <c r="F78" s="6" t="s">
        <v>616</v>
      </c>
      <c r="G78" s="6"/>
      <c r="M78" s="11"/>
    </row>
    <row r="79" spans="1:13" ht="12.75" hidden="1" customHeight="1" outlineLevel="4" collapsed="1">
      <c r="A79" s="10" t="s">
        <v>168</v>
      </c>
      <c r="B79" s="100"/>
      <c r="D79" t="str">
        <f>"&lt;" &amp; A79 &amp; "&gt;"</f>
        <v>&lt;User_View&gt;</v>
      </c>
      <c r="E79" s="174" t="str">
        <f t="shared" si="2"/>
        <v>Yes</v>
      </c>
      <c r="F79" s="6" t="s">
        <v>614</v>
      </c>
      <c r="G79" s="6"/>
      <c r="M79" s="11"/>
    </row>
    <row r="80" spans="1:13" ht="12.75" hidden="1" customHeight="1" outlineLevel="5">
      <c r="A80" s="10" t="s">
        <v>169</v>
      </c>
      <c r="B80" s="100" t="s">
        <v>12</v>
      </c>
      <c r="D80" s="2" t="str">
        <f>"&lt;" &amp; A80 &amp; "&gt;" &amp;IF(B80="Yes",1,0) &amp;"&lt;/" &amp;A80&amp;"&gt;"</f>
        <v>&lt;Saved_User_View_Flag&gt;0&lt;/Saved_User_View_Flag&gt;</v>
      </c>
      <c r="E80" s="174" t="str">
        <f t="shared" si="2"/>
        <v>Yes</v>
      </c>
      <c r="F80" s="6" t="s">
        <v>615</v>
      </c>
      <c r="G80" s="6"/>
      <c r="M80" s="11"/>
    </row>
    <row r="81" spans="1:13" ht="12.75" hidden="1" customHeight="1" outlineLevel="5">
      <c r="A81" s="10" t="s">
        <v>170</v>
      </c>
      <c r="B81" s="100"/>
      <c r="D81" t="str">
        <f>"&lt;" &amp; A81 &amp; "&gt;"</f>
        <v>&lt;/User_View&gt;</v>
      </c>
      <c r="E81" s="174" t="str">
        <f t="shared" si="2"/>
        <v>Yes</v>
      </c>
      <c r="F81" s="6" t="s">
        <v>616</v>
      </c>
      <c r="G81" s="6"/>
      <c r="M81" s="11"/>
    </row>
    <row r="82" spans="1:13" ht="12.75" hidden="1" customHeight="1" outlineLevel="4" collapsed="1">
      <c r="A82" s="10" t="s">
        <v>168</v>
      </c>
      <c r="B82" s="100"/>
      <c r="D82" t="str">
        <f>"&lt;" &amp; A82 &amp; "&gt;"</f>
        <v>&lt;User_View&gt;</v>
      </c>
      <c r="E82" s="174" t="str">
        <f t="shared" si="2"/>
        <v>Yes</v>
      </c>
      <c r="F82" s="6" t="s">
        <v>614</v>
      </c>
      <c r="G82" s="6"/>
      <c r="M82" s="11"/>
    </row>
    <row r="83" spans="1:13" ht="12.75" hidden="1" customHeight="1" outlineLevel="5">
      <c r="A83" s="10" t="s">
        <v>169</v>
      </c>
      <c r="B83" s="100" t="s">
        <v>12</v>
      </c>
      <c r="D83" s="2" t="str">
        <f>"&lt;" &amp; A83 &amp; "&gt;" &amp;IF(B83="Yes",1,0) &amp;"&lt;/" &amp;A83&amp;"&gt;"</f>
        <v>&lt;Saved_User_View_Flag&gt;0&lt;/Saved_User_View_Flag&gt;</v>
      </c>
      <c r="E83" s="174" t="str">
        <f t="shared" si="2"/>
        <v>Yes</v>
      </c>
      <c r="F83" s="6" t="s">
        <v>615</v>
      </c>
      <c r="G83" s="6"/>
      <c r="M83" s="11"/>
    </row>
    <row r="84" spans="1:13" ht="12.75" hidden="1" customHeight="1" outlineLevel="5">
      <c r="A84" s="10" t="s">
        <v>170</v>
      </c>
      <c r="B84" s="100"/>
      <c r="D84" t="str">
        <f>"&lt;" &amp; A84 &amp; "&gt;"</f>
        <v>&lt;/User_View&gt;</v>
      </c>
      <c r="E84" s="174" t="str">
        <f t="shared" si="2"/>
        <v>Yes</v>
      </c>
      <c r="F84" s="6" t="s">
        <v>616</v>
      </c>
      <c r="G84" s="6"/>
      <c r="M84" s="11"/>
    </row>
    <row r="85" spans="1:13" ht="12.75" hidden="1" customHeight="1" outlineLevel="4">
      <c r="A85" s="10" t="s">
        <v>171</v>
      </c>
      <c r="B85" s="100"/>
      <c r="D85" t="str">
        <f>"&lt;" &amp; A85 &amp; "&gt;"</f>
        <v>&lt;/User_View_List&gt;</v>
      </c>
      <c r="E85" s="174" t="str">
        <f t="shared" si="2"/>
        <v>Yes</v>
      </c>
      <c r="F85" s="6" t="s">
        <v>617</v>
      </c>
      <c r="G85" s="6"/>
      <c r="M85" s="11"/>
    </row>
    <row r="86" spans="1:13" ht="12.75" hidden="1" customHeight="1" outlineLevel="3">
      <c r="A86" s="10" t="s">
        <v>172</v>
      </c>
      <c r="B86" s="100"/>
      <c r="D86" t="str">
        <f>"&lt;" &amp; A86 &amp; "&gt;"</f>
        <v>&lt;/VirtWindow&gt;</v>
      </c>
      <c r="E86" s="174" t="str">
        <f t="shared" si="2"/>
        <v>Yes</v>
      </c>
      <c r="F86" s="6" t="s">
        <v>618</v>
      </c>
      <c r="G86" s="6"/>
      <c r="M86" s="11"/>
    </row>
    <row r="87" spans="1:13" ht="12.75" hidden="1" customHeight="1" outlineLevel="2" collapsed="1">
      <c r="A87" s="10" t="s">
        <v>162</v>
      </c>
      <c r="B87" s="100"/>
      <c r="D87" t="str">
        <f>"&lt;" &amp; A87 &amp; "&gt;"</f>
        <v>&lt;VirtWindow&gt;</v>
      </c>
      <c r="E87" s="174" t="str">
        <f t="shared" si="2"/>
        <v>Yes</v>
      </c>
      <c r="F87" s="6" t="s">
        <v>608</v>
      </c>
      <c r="G87" s="6"/>
      <c r="M87" s="11"/>
    </row>
    <row r="88" spans="1:13" ht="12.75" hidden="1" customHeight="1" outlineLevel="3">
      <c r="A88" s="10" t="s">
        <v>163</v>
      </c>
      <c r="B88" s="101">
        <v>1</v>
      </c>
      <c r="D88" s="1" t="str">
        <f>"&lt;" &amp; A88 &amp; "&gt;" &amp; TEXT(B88,"0.000000") &amp; "&lt;/" &amp; A88 &amp; "&gt;"</f>
        <v>&lt;Back_Img_Scale_W&gt;1.000000&lt;/Back_Img_Scale_W&gt;</v>
      </c>
      <c r="E88" s="174" t="str">
        <f t="shared" si="2"/>
        <v>Yes</v>
      </c>
      <c r="F88" s="6" t="s">
        <v>609</v>
      </c>
      <c r="G88" s="6"/>
      <c r="M88" s="11"/>
    </row>
    <row r="89" spans="1:13" ht="12.75" hidden="1" customHeight="1" outlineLevel="3">
      <c r="A89" s="10" t="s">
        <v>164</v>
      </c>
      <c r="B89" s="101">
        <v>1</v>
      </c>
      <c r="D89" s="1" t="str">
        <f>"&lt;" &amp; A89 &amp; "&gt;" &amp; TEXT(B89,"0.000000") &amp; "&lt;/" &amp; A89 &amp; "&gt;"</f>
        <v>&lt;Back_Img_Scale_H&gt;1.000000&lt;/Back_Img_Scale_H&gt;</v>
      </c>
      <c r="E89" s="174" t="str">
        <f t="shared" si="2"/>
        <v>Yes</v>
      </c>
      <c r="F89" s="6" t="s">
        <v>610</v>
      </c>
      <c r="G89" s="6"/>
      <c r="M89" s="11"/>
    </row>
    <row r="90" spans="1:13" ht="12.75" hidden="1" customHeight="1" outlineLevel="3">
      <c r="A90" s="10" t="s">
        <v>165</v>
      </c>
      <c r="B90" s="101">
        <v>0</v>
      </c>
      <c r="D90" s="1" t="str">
        <f>"&lt;" &amp; A90 &amp; "&gt;" &amp; TEXT(B90,"0.000000") &amp; "&lt;/" &amp; A90 &amp; "&gt;"</f>
        <v>&lt;Back_Img_Offset_X&gt;0.000000&lt;/Back_Img_Offset_X&gt;</v>
      </c>
      <c r="E90" s="174" t="str">
        <f t="shared" si="2"/>
        <v>Yes</v>
      </c>
      <c r="F90" s="6" t="s">
        <v>611</v>
      </c>
      <c r="G90" s="6"/>
      <c r="M90" s="11"/>
    </row>
    <row r="91" spans="1:13" ht="12.75" hidden="1" customHeight="1" outlineLevel="3">
      <c r="A91" s="10" t="s">
        <v>166</v>
      </c>
      <c r="B91" s="101">
        <v>0</v>
      </c>
      <c r="D91" s="1" t="str">
        <f>"&lt;" &amp; A91 &amp; "&gt;" &amp; TEXT(B91,"0.000000") &amp; "&lt;/" &amp; A91 &amp; "&gt;"</f>
        <v>&lt;Back_Img_Offset_Y&gt;0.000000&lt;/Back_Img_Offset_Y&gt;</v>
      </c>
      <c r="E91" s="174" t="str">
        <f t="shared" si="2"/>
        <v>Yes</v>
      </c>
      <c r="F91" s="6" t="s">
        <v>612</v>
      </c>
      <c r="G91" s="6"/>
      <c r="M91" s="11"/>
    </row>
    <row r="92" spans="1:13" ht="12.75" hidden="1" customHeight="1" outlineLevel="3" collapsed="1">
      <c r="A92" s="10" t="s">
        <v>167</v>
      </c>
      <c r="B92" s="100"/>
      <c r="D92" t="str">
        <f>"&lt;" &amp; A92 &amp; "&gt;"</f>
        <v>&lt;User_View_List&gt;</v>
      </c>
      <c r="E92" s="174" t="str">
        <f t="shared" si="2"/>
        <v>Yes</v>
      </c>
      <c r="F92" s="6" t="s">
        <v>613</v>
      </c>
      <c r="G92" s="6"/>
      <c r="M92" s="11"/>
    </row>
    <row r="93" spans="1:13" ht="12.75" hidden="1" customHeight="1" outlineLevel="4" collapsed="1">
      <c r="A93" s="10" t="s">
        <v>168</v>
      </c>
      <c r="B93" s="100"/>
      <c r="D93" t="str">
        <f>"&lt;" &amp; A93 &amp; "&gt;"</f>
        <v>&lt;User_View&gt;</v>
      </c>
      <c r="E93" s="174" t="str">
        <f t="shared" si="2"/>
        <v>Yes</v>
      </c>
      <c r="F93" s="6" t="s">
        <v>614</v>
      </c>
      <c r="G93" s="6"/>
      <c r="M93" s="11"/>
    </row>
    <row r="94" spans="1:13" ht="12.75" hidden="1" customHeight="1" outlineLevel="5">
      <c r="A94" s="10" t="s">
        <v>169</v>
      </c>
      <c r="B94" s="100" t="s">
        <v>12</v>
      </c>
      <c r="D94" s="2" t="str">
        <f>"&lt;" &amp; A94 &amp; "&gt;" &amp;IF(B94="Yes",1,0) &amp;"&lt;/" &amp;A94&amp;"&gt;"</f>
        <v>&lt;Saved_User_View_Flag&gt;0&lt;/Saved_User_View_Flag&gt;</v>
      </c>
      <c r="E94" s="174" t="str">
        <f t="shared" si="2"/>
        <v>Yes</v>
      </c>
      <c r="F94" s="6" t="s">
        <v>615</v>
      </c>
      <c r="G94" s="6"/>
      <c r="M94" s="11"/>
    </row>
    <row r="95" spans="1:13" ht="12.75" hidden="1" customHeight="1" outlineLevel="5">
      <c r="A95" s="10" t="s">
        <v>170</v>
      </c>
      <c r="B95" s="100"/>
      <c r="D95" t="str">
        <f>"&lt;" &amp; A95 &amp; "&gt;"</f>
        <v>&lt;/User_View&gt;</v>
      </c>
      <c r="E95" s="174" t="str">
        <f t="shared" si="2"/>
        <v>Yes</v>
      </c>
      <c r="F95" s="6" t="s">
        <v>616</v>
      </c>
      <c r="G95" s="6"/>
      <c r="M95" s="11"/>
    </row>
    <row r="96" spans="1:13" ht="12.75" hidden="1" customHeight="1" outlineLevel="4" collapsed="1">
      <c r="A96" s="10" t="s">
        <v>168</v>
      </c>
      <c r="B96" s="100"/>
      <c r="D96" t="str">
        <f>"&lt;" &amp; A96 &amp; "&gt;"</f>
        <v>&lt;User_View&gt;</v>
      </c>
      <c r="E96" s="174" t="str">
        <f t="shared" si="2"/>
        <v>Yes</v>
      </c>
      <c r="F96" s="6" t="s">
        <v>614</v>
      </c>
      <c r="G96" s="6"/>
      <c r="M96" s="11"/>
    </row>
    <row r="97" spans="1:13" ht="12.75" hidden="1" customHeight="1" outlineLevel="5">
      <c r="A97" s="10" t="s">
        <v>169</v>
      </c>
      <c r="B97" s="100" t="s">
        <v>12</v>
      </c>
      <c r="D97" s="2" t="str">
        <f>"&lt;" &amp; A97 &amp; "&gt;" &amp;IF(B97="Yes",1,0) &amp;"&lt;/" &amp;A97&amp;"&gt;"</f>
        <v>&lt;Saved_User_View_Flag&gt;0&lt;/Saved_User_View_Flag&gt;</v>
      </c>
      <c r="E97" s="174" t="str">
        <f t="shared" si="2"/>
        <v>Yes</v>
      </c>
      <c r="F97" s="6" t="s">
        <v>615</v>
      </c>
      <c r="G97" s="6"/>
      <c r="M97" s="11"/>
    </row>
    <row r="98" spans="1:13" ht="12.75" hidden="1" customHeight="1" outlineLevel="5">
      <c r="A98" s="10" t="s">
        <v>170</v>
      </c>
      <c r="B98" s="100"/>
      <c r="D98" t="str">
        <f>"&lt;" &amp; A98 &amp; "&gt;"</f>
        <v>&lt;/User_View&gt;</v>
      </c>
      <c r="E98" s="174" t="str">
        <f t="shared" si="2"/>
        <v>Yes</v>
      </c>
      <c r="F98" s="6" t="s">
        <v>616</v>
      </c>
      <c r="G98" s="6"/>
      <c r="L98" s="5" t="s">
        <v>34</v>
      </c>
      <c r="M98" s="11"/>
    </row>
    <row r="99" spans="1:13" ht="12.75" hidden="1" customHeight="1" outlineLevel="4" collapsed="1">
      <c r="A99" s="10" t="s">
        <v>168</v>
      </c>
      <c r="B99" s="100"/>
      <c r="D99" t="str">
        <f>"&lt;" &amp; A99 &amp; "&gt;"</f>
        <v>&lt;User_View&gt;</v>
      </c>
      <c r="E99" s="174" t="str">
        <f t="shared" si="2"/>
        <v>Yes</v>
      </c>
      <c r="F99" s="6" t="s">
        <v>614</v>
      </c>
      <c r="G99" s="6"/>
      <c r="M99" s="11"/>
    </row>
    <row r="100" spans="1:13" ht="12.75" hidden="1" customHeight="1" outlineLevel="5">
      <c r="A100" s="10" t="s">
        <v>169</v>
      </c>
      <c r="B100" s="100" t="s">
        <v>12</v>
      </c>
      <c r="D100" s="2" t="str">
        <f>"&lt;" &amp; A100 &amp; "&gt;" &amp;IF(B100="Yes",1,0) &amp;"&lt;/" &amp;A100&amp;"&gt;"</f>
        <v>&lt;Saved_User_View_Flag&gt;0&lt;/Saved_User_View_Flag&gt;</v>
      </c>
      <c r="E100" s="174" t="str">
        <f t="shared" si="2"/>
        <v>Yes</v>
      </c>
      <c r="F100" s="6" t="s">
        <v>615</v>
      </c>
      <c r="G100" s="6"/>
      <c r="M100" s="11"/>
    </row>
    <row r="101" spans="1:13" ht="12.75" hidden="1" customHeight="1" outlineLevel="5">
      <c r="A101" s="10" t="s">
        <v>170</v>
      </c>
      <c r="B101" s="100"/>
      <c r="D101" t="str">
        <f>"&lt;" &amp; A101 &amp; "&gt;"</f>
        <v>&lt;/User_View&gt;</v>
      </c>
      <c r="E101" s="174" t="str">
        <f t="shared" si="2"/>
        <v>Yes</v>
      </c>
      <c r="F101" s="6" t="s">
        <v>616</v>
      </c>
      <c r="G101" s="6"/>
      <c r="M101" s="11"/>
    </row>
    <row r="102" spans="1:13" ht="12.75" hidden="1" customHeight="1" outlineLevel="4" collapsed="1">
      <c r="A102" s="10" t="s">
        <v>168</v>
      </c>
      <c r="B102" s="100"/>
      <c r="D102" t="str">
        <f>"&lt;" &amp; A102 &amp; "&gt;"</f>
        <v>&lt;User_View&gt;</v>
      </c>
      <c r="E102" s="174" t="str">
        <f t="shared" si="2"/>
        <v>Yes</v>
      </c>
      <c r="F102" s="6" t="s">
        <v>614</v>
      </c>
      <c r="G102" s="6"/>
      <c r="M102" s="11"/>
    </row>
    <row r="103" spans="1:13" ht="12.75" hidden="1" customHeight="1" outlineLevel="5">
      <c r="A103" s="10" t="s">
        <v>169</v>
      </c>
      <c r="B103" s="100" t="s">
        <v>12</v>
      </c>
      <c r="D103" s="2" t="str">
        <f>"&lt;" &amp; A103 &amp; "&gt;" &amp;IF(B103="Yes",1,0) &amp;"&lt;/" &amp;A103&amp;"&gt;"</f>
        <v>&lt;Saved_User_View_Flag&gt;0&lt;/Saved_User_View_Flag&gt;</v>
      </c>
      <c r="E103" s="174" t="str">
        <f t="shared" si="2"/>
        <v>Yes</v>
      </c>
      <c r="F103" s="6" t="s">
        <v>615</v>
      </c>
      <c r="G103" s="6"/>
      <c r="M103" s="11"/>
    </row>
    <row r="104" spans="1:13" ht="12.75" hidden="1" customHeight="1" outlineLevel="5">
      <c r="A104" s="10" t="s">
        <v>170</v>
      </c>
      <c r="B104" s="100"/>
      <c r="D104" t="str">
        <f>"&lt;" &amp; A104 &amp; "&gt;"</f>
        <v>&lt;/User_View&gt;</v>
      </c>
      <c r="E104" s="174" t="str">
        <f t="shared" si="2"/>
        <v>Yes</v>
      </c>
      <c r="F104" s="6" t="s">
        <v>616</v>
      </c>
      <c r="G104" s="6"/>
      <c r="M104" s="11"/>
    </row>
    <row r="105" spans="1:13" ht="12.75" hidden="1" customHeight="1" outlineLevel="4">
      <c r="A105" s="10" t="s">
        <v>171</v>
      </c>
      <c r="B105" s="100"/>
      <c r="D105" t="str">
        <f>"&lt;" &amp; A105 &amp; "&gt;"</f>
        <v>&lt;/User_View_List&gt;</v>
      </c>
      <c r="E105" s="174" t="str">
        <f t="shared" si="2"/>
        <v>Yes</v>
      </c>
      <c r="F105" s="6" t="s">
        <v>617</v>
      </c>
      <c r="G105" s="6"/>
      <c r="M105" s="11"/>
    </row>
    <row r="106" spans="1:13" ht="12.75" hidden="1" customHeight="1" outlineLevel="3">
      <c r="A106" s="10" t="s">
        <v>172</v>
      </c>
      <c r="B106" s="100"/>
      <c r="D106" t="str">
        <f>"&lt;" &amp; A106 &amp; "&gt;"</f>
        <v>&lt;/VirtWindow&gt;</v>
      </c>
      <c r="E106" s="174" t="str">
        <f t="shared" si="2"/>
        <v>Yes</v>
      </c>
      <c r="F106" s="6" t="s">
        <v>618</v>
      </c>
      <c r="G106" s="6"/>
      <c r="M106" s="11"/>
    </row>
    <row r="107" spans="1:13" ht="12.75" hidden="1" customHeight="1" outlineLevel="2" collapsed="1">
      <c r="A107" s="10" t="s">
        <v>162</v>
      </c>
      <c r="B107" s="100"/>
      <c r="D107" t="str">
        <f>"&lt;" &amp; A107 &amp; "&gt;"</f>
        <v>&lt;VirtWindow&gt;</v>
      </c>
      <c r="E107" s="174" t="str">
        <f t="shared" si="2"/>
        <v>Yes</v>
      </c>
      <c r="F107" s="6" t="s">
        <v>608</v>
      </c>
      <c r="G107" s="6"/>
      <c r="M107" s="11"/>
    </row>
    <row r="108" spans="1:13" ht="12.75" hidden="1" customHeight="1" outlineLevel="3">
      <c r="A108" s="10" t="s">
        <v>163</v>
      </c>
      <c r="B108" s="101">
        <v>1</v>
      </c>
      <c r="D108" s="1" t="str">
        <f>"&lt;" &amp; A108 &amp; "&gt;" &amp; TEXT(B108,"0.000000") &amp; "&lt;/" &amp; A108 &amp; "&gt;"</f>
        <v>&lt;Back_Img_Scale_W&gt;1.000000&lt;/Back_Img_Scale_W&gt;</v>
      </c>
      <c r="E108" s="174" t="str">
        <f t="shared" si="2"/>
        <v>Yes</v>
      </c>
      <c r="F108" s="6" t="s">
        <v>609</v>
      </c>
      <c r="G108" s="6"/>
      <c r="M108" s="11"/>
    </row>
    <row r="109" spans="1:13" ht="12.75" hidden="1" customHeight="1" outlineLevel="3">
      <c r="A109" s="10" t="s">
        <v>164</v>
      </c>
      <c r="B109" s="101">
        <v>1</v>
      </c>
      <c r="D109" s="1" t="str">
        <f>"&lt;" &amp; A109 &amp; "&gt;" &amp; TEXT(B109,"0.000000") &amp; "&lt;/" &amp; A109 &amp; "&gt;"</f>
        <v>&lt;Back_Img_Scale_H&gt;1.000000&lt;/Back_Img_Scale_H&gt;</v>
      </c>
      <c r="E109" s="174" t="str">
        <f t="shared" si="2"/>
        <v>Yes</v>
      </c>
      <c r="F109" s="6" t="s">
        <v>610</v>
      </c>
      <c r="G109" s="6"/>
      <c r="M109" s="11"/>
    </row>
    <row r="110" spans="1:13" ht="12.75" hidden="1" customHeight="1" outlineLevel="3">
      <c r="A110" s="10" t="s">
        <v>165</v>
      </c>
      <c r="B110" s="101">
        <v>0</v>
      </c>
      <c r="D110" s="1" t="str">
        <f>"&lt;" &amp; A110 &amp; "&gt;" &amp; TEXT(B110,"0.000000") &amp; "&lt;/" &amp; A110 &amp; "&gt;"</f>
        <v>&lt;Back_Img_Offset_X&gt;0.000000&lt;/Back_Img_Offset_X&gt;</v>
      </c>
      <c r="E110" s="174" t="str">
        <f t="shared" si="2"/>
        <v>Yes</v>
      </c>
      <c r="F110" s="6" t="s">
        <v>611</v>
      </c>
      <c r="G110" s="6"/>
      <c r="M110" s="11"/>
    </row>
    <row r="111" spans="1:13" ht="12.75" hidden="1" customHeight="1" outlineLevel="3">
      <c r="A111" s="10" t="s">
        <v>166</v>
      </c>
      <c r="B111" s="101">
        <v>0</v>
      </c>
      <c r="D111" s="1" t="str">
        <f>"&lt;" &amp; A111 &amp; "&gt;" &amp; TEXT(B111,"0.000000") &amp; "&lt;/" &amp; A111 &amp; "&gt;"</f>
        <v>&lt;Back_Img_Offset_Y&gt;0.000000&lt;/Back_Img_Offset_Y&gt;</v>
      </c>
      <c r="E111" s="174" t="str">
        <f t="shared" si="2"/>
        <v>Yes</v>
      </c>
      <c r="F111" s="6" t="s">
        <v>612</v>
      </c>
      <c r="G111" s="6"/>
      <c r="M111" s="11"/>
    </row>
    <row r="112" spans="1:13" ht="12.75" hidden="1" customHeight="1" outlineLevel="3" collapsed="1">
      <c r="A112" s="10" t="s">
        <v>167</v>
      </c>
      <c r="B112" s="100"/>
      <c r="D112" t="str">
        <f>"&lt;" &amp; A112 &amp; "&gt;"</f>
        <v>&lt;User_View_List&gt;</v>
      </c>
      <c r="E112" s="174" t="str">
        <f t="shared" si="2"/>
        <v>Yes</v>
      </c>
      <c r="F112" s="6" t="s">
        <v>613</v>
      </c>
      <c r="G112" s="6"/>
      <c r="M112" s="11"/>
    </row>
    <row r="113" spans="1:24" ht="12.75" hidden="1" customHeight="1" outlineLevel="4" collapsed="1">
      <c r="A113" s="10" t="s">
        <v>168</v>
      </c>
      <c r="B113" s="100"/>
      <c r="D113" t="str">
        <f>"&lt;" &amp; A113 &amp; "&gt;"</f>
        <v>&lt;User_View&gt;</v>
      </c>
      <c r="E113" s="174" t="str">
        <f t="shared" si="2"/>
        <v>Yes</v>
      </c>
      <c r="F113" s="6" t="s">
        <v>614</v>
      </c>
      <c r="G113" s="6"/>
      <c r="M113" s="11"/>
    </row>
    <row r="114" spans="1:24" s="11" customFormat="1" ht="12.75" hidden="1" customHeight="1" outlineLevel="5">
      <c r="A114" s="10" t="s">
        <v>169</v>
      </c>
      <c r="B114" s="100" t="s">
        <v>12</v>
      </c>
      <c r="C114" s="12"/>
      <c r="D114" s="2" t="str">
        <f>"&lt;" &amp; A114 &amp; "&gt;" &amp;IF(B114="Yes",1,0) &amp;"&lt;/" &amp;A114&amp;"&gt;"</f>
        <v>&lt;Saved_User_View_Flag&gt;0&lt;/Saved_User_View_Flag&gt;</v>
      </c>
      <c r="E114" s="174" t="str">
        <f t="shared" si="2"/>
        <v>Yes</v>
      </c>
      <c r="F114" s="6" t="s">
        <v>615</v>
      </c>
      <c r="G114" s="6"/>
      <c r="U114"/>
      <c r="X114"/>
    </row>
    <row r="115" spans="1:24" s="11" customFormat="1" ht="12.75" hidden="1" customHeight="1" outlineLevel="5">
      <c r="A115" s="10" t="s">
        <v>170</v>
      </c>
      <c r="B115" s="100"/>
      <c r="C115" s="12"/>
      <c r="D115" t="str">
        <f>"&lt;" &amp; A115 &amp; "&gt;"</f>
        <v>&lt;/User_View&gt;</v>
      </c>
      <c r="E115" s="174" t="str">
        <f t="shared" si="2"/>
        <v>Yes</v>
      </c>
      <c r="F115" s="6" t="s">
        <v>616</v>
      </c>
      <c r="G115" s="6"/>
      <c r="U115"/>
      <c r="X115"/>
    </row>
    <row r="116" spans="1:24" s="11" customFormat="1" ht="12.75" hidden="1" customHeight="1" outlineLevel="4" collapsed="1">
      <c r="A116" s="10" t="s">
        <v>168</v>
      </c>
      <c r="B116" s="100"/>
      <c r="C116" s="12"/>
      <c r="D116" t="str">
        <f>"&lt;" &amp; A116 &amp; "&gt;"</f>
        <v>&lt;User_View&gt;</v>
      </c>
      <c r="E116" s="174" t="str">
        <f t="shared" si="2"/>
        <v>Yes</v>
      </c>
      <c r="F116" s="6" t="s">
        <v>614</v>
      </c>
      <c r="G116" s="6"/>
      <c r="U116"/>
      <c r="X116"/>
    </row>
    <row r="117" spans="1:24" s="11" customFormat="1" ht="12.75" hidden="1" customHeight="1" outlineLevel="5">
      <c r="A117" s="10" t="s">
        <v>169</v>
      </c>
      <c r="B117" s="100" t="s">
        <v>12</v>
      </c>
      <c r="C117" s="12"/>
      <c r="D117" s="2" t="str">
        <f>"&lt;" &amp; A117 &amp; "&gt;" &amp;IF(B117="Yes",1,0) &amp;"&lt;/" &amp;A117&amp;"&gt;"</f>
        <v>&lt;Saved_User_View_Flag&gt;0&lt;/Saved_User_View_Flag&gt;</v>
      </c>
      <c r="E117" s="174" t="str">
        <f t="shared" si="2"/>
        <v>Yes</v>
      </c>
      <c r="F117" s="6" t="s">
        <v>615</v>
      </c>
      <c r="G117" s="6"/>
      <c r="U117"/>
      <c r="X117"/>
    </row>
    <row r="118" spans="1:24" s="11" customFormat="1" ht="12.75" hidden="1" customHeight="1" outlineLevel="5">
      <c r="A118" s="10" t="s">
        <v>170</v>
      </c>
      <c r="B118" s="100"/>
      <c r="C118" s="12"/>
      <c r="D118" t="str">
        <f>"&lt;" &amp; A118 &amp; "&gt;"</f>
        <v>&lt;/User_View&gt;</v>
      </c>
      <c r="E118" s="174" t="str">
        <f t="shared" si="2"/>
        <v>Yes</v>
      </c>
      <c r="F118" s="6" t="s">
        <v>616</v>
      </c>
      <c r="G118" s="6"/>
      <c r="U118"/>
      <c r="X118"/>
    </row>
    <row r="119" spans="1:24" s="11" customFormat="1" ht="12.75" hidden="1" customHeight="1" outlineLevel="4" collapsed="1">
      <c r="A119" s="10" t="s">
        <v>168</v>
      </c>
      <c r="B119" s="100"/>
      <c r="C119" s="12"/>
      <c r="D119" t="str">
        <f>"&lt;" &amp; A119 &amp; "&gt;"</f>
        <v>&lt;User_View&gt;</v>
      </c>
      <c r="E119" s="174" t="str">
        <f t="shared" si="2"/>
        <v>Yes</v>
      </c>
      <c r="F119" s="6" t="s">
        <v>614</v>
      </c>
      <c r="G119" s="6"/>
      <c r="U119"/>
      <c r="X119"/>
    </row>
    <row r="120" spans="1:24" s="11" customFormat="1" ht="12.75" hidden="1" customHeight="1" outlineLevel="5">
      <c r="A120" s="10" t="s">
        <v>169</v>
      </c>
      <c r="B120" s="100" t="s">
        <v>12</v>
      </c>
      <c r="C120" s="12"/>
      <c r="D120" s="2" t="str">
        <f>"&lt;" &amp; A120 &amp; "&gt;" &amp;IF(B120="Yes",1,0) &amp;"&lt;/" &amp;A120&amp;"&gt;"</f>
        <v>&lt;Saved_User_View_Flag&gt;0&lt;/Saved_User_View_Flag&gt;</v>
      </c>
      <c r="E120" s="174" t="str">
        <f t="shared" si="2"/>
        <v>Yes</v>
      </c>
      <c r="F120" s="6" t="s">
        <v>615</v>
      </c>
      <c r="G120" s="6"/>
      <c r="U120"/>
      <c r="X120"/>
    </row>
    <row r="121" spans="1:24" s="11" customFormat="1" ht="12.75" hidden="1" customHeight="1" outlineLevel="5">
      <c r="A121" s="10" t="s">
        <v>170</v>
      </c>
      <c r="B121" s="100"/>
      <c r="C121" s="12"/>
      <c r="D121" t="str">
        <f>"&lt;" &amp; A121 &amp; "&gt;"</f>
        <v>&lt;/User_View&gt;</v>
      </c>
      <c r="E121" s="174" t="str">
        <f t="shared" si="2"/>
        <v>Yes</v>
      </c>
      <c r="F121" s="6" t="s">
        <v>616</v>
      </c>
      <c r="G121" s="6"/>
      <c r="U121"/>
      <c r="X121"/>
    </row>
    <row r="122" spans="1:24" s="11" customFormat="1" ht="12.75" hidden="1" customHeight="1" outlineLevel="4" collapsed="1">
      <c r="A122" s="10" t="s">
        <v>168</v>
      </c>
      <c r="B122" s="100"/>
      <c r="C122" s="12"/>
      <c r="D122" t="str">
        <f>"&lt;" &amp; A122 &amp; "&gt;"</f>
        <v>&lt;User_View&gt;</v>
      </c>
      <c r="E122" s="174" t="str">
        <f t="shared" si="2"/>
        <v>Yes</v>
      </c>
      <c r="F122" s="6" t="s">
        <v>614</v>
      </c>
      <c r="G122" s="6"/>
      <c r="U122"/>
      <c r="X122"/>
    </row>
    <row r="123" spans="1:24" s="11" customFormat="1" ht="12.75" hidden="1" customHeight="1" outlineLevel="5">
      <c r="A123" s="10" t="s">
        <v>169</v>
      </c>
      <c r="B123" s="100" t="s">
        <v>12</v>
      </c>
      <c r="C123" s="12"/>
      <c r="D123" s="2" t="str">
        <f>"&lt;" &amp; A123 &amp; "&gt;" &amp;IF(B123="Yes",1,0) &amp;"&lt;/" &amp;A123&amp;"&gt;"</f>
        <v>&lt;Saved_User_View_Flag&gt;0&lt;/Saved_User_View_Flag&gt;</v>
      </c>
      <c r="E123" s="174" t="str">
        <f t="shared" si="2"/>
        <v>Yes</v>
      </c>
      <c r="F123" s="6" t="s">
        <v>615</v>
      </c>
      <c r="G123" s="6"/>
      <c r="U123"/>
      <c r="X123"/>
    </row>
    <row r="124" spans="1:24" s="11" customFormat="1" ht="12.75" hidden="1" customHeight="1" outlineLevel="5">
      <c r="A124" s="10" t="s">
        <v>170</v>
      </c>
      <c r="B124" s="100"/>
      <c r="C124" s="12"/>
      <c r="D124" t="str">
        <f>"&lt;" &amp; A124 &amp; "&gt;"</f>
        <v>&lt;/User_View&gt;</v>
      </c>
      <c r="E124" s="174" t="str">
        <f t="shared" si="2"/>
        <v>Yes</v>
      </c>
      <c r="F124" s="6" t="s">
        <v>616</v>
      </c>
      <c r="G124" s="6"/>
      <c r="U124"/>
      <c r="X124"/>
    </row>
    <row r="125" spans="1:24" s="11" customFormat="1" ht="12.75" hidden="1" customHeight="1" outlineLevel="4">
      <c r="A125" s="10" t="s">
        <v>171</v>
      </c>
      <c r="B125" s="100"/>
      <c r="C125" s="12"/>
      <c r="D125" t="str">
        <f>"&lt;" &amp; A125 &amp; "&gt;"</f>
        <v>&lt;/User_View_List&gt;</v>
      </c>
      <c r="E125" s="174" t="str">
        <f t="shared" si="2"/>
        <v>Yes</v>
      </c>
      <c r="F125" s="6" t="s">
        <v>617</v>
      </c>
      <c r="G125" s="6"/>
      <c r="U125"/>
      <c r="X125"/>
    </row>
    <row r="126" spans="1:24" s="11" customFormat="1" ht="12.75" hidden="1" customHeight="1" outlineLevel="3">
      <c r="A126" s="10" t="s">
        <v>172</v>
      </c>
      <c r="B126" s="100"/>
      <c r="C126" s="12"/>
      <c r="D126" t="str">
        <f>"&lt;" &amp; A126 &amp; "&gt;"</f>
        <v>&lt;/VirtWindow&gt;</v>
      </c>
      <c r="E126" s="174" t="str">
        <f t="shared" si="2"/>
        <v>Yes</v>
      </c>
      <c r="F126" s="6" t="s">
        <v>618</v>
      </c>
      <c r="G126" s="6"/>
      <c r="U126"/>
      <c r="X126"/>
    </row>
    <row r="127" spans="1:24" s="11" customFormat="1" ht="12.75" hidden="1" customHeight="1" outlineLevel="2" collapsed="1">
      <c r="A127" s="10" t="s">
        <v>162</v>
      </c>
      <c r="B127" s="100"/>
      <c r="C127" s="12"/>
      <c r="D127" t="str">
        <f>"&lt;" &amp; A127 &amp; "&gt;"</f>
        <v>&lt;VirtWindow&gt;</v>
      </c>
      <c r="E127" s="174" t="str">
        <f t="shared" si="2"/>
        <v>Yes</v>
      </c>
      <c r="F127" s="6" t="s">
        <v>608</v>
      </c>
      <c r="G127" s="6"/>
      <c r="U127"/>
      <c r="X127"/>
    </row>
    <row r="128" spans="1:24" s="11" customFormat="1" ht="12.75" hidden="1" customHeight="1" outlineLevel="3">
      <c r="A128" s="10" t="s">
        <v>163</v>
      </c>
      <c r="B128" s="101">
        <v>1</v>
      </c>
      <c r="C128" s="12"/>
      <c r="D128" s="1" t="str">
        <f>"&lt;" &amp; A128 &amp; "&gt;" &amp; TEXT(B128,"0.000000") &amp; "&lt;/" &amp; A128 &amp; "&gt;"</f>
        <v>&lt;Back_Img_Scale_W&gt;1.000000&lt;/Back_Img_Scale_W&gt;</v>
      </c>
      <c r="E128" s="174" t="str">
        <f t="shared" si="2"/>
        <v>Yes</v>
      </c>
      <c r="F128" s="6" t="s">
        <v>609</v>
      </c>
      <c r="G128" s="6"/>
      <c r="U128"/>
      <c r="X128"/>
    </row>
    <row r="129" spans="1:24" s="11" customFormat="1" ht="12.75" hidden="1" customHeight="1" outlineLevel="3">
      <c r="A129" s="10" t="s">
        <v>164</v>
      </c>
      <c r="B129" s="101">
        <v>1</v>
      </c>
      <c r="C129" s="12"/>
      <c r="D129" s="1" t="str">
        <f>"&lt;" &amp; A129 &amp; "&gt;" &amp; TEXT(B129,"0.000000") &amp; "&lt;/" &amp; A129 &amp; "&gt;"</f>
        <v>&lt;Back_Img_Scale_H&gt;1.000000&lt;/Back_Img_Scale_H&gt;</v>
      </c>
      <c r="E129" s="174" t="str">
        <f t="shared" si="2"/>
        <v>Yes</v>
      </c>
      <c r="F129" s="6" t="s">
        <v>610</v>
      </c>
      <c r="G129" s="6"/>
      <c r="U129"/>
      <c r="X129"/>
    </row>
    <row r="130" spans="1:24" s="11" customFormat="1" ht="12.75" hidden="1" customHeight="1" outlineLevel="3">
      <c r="A130" s="10" t="s">
        <v>165</v>
      </c>
      <c r="B130" s="101">
        <v>0</v>
      </c>
      <c r="C130" s="12"/>
      <c r="D130" s="1" t="str">
        <f>"&lt;" &amp; A130 &amp; "&gt;" &amp; TEXT(B130,"0.000000") &amp; "&lt;/" &amp; A130 &amp; "&gt;"</f>
        <v>&lt;Back_Img_Offset_X&gt;0.000000&lt;/Back_Img_Offset_X&gt;</v>
      </c>
      <c r="E130" s="174" t="str">
        <f t="shared" si="2"/>
        <v>Yes</v>
      </c>
      <c r="F130" s="6" t="s">
        <v>611</v>
      </c>
      <c r="G130" s="6"/>
      <c r="U130"/>
      <c r="X130"/>
    </row>
    <row r="131" spans="1:24" s="11" customFormat="1" ht="12.75" hidden="1" customHeight="1" outlineLevel="3">
      <c r="A131" s="10" t="s">
        <v>166</v>
      </c>
      <c r="B131" s="101">
        <v>0</v>
      </c>
      <c r="C131" s="12"/>
      <c r="D131" s="1" t="str">
        <f>"&lt;" &amp; A131 &amp; "&gt;" &amp; TEXT(B131,"0.000000") &amp; "&lt;/" &amp; A131 &amp; "&gt;"</f>
        <v>&lt;Back_Img_Offset_Y&gt;0.000000&lt;/Back_Img_Offset_Y&gt;</v>
      </c>
      <c r="E131" s="174" t="str">
        <f t="shared" si="2"/>
        <v>Yes</v>
      </c>
      <c r="F131" s="6" t="s">
        <v>612</v>
      </c>
      <c r="G131" s="6"/>
      <c r="U131"/>
      <c r="X131"/>
    </row>
    <row r="132" spans="1:24" s="11" customFormat="1" ht="12.75" hidden="1" customHeight="1" outlineLevel="3" collapsed="1">
      <c r="A132" s="10" t="s">
        <v>167</v>
      </c>
      <c r="B132" s="100"/>
      <c r="C132" s="12"/>
      <c r="D132" t="str">
        <f>"&lt;" &amp; A132 &amp; "&gt;"</f>
        <v>&lt;User_View_List&gt;</v>
      </c>
      <c r="E132" s="174" t="str">
        <f t="shared" si="2"/>
        <v>Yes</v>
      </c>
      <c r="F132" s="6" t="s">
        <v>613</v>
      </c>
      <c r="G132" s="6"/>
      <c r="U132"/>
      <c r="X132"/>
    </row>
    <row r="133" spans="1:24" s="11" customFormat="1" ht="12.75" hidden="1" customHeight="1" outlineLevel="4" collapsed="1">
      <c r="A133" s="10" t="s">
        <v>168</v>
      </c>
      <c r="B133" s="100"/>
      <c r="C133" s="12"/>
      <c r="D133" t="str">
        <f>"&lt;" &amp; A133 &amp; "&gt;"</f>
        <v>&lt;User_View&gt;</v>
      </c>
      <c r="E133" s="174" t="str">
        <f t="shared" si="2"/>
        <v>Yes</v>
      </c>
      <c r="F133" s="6" t="s">
        <v>614</v>
      </c>
      <c r="G133" s="6"/>
      <c r="U133"/>
      <c r="X133"/>
    </row>
    <row r="134" spans="1:24" s="11" customFormat="1" ht="12.75" hidden="1" customHeight="1" outlineLevel="5">
      <c r="A134" s="10" t="s">
        <v>169</v>
      </c>
      <c r="B134" s="100" t="s">
        <v>12</v>
      </c>
      <c r="C134" s="12"/>
      <c r="D134" s="2" t="str">
        <f>"&lt;" &amp; A134 &amp; "&gt;" &amp;IF(B134="Yes",1,0) &amp;"&lt;/" &amp;A134&amp;"&gt;"</f>
        <v>&lt;Saved_User_View_Flag&gt;0&lt;/Saved_User_View_Flag&gt;</v>
      </c>
      <c r="E134" s="174" t="str">
        <f t="shared" si="2"/>
        <v>Yes</v>
      </c>
      <c r="F134" s="6" t="s">
        <v>615</v>
      </c>
      <c r="G134" s="6"/>
      <c r="U134"/>
      <c r="X134"/>
    </row>
    <row r="135" spans="1:24" s="11" customFormat="1" ht="12.75" hidden="1" customHeight="1" outlineLevel="5">
      <c r="A135" s="10" t="s">
        <v>170</v>
      </c>
      <c r="B135" s="100"/>
      <c r="C135" s="12"/>
      <c r="D135" t="str">
        <f>"&lt;" &amp; A135 &amp; "&gt;"</f>
        <v>&lt;/User_View&gt;</v>
      </c>
      <c r="E135" s="174" t="str">
        <f t="shared" ref="E135:E198" si="3">IF(D135=F135,"Yes","No")</f>
        <v>Yes</v>
      </c>
      <c r="F135" s="6" t="s">
        <v>616</v>
      </c>
      <c r="G135" s="6"/>
      <c r="U135"/>
      <c r="X135"/>
    </row>
    <row r="136" spans="1:24" s="11" customFormat="1" ht="12.75" hidden="1" customHeight="1" outlineLevel="4" collapsed="1">
      <c r="A136" s="10" t="s">
        <v>168</v>
      </c>
      <c r="B136" s="100"/>
      <c r="C136" s="12"/>
      <c r="D136" t="str">
        <f>"&lt;" &amp; A136 &amp; "&gt;"</f>
        <v>&lt;User_View&gt;</v>
      </c>
      <c r="E136" s="174" t="str">
        <f t="shared" si="3"/>
        <v>Yes</v>
      </c>
      <c r="F136" s="6" t="s">
        <v>614</v>
      </c>
      <c r="G136" s="6"/>
      <c r="U136"/>
      <c r="X136"/>
    </row>
    <row r="137" spans="1:24" s="11" customFormat="1" ht="12.75" hidden="1" customHeight="1" outlineLevel="5">
      <c r="A137" s="10" t="s">
        <v>169</v>
      </c>
      <c r="B137" s="100" t="s">
        <v>12</v>
      </c>
      <c r="C137" s="12"/>
      <c r="D137" s="2" t="str">
        <f>"&lt;" &amp; A137 &amp; "&gt;" &amp;IF(B137="Yes",1,0) &amp;"&lt;/" &amp;A137&amp;"&gt;"</f>
        <v>&lt;Saved_User_View_Flag&gt;0&lt;/Saved_User_View_Flag&gt;</v>
      </c>
      <c r="E137" s="174" t="str">
        <f t="shared" si="3"/>
        <v>Yes</v>
      </c>
      <c r="F137" s="6" t="s">
        <v>615</v>
      </c>
      <c r="G137" s="6"/>
      <c r="I137" s="14"/>
      <c r="U137"/>
      <c r="X137"/>
    </row>
    <row r="138" spans="1:24" s="11" customFormat="1" ht="12.75" hidden="1" customHeight="1" outlineLevel="5">
      <c r="A138" s="10" t="s">
        <v>170</v>
      </c>
      <c r="B138" s="100"/>
      <c r="C138" s="12"/>
      <c r="D138" t="str">
        <f>"&lt;" &amp; A138 &amp; "&gt;"</f>
        <v>&lt;/User_View&gt;</v>
      </c>
      <c r="E138" s="174" t="str">
        <f t="shared" si="3"/>
        <v>Yes</v>
      </c>
      <c r="F138" s="6" t="s">
        <v>616</v>
      </c>
      <c r="G138" s="6"/>
      <c r="I138" s="14"/>
      <c r="U138"/>
      <c r="X138"/>
    </row>
    <row r="139" spans="1:24" s="11" customFormat="1" ht="12.75" hidden="1" customHeight="1" outlineLevel="4" collapsed="1">
      <c r="A139" s="10" t="s">
        <v>168</v>
      </c>
      <c r="B139" s="100"/>
      <c r="C139" s="12"/>
      <c r="D139" t="str">
        <f>"&lt;" &amp; A139 &amp; "&gt;"</f>
        <v>&lt;User_View&gt;</v>
      </c>
      <c r="E139" s="174" t="str">
        <f t="shared" si="3"/>
        <v>Yes</v>
      </c>
      <c r="F139" s="6" t="s">
        <v>614</v>
      </c>
      <c r="G139" s="6"/>
      <c r="I139" s="14"/>
      <c r="U139"/>
      <c r="X139"/>
    </row>
    <row r="140" spans="1:24" s="8" customFormat="1" ht="12.75" hidden="1" customHeight="1" outlineLevel="5">
      <c r="A140" s="10" t="s">
        <v>169</v>
      </c>
      <c r="B140" s="100" t="s">
        <v>12</v>
      </c>
      <c r="C140" s="9"/>
      <c r="D140" s="2" t="str">
        <f>"&lt;" &amp; A140 &amp; "&gt;" &amp;IF(B140="Yes",1,0) &amp;"&lt;/" &amp;A140&amp;"&gt;"</f>
        <v>&lt;Saved_User_View_Flag&gt;0&lt;/Saved_User_View_Flag&gt;</v>
      </c>
      <c r="E140" s="174" t="str">
        <f t="shared" si="3"/>
        <v>Yes</v>
      </c>
      <c r="F140" s="6" t="s">
        <v>615</v>
      </c>
      <c r="G140" s="6"/>
      <c r="I140" s="9"/>
      <c r="M140" s="11"/>
      <c r="U140"/>
      <c r="X140"/>
    </row>
    <row r="141" spans="1:24" s="11" customFormat="1" ht="12.75" hidden="1" customHeight="1" outlineLevel="5">
      <c r="A141" s="10" t="s">
        <v>170</v>
      </c>
      <c r="B141" s="100"/>
      <c r="C141" s="12"/>
      <c r="D141" t="str">
        <f>"&lt;" &amp; A141 &amp; "&gt;"</f>
        <v>&lt;/User_View&gt;</v>
      </c>
      <c r="E141" s="174" t="str">
        <f t="shared" si="3"/>
        <v>Yes</v>
      </c>
      <c r="F141" s="6" t="s">
        <v>616</v>
      </c>
      <c r="G141" s="6"/>
      <c r="I141" s="12"/>
      <c r="U141"/>
      <c r="X141"/>
    </row>
    <row r="142" spans="1:24" ht="12.75" hidden="1" customHeight="1" outlineLevel="4" collapsed="1">
      <c r="A142" s="10" t="s">
        <v>168</v>
      </c>
      <c r="B142" s="100"/>
      <c r="D142" t="str">
        <f>"&lt;" &amp; A142 &amp; "&gt;"</f>
        <v>&lt;User_View&gt;</v>
      </c>
      <c r="E142" s="174" t="str">
        <f t="shared" si="3"/>
        <v>Yes</v>
      </c>
      <c r="F142" s="6" t="s">
        <v>614</v>
      </c>
      <c r="G142" s="6"/>
      <c r="I142" s="2"/>
      <c r="M142" s="11"/>
    </row>
    <row r="143" spans="1:24" ht="12.75" hidden="1" customHeight="1" outlineLevel="5">
      <c r="A143" s="10" t="s">
        <v>169</v>
      </c>
      <c r="B143" s="100" t="s">
        <v>12</v>
      </c>
      <c r="D143" s="2" t="str">
        <f>"&lt;" &amp; A143 &amp; "&gt;" &amp;IF(B143="Yes",1,0) &amp;"&lt;/" &amp;A143&amp;"&gt;"</f>
        <v>&lt;Saved_User_View_Flag&gt;0&lt;/Saved_User_View_Flag&gt;</v>
      </c>
      <c r="E143" s="174" t="str">
        <f t="shared" si="3"/>
        <v>Yes</v>
      </c>
      <c r="F143" s="6" t="s">
        <v>615</v>
      </c>
      <c r="G143" s="6"/>
      <c r="I143" s="2"/>
      <c r="M143" s="11"/>
    </row>
    <row r="144" spans="1:24" ht="12.75" hidden="1" customHeight="1" outlineLevel="5">
      <c r="A144" s="10" t="s">
        <v>170</v>
      </c>
      <c r="B144" s="100"/>
      <c r="D144" t="str">
        <f>"&lt;" &amp; A144 &amp; "&gt;"</f>
        <v>&lt;/User_View&gt;</v>
      </c>
      <c r="E144" s="174" t="str">
        <f t="shared" si="3"/>
        <v>Yes</v>
      </c>
      <c r="F144" s="6" t="s">
        <v>616</v>
      </c>
      <c r="G144" s="6"/>
      <c r="I144" s="2"/>
      <c r="M144" s="11"/>
    </row>
    <row r="145" spans="1:24" s="11" customFormat="1" ht="12.75" hidden="1" customHeight="1" outlineLevel="4">
      <c r="A145" s="10" t="s">
        <v>171</v>
      </c>
      <c r="B145" s="100"/>
      <c r="C145" s="12"/>
      <c r="D145" t="str">
        <f>"&lt;" &amp; A145 &amp; "&gt;"</f>
        <v>&lt;/User_View_List&gt;</v>
      </c>
      <c r="E145" s="174" t="str">
        <f t="shared" si="3"/>
        <v>Yes</v>
      </c>
      <c r="F145" s="6" t="s">
        <v>617</v>
      </c>
      <c r="G145" s="6"/>
      <c r="I145" s="12"/>
      <c r="U145"/>
      <c r="X145"/>
    </row>
    <row r="146" spans="1:24" s="11" customFormat="1" ht="12.75" hidden="1" customHeight="1" outlineLevel="3">
      <c r="A146" s="10" t="s">
        <v>172</v>
      </c>
      <c r="B146" s="100"/>
      <c r="C146" s="12"/>
      <c r="D146" t="str">
        <f>"&lt;" &amp; A146 &amp; "&gt;"</f>
        <v>&lt;/VirtWindow&gt;</v>
      </c>
      <c r="E146" s="174" t="str">
        <f t="shared" si="3"/>
        <v>Yes</v>
      </c>
      <c r="F146" s="6" t="s">
        <v>618</v>
      </c>
      <c r="G146" s="6"/>
      <c r="I146" s="12"/>
      <c r="U146"/>
      <c r="X146"/>
    </row>
    <row r="147" spans="1:24" s="11" customFormat="1" ht="12.75" hidden="1" customHeight="1" outlineLevel="2" collapsed="1">
      <c r="A147" s="10" t="s">
        <v>162</v>
      </c>
      <c r="B147" s="103"/>
      <c r="C147" s="12"/>
      <c r="D147" t="str">
        <f>"&lt;" &amp; A147 &amp; "&gt;"</f>
        <v>&lt;VirtWindow&gt;</v>
      </c>
      <c r="E147" s="174" t="str">
        <f t="shared" si="3"/>
        <v>Yes</v>
      </c>
      <c r="F147" s="6" t="s">
        <v>608</v>
      </c>
      <c r="G147" s="6"/>
      <c r="I147" s="12"/>
      <c r="U147"/>
      <c r="X147"/>
    </row>
    <row r="148" spans="1:24" s="11" customFormat="1" ht="12.75" hidden="1" customHeight="1" outlineLevel="3">
      <c r="A148" s="10" t="s">
        <v>163</v>
      </c>
      <c r="B148" s="101">
        <v>1</v>
      </c>
      <c r="C148" s="12"/>
      <c r="D148" s="1" t="str">
        <f>"&lt;" &amp; A148 &amp; "&gt;" &amp; TEXT(B148,"0.000000") &amp; "&lt;/" &amp; A148 &amp; "&gt;"</f>
        <v>&lt;Back_Img_Scale_W&gt;1.000000&lt;/Back_Img_Scale_W&gt;</v>
      </c>
      <c r="E148" s="174" t="str">
        <f t="shared" si="3"/>
        <v>Yes</v>
      </c>
      <c r="F148" s="6" t="s">
        <v>609</v>
      </c>
      <c r="G148" s="6"/>
      <c r="I148" s="12"/>
      <c r="U148"/>
      <c r="X148"/>
    </row>
    <row r="149" spans="1:24" s="11" customFormat="1" ht="12.75" hidden="1" customHeight="1" outlineLevel="3">
      <c r="A149" s="10" t="s">
        <v>164</v>
      </c>
      <c r="B149" s="101">
        <v>1</v>
      </c>
      <c r="C149" s="12"/>
      <c r="D149" s="1" t="str">
        <f>"&lt;" &amp; A149 &amp; "&gt;" &amp; TEXT(B149,"0.000000") &amp; "&lt;/" &amp; A149 &amp; "&gt;"</f>
        <v>&lt;Back_Img_Scale_H&gt;1.000000&lt;/Back_Img_Scale_H&gt;</v>
      </c>
      <c r="E149" s="174" t="str">
        <f t="shared" si="3"/>
        <v>Yes</v>
      </c>
      <c r="F149" s="6" t="s">
        <v>610</v>
      </c>
      <c r="G149" s="6"/>
      <c r="U149"/>
      <c r="X149"/>
    </row>
    <row r="150" spans="1:24" s="11" customFormat="1" ht="12.75" hidden="1" customHeight="1" outlineLevel="3">
      <c r="A150" s="10" t="s">
        <v>165</v>
      </c>
      <c r="B150" s="101">
        <v>0</v>
      </c>
      <c r="C150" s="12"/>
      <c r="D150" s="1" t="str">
        <f>"&lt;" &amp; A150 &amp; "&gt;" &amp; TEXT(B150,"0.000000") &amp; "&lt;/" &amp; A150 &amp; "&gt;"</f>
        <v>&lt;Back_Img_Offset_X&gt;0.000000&lt;/Back_Img_Offset_X&gt;</v>
      </c>
      <c r="E150" s="174" t="str">
        <f t="shared" si="3"/>
        <v>Yes</v>
      </c>
      <c r="F150" s="6" t="s">
        <v>611</v>
      </c>
      <c r="G150" s="6"/>
      <c r="U150"/>
      <c r="X150"/>
    </row>
    <row r="151" spans="1:24" s="11" customFormat="1" ht="12.75" hidden="1" customHeight="1" outlineLevel="3">
      <c r="A151" s="10" t="s">
        <v>166</v>
      </c>
      <c r="B151" s="101">
        <v>0</v>
      </c>
      <c r="C151" s="12"/>
      <c r="D151" s="1" t="str">
        <f>"&lt;" &amp; A151 &amp; "&gt;" &amp; TEXT(B151,"0.000000") &amp; "&lt;/" &amp; A151 &amp; "&gt;"</f>
        <v>&lt;Back_Img_Offset_Y&gt;0.000000&lt;/Back_Img_Offset_Y&gt;</v>
      </c>
      <c r="E151" s="174" t="str">
        <f t="shared" si="3"/>
        <v>Yes</v>
      </c>
      <c r="F151" s="6" t="s">
        <v>612</v>
      </c>
      <c r="G151" s="6"/>
      <c r="U151"/>
      <c r="X151"/>
    </row>
    <row r="152" spans="1:24" s="11" customFormat="1" ht="12.75" hidden="1" customHeight="1" outlineLevel="3" collapsed="1">
      <c r="A152" s="10" t="s">
        <v>167</v>
      </c>
      <c r="B152" s="103"/>
      <c r="C152" s="12"/>
      <c r="D152" t="str">
        <f>"&lt;" &amp; A152 &amp; "&gt;"</f>
        <v>&lt;User_View_List&gt;</v>
      </c>
      <c r="E152" s="174" t="str">
        <f t="shared" si="3"/>
        <v>Yes</v>
      </c>
      <c r="F152" s="6" t="s">
        <v>613</v>
      </c>
      <c r="G152" s="6"/>
      <c r="U152"/>
      <c r="X152"/>
    </row>
    <row r="153" spans="1:24" s="11" customFormat="1" ht="12.75" hidden="1" customHeight="1" outlineLevel="4" collapsed="1">
      <c r="A153" s="10" t="s">
        <v>168</v>
      </c>
      <c r="B153" s="103"/>
      <c r="C153" s="12"/>
      <c r="D153" t="str">
        <f>"&lt;" &amp; A153 &amp; "&gt;"</f>
        <v>&lt;User_View&gt;</v>
      </c>
      <c r="E153" s="174" t="str">
        <f t="shared" si="3"/>
        <v>Yes</v>
      </c>
      <c r="F153" s="6" t="s">
        <v>614</v>
      </c>
      <c r="G153" s="6"/>
      <c r="U153"/>
      <c r="X153"/>
    </row>
    <row r="154" spans="1:24" s="11" customFormat="1" ht="12.75" hidden="1" customHeight="1" outlineLevel="5">
      <c r="A154" s="10" t="s">
        <v>169</v>
      </c>
      <c r="B154" s="100" t="s">
        <v>12</v>
      </c>
      <c r="C154" s="12"/>
      <c r="D154" s="2" t="str">
        <f>"&lt;" &amp; A154 &amp; "&gt;" &amp;IF(B154="Yes",1,0) &amp;"&lt;/" &amp;A154&amp;"&gt;"</f>
        <v>&lt;Saved_User_View_Flag&gt;0&lt;/Saved_User_View_Flag&gt;</v>
      </c>
      <c r="E154" s="174" t="str">
        <f t="shared" si="3"/>
        <v>Yes</v>
      </c>
      <c r="F154" s="6" t="s">
        <v>615</v>
      </c>
      <c r="G154" s="6"/>
      <c r="U154"/>
      <c r="X154"/>
    </row>
    <row r="155" spans="1:24" s="11" customFormat="1" ht="12.75" hidden="1" customHeight="1" outlineLevel="5">
      <c r="A155" s="10" t="s">
        <v>170</v>
      </c>
      <c r="B155" s="100"/>
      <c r="C155" s="12"/>
      <c r="D155" t="str">
        <f>"&lt;" &amp; A155 &amp; "&gt;"</f>
        <v>&lt;/User_View&gt;</v>
      </c>
      <c r="E155" s="174" t="str">
        <f t="shared" si="3"/>
        <v>Yes</v>
      </c>
      <c r="F155" s="6" t="s">
        <v>616</v>
      </c>
      <c r="G155" s="6"/>
      <c r="U155"/>
      <c r="X155"/>
    </row>
    <row r="156" spans="1:24" s="11" customFormat="1" ht="12.75" hidden="1" customHeight="1" outlineLevel="4" collapsed="1">
      <c r="A156" s="10" t="s">
        <v>168</v>
      </c>
      <c r="B156" s="100"/>
      <c r="C156" s="12"/>
      <c r="D156" t="str">
        <f>"&lt;" &amp; A156 &amp; "&gt;"</f>
        <v>&lt;User_View&gt;</v>
      </c>
      <c r="E156" s="174" t="str">
        <f t="shared" si="3"/>
        <v>Yes</v>
      </c>
      <c r="F156" s="6" t="s">
        <v>614</v>
      </c>
      <c r="G156" s="6"/>
      <c r="U156"/>
      <c r="X156"/>
    </row>
    <row r="157" spans="1:24" s="11" customFormat="1" ht="12.75" hidden="1" customHeight="1" outlineLevel="5">
      <c r="A157" s="10" t="s">
        <v>169</v>
      </c>
      <c r="B157" s="100" t="s">
        <v>12</v>
      </c>
      <c r="C157" s="12"/>
      <c r="D157" s="2" t="str">
        <f>"&lt;" &amp; A157 &amp; "&gt;" &amp;IF(B157="Yes",1,0) &amp;"&lt;/" &amp;A157&amp;"&gt;"</f>
        <v>&lt;Saved_User_View_Flag&gt;0&lt;/Saved_User_View_Flag&gt;</v>
      </c>
      <c r="E157" s="174" t="str">
        <f t="shared" si="3"/>
        <v>Yes</v>
      </c>
      <c r="F157" s="6" t="s">
        <v>615</v>
      </c>
      <c r="G157" s="6"/>
      <c r="U157"/>
      <c r="X157"/>
    </row>
    <row r="158" spans="1:24" s="11" customFormat="1" ht="12.75" hidden="1" customHeight="1" outlineLevel="5">
      <c r="A158" s="10" t="s">
        <v>170</v>
      </c>
      <c r="B158" s="100"/>
      <c r="C158" s="12"/>
      <c r="D158" t="str">
        <f>"&lt;" &amp; A158 &amp; "&gt;"</f>
        <v>&lt;/User_View&gt;</v>
      </c>
      <c r="E158" s="174" t="str">
        <f t="shared" si="3"/>
        <v>Yes</v>
      </c>
      <c r="F158" s="6" t="s">
        <v>616</v>
      </c>
      <c r="G158" s="6"/>
      <c r="U158"/>
      <c r="X158"/>
    </row>
    <row r="159" spans="1:24" s="11" customFormat="1" ht="12.75" hidden="1" customHeight="1" outlineLevel="4" collapsed="1">
      <c r="A159" s="10" t="s">
        <v>168</v>
      </c>
      <c r="B159" s="100"/>
      <c r="C159" s="12"/>
      <c r="D159" t="str">
        <f>"&lt;" &amp; A159 &amp; "&gt;"</f>
        <v>&lt;User_View&gt;</v>
      </c>
      <c r="E159" s="174" t="str">
        <f t="shared" si="3"/>
        <v>Yes</v>
      </c>
      <c r="F159" s="6" t="s">
        <v>614</v>
      </c>
      <c r="G159" s="6"/>
      <c r="U159"/>
      <c r="X159"/>
    </row>
    <row r="160" spans="1:24" s="11" customFormat="1" ht="12.75" hidden="1" customHeight="1" outlineLevel="5">
      <c r="A160" s="10" t="s">
        <v>169</v>
      </c>
      <c r="B160" s="100" t="s">
        <v>12</v>
      </c>
      <c r="C160" s="12"/>
      <c r="D160" s="2" t="str">
        <f>"&lt;" &amp; A160 &amp; "&gt;" &amp;IF(B160="Yes",1,0) &amp;"&lt;/" &amp;A160&amp;"&gt;"</f>
        <v>&lt;Saved_User_View_Flag&gt;0&lt;/Saved_User_View_Flag&gt;</v>
      </c>
      <c r="E160" s="174" t="str">
        <f t="shared" si="3"/>
        <v>Yes</v>
      </c>
      <c r="F160" s="6" t="s">
        <v>615</v>
      </c>
      <c r="G160" s="6"/>
      <c r="U160"/>
      <c r="X160"/>
    </row>
    <row r="161" spans="1:24" s="11" customFormat="1" ht="12.75" hidden="1" customHeight="1" outlineLevel="5">
      <c r="A161" s="10" t="s">
        <v>170</v>
      </c>
      <c r="B161" s="100"/>
      <c r="C161" s="12"/>
      <c r="D161" t="str">
        <f>"&lt;" &amp; A161 &amp; "&gt;"</f>
        <v>&lt;/User_View&gt;</v>
      </c>
      <c r="E161" s="174" t="str">
        <f t="shared" si="3"/>
        <v>Yes</v>
      </c>
      <c r="F161" s="6" t="s">
        <v>616</v>
      </c>
      <c r="G161" s="6"/>
      <c r="U161"/>
      <c r="X161"/>
    </row>
    <row r="162" spans="1:24" s="11" customFormat="1" ht="12.75" hidden="1" customHeight="1" outlineLevel="4" collapsed="1">
      <c r="A162" s="10" t="s">
        <v>168</v>
      </c>
      <c r="B162" s="100"/>
      <c r="C162" s="12"/>
      <c r="D162" t="str">
        <f>"&lt;" &amp; A162 &amp; "&gt;"</f>
        <v>&lt;User_View&gt;</v>
      </c>
      <c r="E162" s="174" t="str">
        <f t="shared" si="3"/>
        <v>Yes</v>
      </c>
      <c r="F162" s="6" t="s">
        <v>614</v>
      </c>
      <c r="G162" s="6"/>
      <c r="U162"/>
      <c r="X162"/>
    </row>
    <row r="163" spans="1:24" s="11" customFormat="1" ht="12.75" hidden="1" customHeight="1" outlineLevel="5">
      <c r="A163" s="10" t="s">
        <v>169</v>
      </c>
      <c r="B163" s="100" t="s">
        <v>12</v>
      </c>
      <c r="C163" s="12"/>
      <c r="D163" s="2" t="str">
        <f>"&lt;" &amp; A163 &amp; "&gt;" &amp;IF(B163="Yes",1,0) &amp;"&lt;/" &amp;A163&amp;"&gt;"</f>
        <v>&lt;Saved_User_View_Flag&gt;0&lt;/Saved_User_View_Flag&gt;</v>
      </c>
      <c r="E163" s="174" t="str">
        <f t="shared" si="3"/>
        <v>Yes</v>
      </c>
      <c r="F163" s="6" t="s">
        <v>615</v>
      </c>
      <c r="G163" s="6"/>
      <c r="U163"/>
      <c r="X163"/>
    </row>
    <row r="164" spans="1:24" s="11" customFormat="1" ht="12.75" hidden="1" customHeight="1" outlineLevel="5">
      <c r="A164" s="10" t="s">
        <v>170</v>
      </c>
      <c r="B164" s="103"/>
      <c r="C164" s="12"/>
      <c r="D164" t="str">
        <f>"&lt;" &amp; A164 &amp; "&gt;"</f>
        <v>&lt;/User_View&gt;</v>
      </c>
      <c r="E164" s="174" t="str">
        <f t="shared" si="3"/>
        <v>Yes</v>
      </c>
      <c r="F164" s="6" t="s">
        <v>616</v>
      </c>
      <c r="G164" s="6"/>
      <c r="U164"/>
      <c r="X164"/>
    </row>
    <row r="165" spans="1:24" s="11" customFormat="1" ht="12.75" hidden="1" customHeight="1" outlineLevel="4">
      <c r="A165" s="10" t="s">
        <v>171</v>
      </c>
      <c r="B165" s="103"/>
      <c r="C165" s="12"/>
      <c r="D165" t="str">
        <f>"&lt;" &amp; A165 &amp; "&gt;"</f>
        <v>&lt;/User_View_List&gt;</v>
      </c>
      <c r="E165" s="174" t="str">
        <f t="shared" si="3"/>
        <v>Yes</v>
      </c>
      <c r="F165" s="6" t="s">
        <v>617</v>
      </c>
      <c r="G165" s="6"/>
      <c r="U165"/>
      <c r="X165"/>
    </row>
    <row r="166" spans="1:24" s="11" customFormat="1" ht="12.75" hidden="1" customHeight="1" outlineLevel="3">
      <c r="A166" s="10" t="s">
        <v>172</v>
      </c>
      <c r="B166" s="103"/>
      <c r="C166" s="12"/>
      <c r="D166" t="str">
        <f>"&lt;" &amp; A166 &amp; "&gt;"</f>
        <v>&lt;/VirtWindow&gt;</v>
      </c>
      <c r="E166" s="174" t="str">
        <f t="shared" si="3"/>
        <v>Yes</v>
      </c>
      <c r="F166" s="6" t="s">
        <v>618</v>
      </c>
      <c r="G166" s="6"/>
      <c r="U166"/>
      <c r="X166"/>
    </row>
    <row r="167" spans="1:24" s="11" customFormat="1" ht="12.75" hidden="1" customHeight="1" outlineLevel="2" collapsed="1">
      <c r="A167" s="10" t="s">
        <v>162</v>
      </c>
      <c r="B167" s="103"/>
      <c r="C167" s="12"/>
      <c r="D167" t="str">
        <f>"&lt;" &amp; A167 &amp; "&gt;"</f>
        <v>&lt;VirtWindow&gt;</v>
      </c>
      <c r="E167" s="174" t="str">
        <f t="shared" si="3"/>
        <v>Yes</v>
      </c>
      <c r="F167" s="6" t="s">
        <v>608</v>
      </c>
      <c r="G167" s="6"/>
      <c r="U167"/>
      <c r="X167"/>
    </row>
    <row r="168" spans="1:24" s="11" customFormat="1" ht="12.75" hidden="1" customHeight="1" outlineLevel="3">
      <c r="A168" s="10" t="s">
        <v>163</v>
      </c>
      <c r="B168" s="101">
        <v>1</v>
      </c>
      <c r="C168" s="12"/>
      <c r="D168" s="1" t="str">
        <f>"&lt;" &amp; A168 &amp; "&gt;" &amp; TEXT(B168,"0.000000") &amp; "&lt;/" &amp; A168 &amp; "&gt;"</f>
        <v>&lt;Back_Img_Scale_W&gt;1.000000&lt;/Back_Img_Scale_W&gt;</v>
      </c>
      <c r="E168" s="174" t="str">
        <f t="shared" si="3"/>
        <v>Yes</v>
      </c>
      <c r="F168" s="6" t="s">
        <v>609</v>
      </c>
      <c r="G168" s="6"/>
      <c r="U168"/>
      <c r="X168"/>
    </row>
    <row r="169" spans="1:24" s="11" customFormat="1" ht="12.75" hidden="1" customHeight="1" outlineLevel="3">
      <c r="A169" s="10" t="s">
        <v>164</v>
      </c>
      <c r="B169" s="101">
        <v>1</v>
      </c>
      <c r="C169" s="12"/>
      <c r="D169" s="1" t="str">
        <f>"&lt;" &amp; A169 &amp; "&gt;" &amp; TEXT(B169,"0.000000") &amp; "&lt;/" &amp; A169 &amp; "&gt;"</f>
        <v>&lt;Back_Img_Scale_H&gt;1.000000&lt;/Back_Img_Scale_H&gt;</v>
      </c>
      <c r="E169" s="174" t="str">
        <f t="shared" si="3"/>
        <v>Yes</v>
      </c>
      <c r="F169" s="6" t="s">
        <v>610</v>
      </c>
      <c r="G169" s="6"/>
      <c r="U169"/>
      <c r="X169"/>
    </row>
    <row r="170" spans="1:24" s="11" customFormat="1" ht="12.75" hidden="1" customHeight="1" outlineLevel="3">
      <c r="A170" s="10" t="s">
        <v>165</v>
      </c>
      <c r="B170" s="101">
        <v>0</v>
      </c>
      <c r="C170" s="12"/>
      <c r="D170" s="1" t="str">
        <f>"&lt;" &amp; A170 &amp; "&gt;" &amp; TEXT(B170,"0.000000") &amp; "&lt;/" &amp; A170 &amp; "&gt;"</f>
        <v>&lt;Back_Img_Offset_X&gt;0.000000&lt;/Back_Img_Offset_X&gt;</v>
      </c>
      <c r="E170" s="174" t="str">
        <f t="shared" si="3"/>
        <v>Yes</v>
      </c>
      <c r="F170" s="6" t="s">
        <v>611</v>
      </c>
      <c r="G170" s="6"/>
      <c r="U170"/>
      <c r="X170"/>
    </row>
    <row r="171" spans="1:24" s="11" customFormat="1" ht="12.75" hidden="1" customHeight="1" outlineLevel="3">
      <c r="A171" s="10" t="s">
        <v>166</v>
      </c>
      <c r="B171" s="101">
        <v>0</v>
      </c>
      <c r="C171" s="12"/>
      <c r="D171" s="1" t="str">
        <f>"&lt;" &amp; A171 &amp; "&gt;" &amp; TEXT(B171,"0.000000") &amp; "&lt;/" &amp; A171 &amp; "&gt;"</f>
        <v>&lt;Back_Img_Offset_Y&gt;0.000000&lt;/Back_Img_Offset_Y&gt;</v>
      </c>
      <c r="E171" s="174" t="str">
        <f t="shared" si="3"/>
        <v>Yes</v>
      </c>
      <c r="F171" s="6" t="s">
        <v>612</v>
      </c>
      <c r="G171" s="6"/>
      <c r="U171"/>
      <c r="X171"/>
    </row>
    <row r="172" spans="1:24" s="11" customFormat="1" ht="12.75" hidden="1" customHeight="1" outlineLevel="3" collapsed="1">
      <c r="A172" s="10" t="s">
        <v>167</v>
      </c>
      <c r="B172" s="100"/>
      <c r="C172" s="12"/>
      <c r="D172" t="str">
        <f>"&lt;" &amp; A172 &amp; "&gt;"</f>
        <v>&lt;User_View_List&gt;</v>
      </c>
      <c r="E172" s="174" t="str">
        <f t="shared" si="3"/>
        <v>Yes</v>
      </c>
      <c r="F172" s="6" t="s">
        <v>613</v>
      </c>
      <c r="G172" s="6"/>
      <c r="U172"/>
      <c r="X172"/>
    </row>
    <row r="173" spans="1:24" s="11" customFormat="1" ht="12.75" hidden="1" customHeight="1" outlineLevel="4" collapsed="1">
      <c r="A173" s="10" t="s">
        <v>168</v>
      </c>
      <c r="B173" s="100"/>
      <c r="C173" s="12"/>
      <c r="D173" t="str">
        <f>"&lt;" &amp; A173 &amp; "&gt;"</f>
        <v>&lt;User_View&gt;</v>
      </c>
      <c r="E173" s="174" t="str">
        <f t="shared" si="3"/>
        <v>Yes</v>
      </c>
      <c r="F173" s="6" t="s">
        <v>614</v>
      </c>
      <c r="G173" s="6"/>
      <c r="U173"/>
      <c r="X173"/>
    </row>
    <row r="174" spans="1:24" s="11" customFormat="1" ht="12.75" hidden="1" customHeight="1" outlineLevel="5">
      <c r="A174" s="10" t="s">
        <v>169</v>
      </c>
      <c r="B174" s="100" t="s">
        <v>12</v>
      </c>
      <c r="C174" s="12"/>
      <c r="D174" s="2" t="str">
        <f>"&lt;" &amp; A174 &amp; "&gt;" &amp;IF(B174="Yes",1,0) &amp;"&lt;/" &amp;A174&amp;"&gt;"</f>
        <v>&lt;Saved_User_View_Flag&gt;0&lt;/Saved_User_View_Flag&gt;</v>
      </c>
      <c r="E174" s="174" t="str">
        <f t="shared" si="3"/>
        <v>Yes</v>
      </c>
      <c r="F174" s="6" t="s">
        <v>615</v>
      </c>
      <c r="G174" s="6"/>
      <c r="U174"/>
      <c r="X174"/>
    </row>
    <row r="175" spans="1:24" s="11" customFormat="1" ht="12.75" hidden="1" customHeight="1" outlineLevel="5">
      <c r="A175" s="10" t="s">
        <v>170</v>
      </c>
      <c r="B175" s="100"/>
      <c r="C175" s="12"/>
      <c r="D175" t="str">
        <f>"&lt;" &amp; A175 &amp; "&gt;"</f>
        <v>&lt;/User_View&gt;</v>
      </c>
      <c r="E175" s="174" t="str">
        <f t="shared" si="3"/>
        <v>Yes</v>
      </c>
      <c r="F175" s="6" t="s">
        <v>616</v>
      </c>
      <c r="G175" s="6"/>
      <c r="U175"/>
      <c r="X175"/>
    </row>
    <row r="176" spans="1:24" s="11" customFormat="1" ht="12.75" hidden="1" customHeight="1" outlineLevel="4" collapsed="1">
      <c r="A176" s="10" t="s">
        <v>168</v>
      </c>
      <c r="B176" s="100"/>
      <c r="C176" s="12"/>
      <c r="D176" t="str">
        <f>"&lt;" &amp; A176 &amp; "&gt;"</f>
        <v>&lt;User_View&gt;</v>
      </c>
      <c r="E176" s="174" t="str">
        <f t="shared" si="3"/>
        <v>Yes</v>
      </c>
      <c r="F176" s="6" t="s">
        <v>614</v>
      </c>
      <c r="G176" s="6"/>
      <c r="U176"/>
      <c r="X176"/>
    </row>
    <row r="177" spans="1:24" s="11" customFormat="1" ht="12.75" hidden="1" customHeight="1" outlineLevel="5">
      <c r="A177" s="10" t="s">
        <v>169</v>
      </c>
      <c r="B177" s="100" t="s">
        <v>12</v>
      </c>
      <c r="C177" s="12"/>
      <c r="D177" s="2" t="str">
        <f>"&lt;" &amp; A177 &amp; "&gt;" &amp;IF(B177="Yes",1,0) &amp;"&lt;/" &amp;A177&amp;"&gt;"</f>
        <v>&lt;Saved_User_View_Flag&gt;0&lt;/Saved_User_View_Flag&gt;</v>
      </c>
      <c r="E177" s="174" t="str">
        <f t="shared" si="3"/>
        <v>Yes</v>
      </c>
      <c r="F177" s="6" t="s">
        <v>615</v>
      </c>
      <c r="G177" s="6"/>
      <c r="U177"/>
      <c r="X177"/>
    </row>
    <row r="178" spans="1:24" s="11" customFormat="1" ht="12.75" hidden="1" customHeight="1" outlineLevel="5">
      <c r="A178" s="10" t="s">
        <v>170</v>
      </c>
      <c r="B178" s="100"/>
      <c r="C178" s="12"/>
      <c r="D178" t="str">
        <f>"&lt;" &amp; A178 &amp; "&gt;"</f>
        <v>&lt;/User_View&gt;</v>
      </c>
      <c r="E178" s="174" t="str">
        <f t="shared" si="3"/>
        <v>Yes</v>
      </c>
      <c r="F178" s="6" t="s">
        <v>616</v>
      </c>
      <c r="G178" s="6"/>
      <c r="U178"/>
      <c r="X178"/>
    </row>
    <row r="179" spans="1:24" s="11" customFormat="1" ht="12.75" hidden="1" customHeight="1" outlineLevel="4" collapsed="1">
      <c r="A179" s="10" t="s">
        <v>168</v>
      </c>
      <c r="B179" s="100"/>
      <c r="C179" s="12"/>
      <c r="D179" t="str">
        <f>"&lt;" &amp; A179 &amp; "&gt;"</f>
        <v>&lt;User_View&gt;</v>
      </c>
      <c r="E179" s="174" t="str">
        <f t="shared" si="3"/>
        <v>Yes</v>
      </c>
      <c r="F179" s="6" t="s">
        <v>614</v>
      </c>
      <c r="G179" s="6"/>
      <c r="U179"/>
      <c r="X179"/>
    </row>
    <row r="180" spans="1:24" s="11" customFormat="1" ht="12.75" hidden="1" customHeight="1" outlineLevel="5">
      <c r="A180" s="10" t="s">
        <v>169</v>
      </c>
      <c r="B180" s="100" t="s">
        <v>12</v>
      </c>
      <c r="C180" s="12"/>
      <c r="D180" s="2" t="str">
        <f>"&lt;" &amp; A180 &amp; "&gt;" &amp;IF(B180="Yes",1,0) &amp;"&lt;/" &amp;A180&amp;"&gt;"</f>
        <v>&lt;Saved_User_View_Flag&gt;0&lt;/Saved_User_View_Flag&gt;</v>
      </c>
      <c r="E180" s="174" t="str">
        <f t="shared" si="3"/>
        <v>Yes</v>
      </c>
      <c r="F180" s="6" t="s">
        <v>615</v>
      </c>
      <c r="G180" s="6"/>
      <c r="U180"/>
      <c r="X180"/>
    </row>
    <row r="181" spans="1:24" s="11" customFormat="1" ht="12.75" hidden="1" customHeight="1" outlineLevel="5">
      <c r="A181" s="10" t="s">
        <v>170</v>
      </c>
      <c r="B181" s="100"/>
      <c r="C181" s="12"/>
      <c r="D181" t="str">
        <f>"&lt;" &amp; A181 &amp; "&gt;"</f>
        <v>&lt;/User_View&gt;</v>
      </c>
      <c r="E181" s="174" t="str">
        <f t="shared" si="3"/>
        <v>Yes</v>
      </c>
      <c r="F181" s="6" t="s">
        <v>616</v>
      </c>
      <c r="G181" s="6"/>
      <c r="U181"/>
      <c r="X181"/>
    </row>
    <row r="182" spans="1:24" s="11" customFormat="1" ht="12.75" hidden="1" customHeight="1" outlineLevel="4" collapsed="1">
      <c r="A182" s="10" t="s">
        <v>168</v>
      </c>
      <c r="B182" s="100"/>
      <c r="C182" s="12"/>
      <c r="D182" t="str">
        <f>"&lt;" &amp; A182 &amp; "&gt;"</f>
        <v>&lt;User_View&gt;</v>
      </c>
      <c r="E182" s="174" t="str">
        <f t="shared" si="3"/>
        <v>Yes</v>
      </c>
      <c r="F182" s="6" t="s">
        <v>614</v>
      </c>
      <c r="G182" s="6"/>
      <c r="U182"/>
      <c r="X182"/>
    </row>
    <row r="183" spans="1:24" s="11" customFormat="1" ht="12.75" hidden="1" customHeight="1" outlineLevel="5">
      <c r="A183" s="10" t="s">
        <v>169</v>
      </c>
      <c r="B183" s="100" t="s">
        <v>12</v>
      </c>
      <c r="C183" s="12"/>
      <c r="D183" s="2" t="str">
        <f>"&lt;" &amp; A183 &amp; "&gt;" &amp;IF(B183="Yes",1,0) &amp;"&lt;/" &amp;A183&amp;"&gt;"</f>
        <v>&lt;Saved_User_View_Flag&gt;0&lt;/Saved_User_View_Flag&gt;</v>
      </c>
      <c r="E183" s="174" t="str">
        <f t="shared" si="3"/>
        <v>Yes</v>
      </c>
      <c r="F183" s="6" t="s">
        <v>615</v>
      </c>
      <c r="G183" s="6"/>
      <c r="U183"/>
      <c r="X183"/>
    </row>
    <row r="184" spans="1:24" s="11" customFormat="1" ht="12.75" hidden="1" customHeight="1" outlineLevel="5">
      <c r="A184" s="10" t="s">
        <v>170</v>
      </c>
      <c r="B184" s="100"/>
      <c r="C184" s="12"/>
      <c r="D184" t="str">
        <f>"&lt;" &amp; A184 &amp; "&gt;"</f>
        <v>&lt;/User_View&gt;</v>
      </c>
      <c r="E184" s="174" t="str">
        <f t="shared" si="3"/>
        <v>Yes</v>
      </c>
      <c r="F184" s="6" t="s">
        <v>616</v>
      </c>
      <c r="G184" s="6"/>
      <c r="U184"/>
      <c r="X184"/>
    </row>
    <row r="185" spans="1:24" s="11" customFormat="1" ht="12.75" hidden="1" customHeight="1" outlineLevel="4">
      <c r="A185" s="10" t="s">
        <v>171</v>
      </c>
      <c r="B185" s="100"/>
      <c r="C185" s="12"/>
      <c r="D185" t="str">
        <f>"&lt;" &amp; A185 &amp; "&gt;"</f>
        <v>&lt;/User_View_List&gt;</v>
      </c>
      <c r="E185" s="174" t="str">
        <f t="shared" si="3"/>
        <v>Yes</v>
      </c>
      <c r="F185" s="6" t="s">
        <v>617</v>
      </c>
      <c r="G185" s="6"/>
      <c r="U185"/>
      <c r="X185"/>
    </row>
    <row r="186" spans="1:24" s="11" customFormat="1" ht="12.75" hidden="1" customHeight="1" outlineLevel="3">
      <c r="A186" s="10" t="s">
        <v>172</v>
      </c>
      <c r="B186" s="100"/>
      <c r="C186" s="12"/>
      <c r="D186" t="str">
        <f>"&lt;" &amp; A186 &amp; "&gt;"</f>
        <v>&lt;/VirtWindow&gt;</v>
      </c>
      <c r="E186" s="174" t="str">
        <f t="shared" si="3"/>
        <v>Yes</v>
      </c>
      <c r="F186" s="6" t="s">
        <v>618</v>
      </c>
      <c r="G186" s="6"/>
      <c r="U186"/>
      <c r="X186"/>
    </row>
    <row r="187" spans="1:24" s="11" customFormat="1" ht="12.75" hidden="1" customHeight="1" outlineLevel="2" collapsed="1">
      <c r="A187" s="10" t="s">
        <v>162</v>
      </c>
      <c r="B187" s="100"/>
      <c r="C187" s="12"/>
      <c r="D187" t="str">
        <f>"&lt;" &amp; A187 &amp; "&gt;"</f>
        <v>&lt;VirtWindow&gt;</v>
      </c>
      <c r="E187" s="174" t="str">
        <f t="shared" si="3"/>
        <v>Yes</v>
      </c>
      <c r="F187" s="6" t="s">
        <v>608</v>
      </c>
      <c r="G187" s="6"/>
      <c r="U187"/>
      <c r="X187"/>
    </row>
    <row r="188" spans="1:24" s="11" customFormat="1" ht="12.75" hidden="1" customHeight="1" outlineLevel="3">
      <c r="A188" s="10" t="s">
        <v>163</v>
      </c>
      <c r="B188" s="101">
        <v>1</v>
      </c>
      <c r="C188" s="12"/>
      <c r="D188" s="1" t="str">
        <f>"&lt;" &amp; A188 &amp; "&gt;" &amp; TEXT(B188,"0.000000") &amp; "&lt;/" &amp; A188 &amp; "&gt;"</f>
        <v>&lt;Back_Img_Scale_W&gt;1.000000&lt;/Back_Img_Scale_W&gt;</v>
      </c>
      <c r="E188" s="174" t="str">
        <f t="shared" si="3"/>
        <v>Yes</v>
      </c>
      <c r="F188" s="6" t="s">
        <v>609</v>
      </c>
      <c r="G188" s="6"/>
      <c r="U188"/>
      <c r="X188"/>
    </row>
    <row r="189" spans="1:24" s="11" customFormat="1" ht="12.75" hidden="1" customHeight="1" outlineLevel="3">
      <c r="A189" s="10" t="s">
        <v>164</v>
      </c>
      <c r="B189" s="101">
        <v>1</v>
      </c>
      <c r="C189" s="12"/>
      <c r="D189" s="1" t="str">
        <f>"&lt;" &amp; A189 &amp; "&gt;" &amp; TEXT(B189,"0.000000") &amp; "&lt;/" &amp; A189 &amp; "&gt;"</f>
        <v>&lt;Back_Img_Scale_H&gt;1.000000&lt;/Back_Img_Scale_H&gt;</v>
      </c>
      <c r="E189" s="174" t="str">
        <f t="shared" si="3"/>
        <v>Yes</v>
      </c>
      <c r="F189" s="6" t="s">
        <v>610</v>
      </c>
      <c r="G189" s="6"/>
      <c r="U189"/>
      <c r="X189"/>
    </row>
    <row r="190" spans="1:24" s="11" customFormat="1" ht="12.75" hidden="1" customHeight="1" outlineLevel="3">
      <c r="A190" s="10" t="s">
        <v>165</v>
      </c>
      <c r="B190" s="101">
        <v>0</v>
      </c>
      <c r="C190" s="12"/>
      <c r="D190" s="1" t="str">
        <f>"&lt;" &amp; A190 &amp; "&gt;" &amp; TEXT(B190,"0.000000") &amp; "&lt;/" &amp; A190 &amp; "&gt;"</f>
        <v>&lt;Back_Img_Offset_X&gt;0.000000&lt;/Back_Img_Offset_X&gt;</v>
      </c>
      <c r="E190" s="174" t="str">
        <f t="shared" si="3"/>
        <v>Yes</v>
      </c>
      <c r="F190" s="6" t="s">
        <v>611</v>
      </c>
      <c r="G190" s="6"/>
      <c r="U190"/>
      <c r="X190"/>
    </row>
    <row r="191" spans="1:24" s="11" customFormat="1" ht="12.75" hidden="1" customHeight="1" outlineLevel="3">
      <c r="A191" s="10" t="s">
        <v>166</v>
      </c>
      <c r="B191" s="101">
        <v>0</v>
      </c>
      <c r="C191" s="12"/>
      <c r="D191" s="1" t="str">
        <f>"&lt;" &amp; A191 &amp; "&gt;" &amp; TEXT(B191,"0.000000") &amp; "&lt;/" &amp; A191 &amp; "&gt;"</f>
        <v>&lt;Back_Img_Offset_Y&gt;0.000000&lt;/Back_Img_Offset_Y&gt;</v>
      </c>
      <c r="E191" s="174" t="str">
        <f t="shared" si="3"/>
        <v>Yes</v>
      </c>
      <c r="F191" s="6" t="s">
        <v>612</v>
      </c>
      <c r="G191" s="6"/>
      <c r="U191"/>
      <c r="X191"/>
    </row>
    <row r="192" spans="1:24" s="11" customFormat="1" ht="12.75" hidden="1" customHeight="1" outlineLevel="3" collapsed="1">
      <c r="A192" s="10" t="s">
        <v>167</v>
      </c>
      <c r="B192" s="100"/>
      <c r="C192" s="12"/>
      <c r="D192" t="str">
        <f>"&lt;" &amp; A192 &amp; "&gt;"</f>
        <v>&lt;User_View_List&gt;</v>
      </c>
      <c r="E192" s="174" t="str">
        <f t="shared" si="3"/>
        <v>Yes</v>
      </c>
      <c r="F192" s="6" t="s">
        <v>613</v>
      </c>
      <c r="G192" s="6"/>
      <c r="U192"/>
      <c r="X192"/>
    </row>
    <row r="193" spans="1:107" s="11" customFormat="1" ht="12.75" hidden="1" customHeight="1" outlineLevel="4" collapsed="1">
      <c r="A193" s="10" t="s">
        <v>168</v>
      </c>
      <c r="B193" s="100"/>
      <c r="C193" s="12"/>
      <c r="D193" t="str">
        <f>"&lt;" &amp; A193 &amp; "&gt;"</f>
        <v>&lt;User_View&gt;</v>
      </c>
      <c r="E193" s="174" t="str">
        <f t="shared" si="3"/>
        <v>Yes</v>
      </c>
      <c r="F193" s="6" t="s">
        <v>614</v>
      </c>
      <c r="G193" s="6"/>
      <c r="U193"/>
      <c r="X193"/>
    </row>
    <row r="194" spans="1:107" s="11" customFormat="1" ht="12.75" hidden="1" customHeight="1" outlineLevel="5">
      <c r="A194" s="10" t="s">
        <v>169</v>
      </c>
      <c r="B194" s="100" t="s">
        <v>12</v>
      </c>
      <c r="C194" s="12"/>
      <c r="D194" s="2" t="str">
        <f>"&lt;" &amp; A194 &amp; "&gt;" &amp;IF(B194="Yes",1,0) &amp;"&lt;/" &amp;A194&amp;"&gt;"</f>
        <v>&lt;Saved_User_View_Flag&gt;0&lt;/Saved_User_View_Flag&gt;</v>
      </c>
      <c r="E194" s="174" t="str">
        <f t="shared" si="3"/>
        <v>Yes</v>
      </c>
      <c r="F194" s="6" t="s">
        <v>615</v>
      </c>
      <c r="G194" s="6"/>
      <c r="U194"/>
      <c r="X194"/>
    </row>
    <row r="195" spans="1:107" s="11" customFormat="1" ht="12.75" hidden="1" customHeight="1" outlineLevel="5">
      <c r="A195" s="10" t="s">
        <v>170</v>
      </c>
      <c r="B195" s="100"/>
      <c r="C195" s="12"/>
      <c r="D195" t="str">
        <f>"&lt;" &amp; A195 &amp; "&gt;"</f>
        <v>&lt;/User_View&gt;</v>
      </c>
      <c r="E195" s="174" t="str">
        <f t="shared" si="3"/>
        <v>Yes</v>
      </c>
      <c r="F195" s="6" t="s">
        <v>616</v>
      </c>
      <c r="G195" s="6"/>
      <c r="U195"/>
      <c r="X195"/>
    </row>
    <row r="196" spans="1:107" s="11" customFormat="1" ht="12.75" hidden="1" customHeight="1" outlineLevel="4" collapsed="1">
      <c r="A196" s="10" t="s">
        <v>168</v>
      </c>
      <c r="B196" s="100"/>
      <c r="C196" s="12"/>
      <c r="D196" t="str">
        <f>"&lt;" &amp; A196 &amp; "&gt;"</f>
        <v>&lt;User_View&gt;</v>
      </c>
      <c r="E196" s="174" t="str">
        <f t="shared" si="3"/>
        <v>Yes</v>
      </c>
      <c r="F196" s="6" t="s">
        <v>614</v>
      </c>
      <c r="G196" s="6"/>
      <c r="U196"/>
      <c r="X196"/>
    </row>
    <row r="197" spans="1:107" s="11" customFormat="1" ht="12.75" hidden="1" customHeight="1" outlineLevel="5">
      <c r="A197" s="10" t="s">
        <v>169</v>
      </c>
      <c r="B197" s="100" t="s">
        <v>12</v>
      </c>
      <c r="C197" s="12"/>
      <c r="D197" s="2" t="str">
        <f>"&lt;" &amp; A197 &amp; "&gt;" &amp;IF(B197="Yes",1,0) &amp;"&lt;/" &amp;A197&amp;"&gt;"</f>
        <v>&lt;Saved_User_View_Flag&gt;0&lt;/Saved_User_View_Flag&gt;</v>
      </c>
      <c r="E197" s="174" t="str">
        <f t="shared" si="3"/>
        <v>Yes</v>
      </c>
      <c r="F197" s="6" t="s">
        <v>615</v>
      </c>
      <c r="G197" s="6"/>
      <c r="U197"/>
      <c r="X197"/>
    </row>
    <row r="198" spans="1:107" s="11" customFormat="1" ht="12.75" hidden="1" customHeight="1" outlineLevel="5">
      <c r="A198" s="10" t="s">
        <v>170</v>
      </c>
      <c r="B198" s="100"/>
      <c r="C198" s="12"/>
      <c r="D198" t="str">
        <f>"&lt;" &amp; A198 &amp; "&gt;"</f>
        <v>&lt;/User_View&gt;</v>
      </c>
      <c r="E198" s="174" t="str">
        <f t="shared" si="3"/>
        <v>Yes</v>
      </c>
      <c r="F198" s="6" t="s">
        <v>616</v>
      </c>
      <c r="G198" s="6"/>
      <c r="U198"/>
      <c r="X198"/>
    </row>
    <row r="199" spans="1:107" s="11" customFormat="1" ht="12.75" hidden="1" customHeight="1" outlineLevel="4" collapsed="1">
      <c r="A199" s="10" t="s">
        <v>168</v>
      </c>
      <c r="B199" s="100"/>
      <c r="C199" s="12"/>
      <c r="D199" t="str">
        <f>"&lt;" &amp; A199 &amp; "&gt;"</f>
        <v>&lt;User_View&gt;</v>
      </c>
      <c r="E199" s="174" t="str">
        <f t="shared" ref="E199:E262" si="4">IF(D199=F199,"Yes","No")</f>
        <v>Yes</v>
      </c>
      <c r="F199" s="6" t="s">
        <v>614</v>
      </c>
      <c r="G199" s="6"/>
      <c r="U199"/>
      <c r="X199"/>
    </row>
    <row r="200" spans="1:107" s="11" customFormat="1" ht="12.75" hidden="1" customHeight="1" outlineLevel="5">
      <c r="A200" s="10" t="s">
        <v>169</v>
      </c>
      <c r="B200" s="100" t="s">
        <v>12</v>
      </c>
      <c r="C200" s="12"/>
      <c r="D200" s="2" t="str">
        <f>"&lt;" &amp; A200 &amp; "&gt;" &amp;IF(B200="Yes",1,0) &amp;"&lt;/" &amp;A200&amp;"&gt;"</f>
        <v>&lt;Saved_User_View_Flag&gt;0&lt;/Saved_User_View_Flag&gt;</v>
      </c>
      <c r="E200" s="174" t="str">
        <f t="shared" si="4"/>
        <v>Yes</v>
      </c>
      <c r="F200" s="6" t="s">
        <v>615</v>
      </c>
      <c r="G200" s="6"/>
      <c r="U200"/>
      <c r="X200"/>
    </row>
    <row r="201" spans="1:107" s="11" customFormat="1" ht="12.75" hidden="1" customHeight="1" outlineLevel="5">
      <c r="A201" s="10" t="s">
        <v>170</v>
      </c>
      <c r="B201" s="100"/>
      <c r="C201" s="12"/>
      <c r="D201" t="str">
        <f>"&lt;" &amp; A201 &amp; "&gt;"</f>
        <v>&lt;/User_View&gt;</v>
      </c>
      <c r="E201" s="174" t="str">
        <f t="shared" si="4"/>
        <v>Yes</v>
      </c>
      <c r="F201" s="6" t="s">
        <v>616</v>
      </c>
      <c r="G201" s="6"/>
      <c r="U201"/>
      <c r="X201"/>
    </row>
    <row r="202" spans="1:107" s="11" customFormat="1" ht="12.75" hidden="1" customHeight="1" outlineLevel="4" collapsed="1">
      <c r="A202" s="10" t="s">
        <v>168</v>
      </c>
      <c r="B202" s="100"/>
      <c r="C202" s="12"/>
      <c r="D202" t="str">
        <f>"&lt;" &amp; A202 &amp; "&gt;"</f>
        <v>&lt;User_View&gt;</v>
      </c>
      <c r="E202" s="174" t="str">
        <f t="shared" si="4"/>
        <v>Yes</v>
      </c>
      <c r="F202" s="6" t="s">
        <v>614</v>
      </c>
      <c r="G202" s="6"/>
      <c r="U202"/>
      <c r="X202"/>
    </row>
    <row r="203" spans="1:107" s="11" customFormat="1" ht="12.75" hidden="1" customHeight="1" outlineLevel="5">
      <c r="A203" s="10" t="s">
        <v>169</v>
      </c>
      <c r="B203" s="100" t="s">
        <v>12</v>
      </c>
      <c r="C203" s="12"/>
      <c r="D203" s="2" t="str">
        <f>"&lt;" &amp; A203 &amp; "&gt;" &amp;IF(B203="Yes",1,0) &amp;"&lt;/" &amp;A203&amp;"&gt;"</f>
        <v>&lt;Saved_User_View_Flag&gt;0&lt;/Saved_User_View_Flag&gt;</v>
      </c>
      <c r="E203" s="174" t="str">
        <f t="shared" si="4"/>
        <v>Yes</v>
      </c>
      <c r="F203" s="6" t="s">
        <v>615</v>
      </c>
      <c r="G203" s="6"/>
      <c r="U203"/>
      <c r="X203"/>
    </row>
    <row r="204" spans="1:107" s="11" customFormat="1" ht="12.75" hidden="1" customHeight="1" outlineLevel="5">
      <c r="A204" s="10" t="s">
        <v>170</v>
      </c>
      <c r="B204" s="104"/>
      <c r="C204" s="12"/>
      <c r="D204" t="str">
        <f>"&lt;" &amp; A204 &amp; "&gt;"</f>
        <v>&lt;/User_View&gt;</v>
      </c>
      <c r="E204" s="174" t="str">
        <f t="shared" si="4"/>
        <v>Yes</v>
      </c>
      <c r="F204" s="6" t="s">
        <v>616</v>
      </c>
      <c r="G204" s="6"/>
      <c r="U204"/>
      <c r="X204"/>
    </row>
    <row r="205" spans="1:107" s="11" customFormat="1" ht="12.75" hidden="1" customHeight="1" outlineLevel="4">
      <c r="A205" s="10" t="s">
        <v>171</v>
      </c>
      <c r="B205" s="104"/>
      <c r="C205" s="12"/>
      <c r="D205" t="str">
        <f>"&lt;" &amp; A205 &amp; "&gt;"</f>
        <v>&lt;/User_View_List&gt;</v>
      </c>
      <c r="E205" s="174" t="str">
        <f t="shared" si="4"/>
        <v>Yes</v>
      </c>
      <c r="F205" s="6" t="s">
        <v>617</v>
      </c>
      <c r="G205" s="6"/>
      <c r="U205"/>
      <c r="X205"/>
    </row>
    <row r="206" spans="1:107" s="11" customFormat="1" ht="12.75" hidden="1" customHeight="1" outlineLevel="3">
      <c r="A206" s="10" t="s">
        <v>172</v>
      </c>
      <c r="B206" s="104"/>
      <c r="C206" s="12"/>
      <c r="D206" t="str">
        <f>"&lt;" &amp; A206 &amp; "&gt;"</f>
        <v>&lt;/VirtWindow&gt;</v>
      </c>
      <c r="E206" s="174" t="str">
        <f t="shared" si="4"/>
        <v>Yes</v>
      </c>
      <c r="F206" s="6" t="s">
        <v>618</v>
      </c>
      <c r="G206" s="6"/>
      <c r="K206" s="15" t="s">
        <v>35</v>
      </c>
      <c r="U206"/>
      <c r="X206"/>
    </row>
    <row r="207" spans="1:107" s="11" customFormat="1" ht="12.75" hidden="1" customHeight="1" outlineLevel="2">
      <c r="A207" s="10" t="s">
        <v>173</v>
      </c>
      <c r="B207" s="104"/>
      <c r="C207" s="12"/>
      <c r="D207" t="str">
        <f>"&lt;" &amp; A207 &amp; "&gt;"</f>
        <v>&lt;/VirtWindow_List&gt;</v>
      </c>
      <c r="E207" s="174" t="str">
        <f t="shared" si="4"/>
        <v>Yes</v>
      </c>
      <c r="F207" s="6" t="s">
        <v>619</v>
      </c>
      <c r="G207" s="6"/>
      <c r="U207"/>
      <c r="X207"/>
    </row>
    <row r="208" spans="1:107" s="11" customFormat="1" ht="12.75" customHeight="1" outlineLevel="1">
      <c r="A208" s="7" t="s">
        <v>39</v>
      </c>
      <c r="B208" s="135"/>
      <c r="C208" s="8"/>
      <c r="D208" s="8" t="str">
        <f>"&lt;" &amp; A208 &amp; "&gt;"</f>
        <v>&lt;Component_List&gt;</v>
      </c>
      <c r="E208" s="174" t="str">
        <f t="shared" si="4"/>
        <v>Yes</v>
      </c>
      <c r="F208" s="6" t="s">
        <v>620</v>
      </c>
      <c r="G208" s="6"/>
      <c r="H208" s="17"/>
      <c r="I208" s="130"/>
      <c r="J208" s="17"/>
      <c r="K208" s="17"/>
      <c r="L208" s="17"/>
      <c r="M208" s="17"/>
      <c r="N208" s="17"/>
      <c r="O208" s="17"/>
      <c r="P208" s="17"/>
      <c r="Q208" s="17"/>
      <c r="R208" s="17"/>
      <c r="S208" s="17"/>
      <c r="T208" s="17"/>
      <c r="U208" s="6"/>
      <c r="V208" s="17"/>
      <c r="W208" s="17"/>
      <c r="X208" s="6"/>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row>
    <row r="209" spans="1:108" s="22" customFormat="1" ht="12.75" customHeight="1" outlineLevel="2">
      <c r="A209" s="107" t="s">
        <v>40</v>
      </c>
      <c r="B209" s="99" t="s">
        <v>140</v>
      </c>
      <c r="C209" s="177" t="s">
        <v>11</v>
      </c>
      <c r="D209" s="6" t="str">
        <f>IF(C209="Yes",("&lt;"&amp;A209&amp;"&gt;"),("&lt;!--"&amp;A209&amp;"&gt;"))</f>
        <v>&lt;Component&gt;</v>
      </c>
      <c r="E209" s="174" t="str">
        <f t="shared" si="4"/>
        <v>Yes</v>
      </c>
      <c r="F209" s="6" t="s">
        <v>283</v>
      </c>
      <c r="G209" s="6"/>
      <c r="H209" s="17"/>
      <c r="I209" s="130"/>
      <c r="J209" s="17"/>
      <c r="K209" s="17"/>
      <c r="L209" s="17"/>
      <c r="M209" s="17"/>
      <c r="N209" s="17"/>
      <c r="O209" s="17"/>
      <c r="P209" s="17"/>
      <c r="Q209" s="17"/>
      <c r="R209" s="17"/>
      <c r="S209" s="17"/>
      <c r="T209" s="17"/>
      <c r="U209" s="6"/>
      <c r="V209" s="17"/>
      <c r="W209" s="17"/>
      <c r="X209" s="6"/>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row>
    <row r="210" spans="1:108" s="11" customFormat="1" ht="12.75" customHeight="1" outlineLevel="3">
      <c r="A210" s="107" t="s">
        <v>14</v>
      </c>
      <c r="B210" s="6" t="s">
        <v>41</v>
      </c>
      <c r="C210" s="20"/>
      <c r="D210" s="18" t="str">
        <f>"&lt;" &amp; A210 &amp; "&gt;" &amp; TEXT(B210,0) &amp; "&lt;/" &amp; A210 &amp; "&gt;"</f>
        <v>&lt;Type&gt;Mswing&lt;/Type&gt;</v>
      </c>
      <c r="E210" s="174" t="str">
        <f t="shared" si="4"/>
        <v>Yes</v>
      </c>
      <c r="F210" s="6" t="s">
        <v>621</v>
      </c>
      <c r="G210" s="6"/>
      <c r="H210" s="17"/>
      <c r="I210" s="130"/>
      <c r="J210" s="17"/>
      <c r="K210" s="17"/>
      <c r="L210" s="17"/>
      <c r="M210" s="17"/>
      <c r="N210" s="17"/>
      <c r="O210" s="17"/>
      <c r="P210" s="17"/>
      <c r="Q210" s="17"/>
      <c r="R210" s="17"/>
      <c r="S210" s="17"/>
      <c r="T210" s="17"/>
      <c r="U210" s="17"/>
      <c r="V210" s="17"/>
      <c r="W210" s="17"/>
      <c r="X210" s="6"/>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row>
    <row r="211" spans="1:108" s="11" customFormat="1" ht="12.75" customHeight="1" outlineLevel="3" collapsed="1">
      <c r="A211" s="107" t="s">
        <v>42</v>
      </c>
      <c r="B211" s="17"/>
      <c r="C211" s="20"/>
      <c r="D211" s="6" t="str">
        <f>"&lt;" &amp; A211 &amp; "&gt;"</f>
        <v>&lt;General_Parms&gt;</v>
      </c>
      <c r="E211" s="174" t="str">
        <f t="shared" si="4"/>
        <v>Yes</v>
      </c>
      <c r="F211" s="6" t="s">
        <v>622</v>
      </c>
      <c r="G211" s="6"/>
      <c r="H211" s="17"/>
      <c r="I211" s="130"/>
      <c r="J211" s="17"/>
      <c r="K211" s="17"/>
      <c r="L211" s="17"/>
      <c r="M211" s="17"/>
      <c r="N211" s="17"/>
      <c r="O211" s="17"/>
      <c r="P211" s="17"/>
      <c r="Q211" s="17"/>
      <c r="R211" s="17"/>
      <c r="S211" s="17"/>
      <c r="T211" s="17"/>
      <c r="U211" s="17"/>
      <c r="V211" s="17"/>
      <c r="W211" s="17"/>
      <c r="X211" s="6"/>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row>
    <row r="212" spans="1:108" s="11" customFormat="1" ht="12.75" hidden="1" customHeight="1" outlineLevel="4">
      <c r="A212" s="107" t="s">
        <v>1</v>
      </c>
      <c r="B212" s="18" t="s">
        <v>424</v>
      </c>
      <c r="C212" s="20"/>
      <c r="D212" s="18" t="str">
        <f>"&lt;" &amp; A212 &amp; "&gt;" &amp; TEXT(B212,0) &amp; "&lt;/" &amp; A212 &amp; "&gt;"</f>
        <v>&lt;Name&gt;HTail&lt;/Name&gt;</v>
      </c>
      <c r="E212" s="174" t="str">
        <f t="shared" si="4"/>
        <v>Yes</v>
      </c>
      <c r="F212" s="6" t="s">
        <v>623</v>
      </c>
      <c r="G212" s="6"/>
      <c r="H212" s="17"/>
      <c r="I212" s="130"/>
      <c r="J212" s="17"/>
      <c r="K212" s="17"/>
      <c r="L212" s="17"/>
      <c r="M212" s="17"/>
      <c r="N212" s="17"/>
      <c r="O212" s="17"/>
      <c r="P212" s="17"/>
      <c r="Q212" s="17"/>
      <c r="R212" s="17"/>
      <c r="S212" s="17"/>
      <c r="T212" s="17"/>
      <c r="U212" s="17"/>
      <c r="V212" s="17"/>
      <c r="W212" s="17"/>
      <c r="X212" s="6"/>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row>
    <row r="213" spans="1:108" s="11" customFormat="1" ht="12.75" hidden="1" customHeight="1" outlineLevel="4">
      <c r="A213" s="107" t="s">
        <v>43</v>
      </c>
      <c r="B213" s="30">
        <v>255</v>
      </c>
      <c r="C213" s="20"/>
      <c r="D213" s="18" t="str">
        <f>"&lt;" &amp; A213 &amp; "&gt;" &amp; TEXT(B213,"0.000000") &amp; "&lt;/" &amp; A213 &amp; "&gt;"</f>
        <v>&lt;ColorR&gt;255.000000&lt;/ColorR&gt;</v>
      </c>
      <c r="E213" s="174" t="str">
        <f t="shared" si="4"/>
        <v>Yes</v>
      </c>
      <c r="F213" s="6" t="s">
        <v>624</v>
      </c>
      <c r="G213" s="6"/>
      <c r="H213" s="17"/>
      <c r="I213" s="130"/>
      <c r="J213" s="17"/>
      <c r="K213" s="17"/>
      <c r="L213" s="17"/>
      <c r="M213" s="17"/>
      <c r="N213" s="17"/>
      <c r="O213" s="17"/>
      <c r="P213" s="17"/>
      <c r="Q213" s="17"/>
      <c r="R213" s="17"/>
      <c r="S213" s="17"/>
      <c r="T213" s="17"/>
      <c r="U213" s="17"/>
      <c r="V213" s="17"/>
      <c r="W213" s="17"/>
      <c r="X213" s="6"/>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row>
    <row r="214" spans="1:108" s="11" customFormat="1" ht="12.75" hidden="1" customHeight="1" outlineLevel="4">
      <c r="A214" s="107" t="s">
        <v>44</v>
      </c>
      <c r="B214" s="30">
        <v>0</v>
      </c>
      <c r="C214" s="20"/>
      <c r="D214" s="18" t="str">
        <f>"&lt;" &amp; A214 &amp; "&gt;" &amp; TEXT(B214,"0.000000") &amp; "&lt;/" &amp; A214 &amp; "&gt;"</f>
        <v>&lt;ColorG&gt;0.000000&lt;/ColorG&gt;</v>
      </c>
      <c r="E214" s="174" t="str">
        <f t="shared" si="4"/>
        <v>Yes</v>
      </c>
      <c r="F214" s="6" t="s">
        <v>625</v>
      </c>
      <c r="G214" s="6"/>
      <c r="H214" s="17"/>
      <c r="I214" s="130"/>
      <c r="J214" s="17"/>
      <c r="K214" s="17"/>
      <c r="L214" s="17"/>
      <c r="M214" s="17"/>
      <c r="N214" s="17"/>
      <c r="O214" s="17"/>
      <c r="P214" s="17"/>
      <c r="Q214" s="17"/>
      <c r="R214" s="17"/>
      <c r="S214" s="17"/>
      <c r="T214" s="17"/>
      <c r="U214" s="17"/>
      <c r="V214" s="17"/>
      <c r="W214" s="17"/>
      <c r="X214" s="6"/>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row>
    <row r="215" spans="1:108" s="11" customFormat="1" ht="12.75" hidden="1" customHeight="1" outlineLevel="4">
      <c r="A215" s="107" t="s">
        <v>45</v>
      </c>
      <c r="B215" s="30">
        <v>0</v>
      </c>
      <c r="C215" s="20"/>
      <c r="D215" s="18" t="str">
        <f>"&lt;" &amp; A215 &amp; "&gt;" &amp; TEXT(B215,"0.000000") &amp; "&lt;/" &amp; A215 &amp; "&gt;"</f>
        <v>&lt;ColorB&gt;0.000000&lt;/ColorB&gt;</v>
      </c>
      <c r="E215" s="174" t="str">
        <f t="shared" si="4"/>
        <v>Yes</v>
      </c>
      <c r="F215" s="6" t="s">
        <v>626</v>
      </c>
      <c r="G215" s="6"/>
      <c r="H215" s="17"/>
      <c r="I215" s="131"/>
      <c r="J215" s="17"/>
      <c r="K215" s="17"/>
      <c r="L215" s="17"/>
      <c r="M215" s="17"/>
      <c r="N215" s="17"/>
      <c r="O215" s="17"/>
      <c r="P215" s="17"/>
      <c r="Q215" s="17"/>
      <c r="R215" s="17"/>
      <c r="S215" s="17"/>
      <c r="T215" s="17"/>
      <c r="U215" s="17"/>
      <c r="V215" s="17"/>
      <c r="W215" s="17"/>
      <c r="X215" s="6"/>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row>
    <row r="216" spans="1:108" s="11" customFormat="1" ht="12.75" hidden="1" customHeight="1" outlineLevel="4">
      <c r="A216" s="107" t="s">
        <v>46</v>
      </c>
      <c r="B216" s="105">
        <v>2</v>
      </c>
      <c r="C216" s="20"/>
      <c r="D216" s="18" t="str">
        <f>"&lt;" &amp; A216 &amp; "&gt;" &amp; TEXT(B216,0) &amp; "&lt;/" &amp; A216 &amp; "&gt;"</f>
        <v>&lt;Symmetry&gt;2&lt;/Symmetry&gt;</v>
      </c>
      <c r="E216" s="174" t="str">
        <f t="shared" si="4"/>
        <v>Yes</v>
      </c>
      <c r="F216" s="6" t="s">
        <v>627</v>
      </c>
      <c r="G216" s="6"/>
      <c r="H216" s="17"/>
      <c r="I216" s="131"/>
      <c r="J216" s="17"/>
      <c r="K216" s="17"/>
      <c r="L216" s="17"/>
      <c r="M216" s="17"/>
      <c r="N216" s="17"/>
      <c r="O216" s="17"/>
      <c r="P216" s="17"/>
      <c r="Q216" s="17"/>
      <c r="R216" s="17"/>
      <c r="S216" s="17"/>
      <c r="T216" s="17"/>
      <c r="U216" s="17"/>
      <c r="V216" s="17"/>
      <c r="W216" s="17"/>
      <c r="X216" s="6"/>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row>
    <row r="217" spans="1:108" s="11" customFormat="1" ht="12.75" hidden="1" customHeight="1" outlineLevel="4">
      <c r="A217" s="107" t="s">
        <v>47</v>
      </c>
      <c r="B217" s="100" t="s">
        <v>12</v>
      </c>
      <c r="C217" s="20"/>
      <c r="D217" s="134" t="str">
        <f>"&lt;" &amp; A217 &amp; "&gt;" &amp;IF(B217="Yes",1,0) &amp;"&lt;/" &amp;A217&amp;"&gt;"</f>
        <v>&lt;RelXFormFlag&gt;0&lt;/RelXFormFlag&gt;</v>
      </c>
      <c r="E217" s="174" t="str">
        <f t="shared" si="4"/>
        <v>Yes</v>
      </c>
      <c r="F217" s="6" t="s">
        <v>628</v>
      </c>
      <c r="G217" s="6"/>
      <c r="H217" s="17"/>
      <c r="I217" s="131"/>
      <c r="J217" s="17"/>
      <c r="K217" s="17"/>
      <c r="L217" s="17"/>
      <c r="M217" s="17"/>
      <c r="N217" s="17"/>
      <c r="O217" s="17"/>
      <c r="P217" s="17"/>
      <c r="Q217" s="17"/>
      <c r="R217" s="17"/>
      <c r="S217" s="17"/>
      <c r="T217" s="17"/>
      <c r="U217" s="17"/>
      <c r="V217" s="17"/>
      <c r="W217" s="17"/>
      <c r="X217" s="6"/>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row>
    <row r="218" spans="1:108" s="11" customFormat="1" ht="12.75" hidden="1" customHeight="1" outlineLevel="4">
      <c r="A218" s="107" t="s">
        <v>48</v>
      </c>
      <c r="B218" s="105">
        <v>1</v>
      </c>
      <c r="C218" s="20"/>
      <c r="D218" s="18" t="str">
        <f>"&lt;" &amp; A218 &amp; "&gt;" &amp; TEXT(B218,0) &amp; "&lt;/" &amp; A218 &amp; "&gt;"</f>
        <v>&lt;MaterialID&gt;1&lt;/MaterialID&gt;</v>
      </c>
      <c r="E218" s="174" t="str">
        <f t="shared" si="4"/>
        <v>Yes</v>
      </c>
      <c r="F218" s="6" t="s">
        <v>629</v>
      </c>
      <c r="G218" s="6"/>
      <c r="H218" s="17"/>
      <c r="I218" s="130"/>
      <c r="J218" s="17"/>
      <c r="K218" s="17"/>
      <c r="L218" s="17"/>
      <c r="M218" s="17"/>
      <c r="N218" s="17"/>
      <c r="O218" s="17"/>
      <c r="P218" s="17"/>
      <c r="Q218" s="17"/>
      <c r="R218" s="17"/>
      <c r="S218" s="17"/>
      <c r="T218" s="17"/>
      <c r="U218" s="17"/>
      <c r="V218" s="17"/>
      <c r="W218" s="17"/>
      <c r="X218" s="6"/>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row>
    <row r="219" spans="1:108" s="11" customFormat="1" ht="12.75" hidden="1" customHeight="1" outlineLevel="4">
      <c r="A219" s="107" t="s">
        <v>49</v>
      </c>
      <c r="B219" s="100" t="s">
        <v>11</v>
      </c>
      <c r="C219" s="20"/>
      <c r="D219" s="134" t="str">
        <f>"&lt;" &amp; A219 &amp; "&gt;" &amp;IF(B219="Yes",1,0) &amp;"&lt;/" &amp;A219&amp;"&gt;"</f>
        <v>&lt;OutputFlag&gt;1&lt;/OutputFlag&gt;</v>
      </c>
      <c r="E219" s="174" t="str">
        <f t="shared" si="4"/>
        <v>Yes</v>
      </c>
      <c r="F219" s="6" t="s">
        <v>630</v>
      </c>
      <c r="G219" s="6"/>
      <c r="H219" s="17"/>
      <c r="I219" s="17"/>
      <c r="J219" s="17"/>
      <c r="K219" s="17"/>
      <c r="L219" s="17"/>
      <c r="M219" s="17"/>
      <c r="N219" s="17"/>
      <c r="O219" s="17"/>
      <c r="P219" s="17"/>
      <c r="Q219" s="17"/>
      <c r="R219" s="17"/>
      <c r="S219" s="17"/>
      <c r="T219" s="17"/>
      <c r="U219" s="17"/>
      <c r="V219" s="17"/>
      <c r="W219" s="17"/>
      <c r="X219" s="6"/>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row>
    <row r="220" spans="1:108" s="11" customFormat="1" ht="12.75" hidden="1" customHeight="1" outlineLevel="4">
      <c r="A220" s="107" t="s">
        <v>50</v>
      </c>
      <c r="B220" s="105">
        <v>0</v>
      </c>
      <c r="C220" s="20"/>
      <c r="D220" s="18" t="str">
        <f>"&lt;" &amp; A220 &amp; "&gt;" &amp; TEXT(B220,0) &amp; "&lt;/" &amp; A220 &amp; "&gt;"</f>
        <v>&lt;OutputNameID&gt;0&lt;/OutputNameID&gt;</v>
      </c>
      <c r="E220" s="174" t="str">
        <f t="shared" si="4"/>
        <v>Yes</v>
      </c>
      <c r="F220" s="6" t="s">
        <v>631</v>
      </c>
      <c r="G220" s="6"/>
      <c r="H220" s="17"/>
      <c r="I220" s="17"/>
      <c r="J220" s="17"/>
      <c r="K220" s="17"/>
      <c r="L220" s="17"/>
      <c r="M220" s="17"/>
      <c r="N220" s="17"/>
      <c r="O220" s="17"/>
      <c r="P220" s="17"/>
      <c r="Q220" s="17"/>
      <c r="R220" s="17"/>
      <c r="S220" s="17"/>
      <c r="T220" s="17"/>
      <c r="U220" s="17"/>
      <c r="V220" s="17"/>
      <c r="W220" s="17"/>
      <c r="X220" s="6"/>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row>
    <row r="221" spans="1:108" s="11" customFormat="1" ht="12.75" hidden="1" customHeight="1" outlineLevel="4">
      <c r="A221" s="107" t="s">
        <v>51</v>
      </c>
      <c r="B221" s="100" t="s">
        <v>11</v>
      </c>
      <c r="C221" s="20"/>
      <c r="D221" s="134" t="str">
        <f>"&lt;" &amp; A221 &amp; "&gt;" &amp;IF(B221="Yes",1,0) &amp;"&lt;/" &amp;A221&amp;"&gt;"</f>
        <v>&lt;DisplayChildrenFlag&gt;1&lt;/DisplayChildrenFlag&gt;</v>
      </c>
      <c r="E221" s="174" t="str">
        <f t="shared" si="4"/>
        <v>Yes</v>
      </c>
      <c r="F221" s="6" t="s">
        <v>632</v>
      </c>
      <c r="G221" s="6"/>
      <c r="H221" s="17"/>
      <c r="I221" s="17"/>
      <c r="J221" s="17"/>
      <c r="K221" s="17"/>
      <c r="L221" s="17"/>
      <c r="M221" s="17"/>
      <c r="N221" s="17"/>
      <c r="O221" s="17"/>
      <c r="P221" s="17"/>
      <c r="Q221" s="17"/>
      <c r="R221" s="17"/>
      <c r="S221" s="17"/>
      <c r="T221" s="17"/>
      <c r="U221" s="17"/>
      <c r="V221" s="17"/>
      <c r="W221" s="17"/>
      <c r="X221" s="6"/>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row>
    <row r="222" spans="1:108" s="11" customFormat="1" ht="12.75" hidden="1" customHeight="1" outlineLevel="4">
      <c r="A222" s="107" t="s">
        <v>52</v>
      </c>
      <c r="B222" s="105">
        <v>21</v>
      </c>
      <c r="C222" s="20"/>
      <c r="D222" s="18" t="str">
        <f>"&lt;" &amp; A222 &amp; "&gt;" &amp; TEXT(B222,0) &amp; "&lt;/" &amp; A222 &amp; "&gt;"</f>
        <v>&lt;NumPnts&gt;21&lt;/NumPnts&gt;</v>
      </c>
      <c r="E222" s="174" t="str">
        <f t="shared" si="4"/>
        <v>Yes</v>
      </c>
      <c r="F222" s="6" t="s">
        <v>633</v>
      </c>
      <c r="G222" s="6"/>
      <c r="H222" s="17"/>
      <c r="I222" s="17"/>
      <c r="J222" s="17"/>
      <c r="K222" s="17"/>
      <c r="L222" s="17"/>
      <c r="M222" s="17"/>
      <c r="N222" s="17"/>
      <c r="O222" s="17"/>
      <c r="P222" s="17"/>
      <c r="Q222" s="17"/>
      <c r="R222" s="17"/>
      <c r="S222" s="17"/>
      <c r="T222" s="17"/>
      <c r="U222" s="17"/>
      <c r="V222" s="17"/>
      <c r="W222" s="17"/>
      <c r="X222" s="6"/>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row>
    <row r="223" spans="1:108" s="11" customFormat="1" ht="12.75" hidden="1" customHeight="1" outlineLevel="4">
      <c r="A223" s="107" t="s">
        <v>53</v>
      </c>
      <c r="B223" s="105">
        <v>6</v>
      </c>
      <c r="C223" s="20"/>
      <c r="D223" s="18" t="str">
        <f>"&lt;" &amp; A223 &amp; "&gt;" &amp; TEXT(B223,0) &amp; "&lt;/" &amp; A223 &amp; "&gt;"</f>
        <v>&lt;NumXsecs&gt;6&lt;/NumXsecs&gt;</v>
      </c>
      <c r="E223" s="174" t="str">
        <f t="shared" si="4"/>
        <v>Yes</v>
      </c>
      <c r="F223" s="6" t="s">
        <v>634</v>
      </c>
      <c r="G223" s="6"/>
      <c r="H223" s="17"/>
      <c r="I223" s="17"/>
      <c r="J223" s="17"/>
      <c r="K223" s="17"/>
      <c r="L223" s="17"/>
      <c r="M223" s="17"/>
      <c r="N223" s="17"/>
      <c r="O223" s="17"/>
      <c r="P223" s="17"/>
      <c r="Q223" s="17"/>
      <c r="R223" s="17"/>
      <c r="S223" s="17"/>
      <c r="T223" s="17"/>
      <c r="U223" s="17"/>
      <c r="V223" s="17"/>
      <c r="W223" s="17"/>
      <c r="X223" s="6"/>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row>
    <row r="224" spans="1:108" s="11" customFormat="1" ht="12.75" hidden="1" customHeight="1" outlineLevel="4">
      <c r="A224" s="107" t="s">
        <v>54</v>
      </c>
      <c r="B224" s="105">
        <v>0</v>
      </c>
      <c r="C224" s="20"/>
      <c r="D224" s="18" t="str">
        <f>"&lt;" &amp; A224 &amp; "&gt;" &amp; TEXT(B224,0) &amp; "&lt;/" &amp; A224 &amp; "&gt;"</f>
        <v>&lt;MassPrior&gt;0&lt;/MassPrior&gt;</v>
      </c>
      <c r="E224" s="174" t="str">
        <f t="shared" si="4"/>
        <v>Yes</v>
      </c>
      <c r="F224" s="6" t="s">
        <v>635</v>
      </c>
      <c r="G224" s="6"/>
      <c r="H224" s="17"/>
      <c r="I224" s="17"/>
      <c r="J224" s="17"/>
      <c r="K224" s="17"/>
      <c r="L224" s="17"/>
      <c r="M224" s="17"/>
      <c r="N224" s="17"/>
      <c r="O224" s="17"/>
      <c r="P224" s="17"/>
      <c r="Q224" s="17"/>
      <c r="R224" s="17"/>
      <c r="S224" s="17"/>
      <c r="T224" s="17"/>
      <c r="U224" s="17"/>
      <c r="V224" s="17"/>
      <c r="W224" s="17"/>
      <c r="X224" s="6"/>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row>
    <row r="225" spans="1:108" s="11" customFormat="1" ht="12.75" hidden="1" customHeight="1" outlineLevel="4">
      <c r="A225" s="107" t="s">
        <v>55</v>
      </c>
      <c r="B225" s="100" t="s">
        <v>12</v>
      </c>
      <c r="C225" s="20"/>
      <c r="D225" s="134" t="str">
        <f>"&lt;" &amp; A225 &amp; "&gt;" &amp;IF(B225="Yes",1,0) &amp;"&lt;/" &amp;A225&amp;"&gt;"</f>
        <v>&lt;ShellFlag&gt;0&lt;/ShellFlag&gt;</v>
      </c>
      <c r="E225" s="174" t="str">
        <f t="shared" si="4"/>
        <v>Yes</v>
      </c>
      <c r="F225" s="6" t="s">
        <v>636</v>
      </c>
      <c r="G225" s="6"/>
      <c r="H225" s="17"/>
      <c r="I225" s="17"/>
      <c r="J225" s="17"/>
      <c r="K225" s="17"/>
      <c r="L225" s="17"/>
      <c r="M225" s="17"/>
      <c r="N225" s="17"/>
      <c r="O225" s="17"/>
      <c r="P225" s="17"/>
      <c r="Q225" s="17"/>
      <c r="R225" s="17"/>
      <c r="S225" s="17"/>
      <c r="T225" s="17"/>
      <c r="U225" s="17"/>
      <c r="V225" s="17"/>
      <c r="W225" s="17"/>
      <c r="X225" s="6"/>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row>
    <row r="226" spans="1:108" s="11" customFormat="1" ht="12.75" hidden="1" customHeight="1" outlineLevel="4">
      <c r="A226" s="107" t="s">
        <v>56</v>
      </c>
      <c r="B226" s="92">
        <f>pos_H.x</f>
        <v>30.071999999999999</v>
      </c>
      <c r="C226" s="20"/>
      <c r="D226" s="18" t="str">
        <f t="shared" ref="D226:D240" si="5">"&lt;" &amp; A226 &amp; "&gt;" &amp; TEXT(B226,"0.000000") &amp; "&lt;/" &amp; A226 &amp; "&gt;"</f>
        <v>&lt;Tran_X&gt;30.072000&lt;/Tran_X&gt;</v>
      </c>
      <c r="E226" s="174" t="str">
        <f t="shared" si="4"/>
        <v>Yes</v>
      </c>
      <c r="F226" s="6" t="s">
        <v>637</v>
      </c>
      <c r="G226" s="6"/>
      <c r="H226" s="17"/>
      <c r="I226" s="17"/>
      <c r="J226" s="17"/>
      <c r="K226" s="17"/>
      <c r="L226" s="17"/>
      <c r="M226" s="17"/>
      <c r="N226" s="17"/>
      <c r="O226" s="17"/>
      <c r="P226" s="17"/>
      <c r="Q226" s="17"/>
      <c r="R226" s="17"/>
      <c r="S226" s="17"/>
      <c r="T226" s="17"/>
      <c r="U226" s="17"/>
      <c r="V226" s="17"/>
      <c r="W226" s="17"/>
      <c r="X226" s="6"/>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row>
    <row r="227" spans="1:108" s="11" customFormat="1" ht="12.75" hidden="1" customHeight="1" outlineLevel="4">
      <c r="A227" s="107" t="s">
        <v>57</v>
      </c>
      <c r="B227" s="92">
        <f>pos_H.y</f>
        <v>0</v>
      </c>
      <c r="C227" s="20"/>
      <c r="D227" s="18" t="str">
        <f t="shared" si="5"/>
        <v>&lt;Tran_Y&gt;0.000000&lt;/Tran_Y&gt;</v>
      </c>
      <c r="E227" s="174" t="str">
        <f t="shared" si="4"/>
        <v>Yes</v>
      </c>
      <c r="F227" s="6" t="s">
        <v>638</v>
      </c>
      <c r="G227" s="6"/>
      <c r="H227" s="17"/>
      <c r="I227" s="17"/>
      <c r="J227" s="17"/>
      <c r="K227" s="132" t="s">
        <v>35</v>
      </c>
      <c r="L227" s="17"/>
      <c r="M227" s="17"/>
      <c r="N227" s="17"/>
      <c r="O227" s="17"/>
      <c r="P227" s="17"/>
      <c r="Q227" s="17"/>
      <c r="R227" s="17"/>
      <c r="S227" s="17"/>
      <c r="T227" s="17"/>
      <c r="U227" s="17"/>
      <c r="V227" s="17"/>
      <c r="W227" s="17"/>
      <c r="X227" s="6"/>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row>
    <row r="228" spans="1:108" s="11" customFormat="1" ht="12.75" hidden="1" customHeight="1" outlineLevel="4">
      <c r="A228" s="107" t="s">
        <v>58</v>
      </c>
      <c r="B228" s="92">
        <f>pos_H.z</f>
        <v>1.0994729135341719</v>
      </c>
      <c r="C228" s="20"/>
      <c r="D228" s="18" t="str">
        <f t="shared" si="5"/>
        <v>&lt;Tran_Z&gt;1.099473&lt;/Tran_Z&gt;</v>
      </c>
      <c r="E228" s="174" t="str">
        <f t="shared" si="4"/>
        <v>Yes</v>
      </c>
      <c r="F228" s="6" t="s">
        <v>965</v>
      </c>
      <c r="G228" s="6"/>
      <c r="H228" s="17"/>
      <c r="I228" s="17"/>
      <c r="J228" s="17"/>
      <c r="K228" s="17"/>
      <c r="L228" s="17"/>
      <c r="M228" s="17"/>
      <c r="N228" s="17"/>
      <c r="O228" s="17"/>
      <c r="P228" s="17"/>
      <c r="Q228" s="17"/>
      <c r="R228" s="17"/>
      <c r="S228" s="17"/>
      <c r="T228" s="17"/>
      <c r="U228" s="17"/>
      <c r="V228" s="17"/>
      <c r="W228" s="17"/>
      <c r="X228" s="6"/>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row>
    <row r="229" spans="1:108" s="11" customFormat="1" ht="12.75" hidden="1" customHeight="1" outlineLevel="4">
      <c r="A229" s="107" t="s">
        <v>59</v>
      </c>
      <c r="B229" s="30">
        <v>0</v>
      </c>
      <c r="C229" s="20"/>
      <c r="D229" s="18" t="str">
        <f t="shared" si="5"/>
        <v>&lt;TranRel_X&gt;0.000000&lt;/TranRel_X&gt;</v>
      </c>
      <c r="E229" s="174" t="str">
        <f t="shared" si="4"/>
        <v>Yes</v>
      </c>
      <c r="F229" s="6" t="s">
        <v>639</v>
      </c>
      <c r="G229" s="6"/>
      <c r="H229" s="17"/>
      <c r="I229" s="130"/>
      <c r="J229" s="17"/>
      <c r="K229" s="17"/>
      <c r="L229" s="17"/>
      <c r="M229" s="17"/>
      <c r="N229" s="17"/>
      <c r="O229" s="17"/>
      <c r="P229" s="17"/>
      <c r="Q229" s="17"/>
      <c r="R229" s="17"/>
      <c r="S229" s="17"/>
      <c r="T229" s="17"/>
      <c r="U229" s="17"/>
      <c r="V229" s="17"/>
      <c r="W229" s="17"/>
      <c r="X229" s="6"/>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row>
    <row r="230" spans="1:108" s="11" customFormat="1" ht="12.75" hidden="1" customHeight="1" outlineLevel="4">
      <c r="A230" s="107" t="s">
        <v>60</v>
      </c>
      <c r="B230" s="30">
        <v>0</v>
      </c>
      <c r="C230" s="20"/>
      <c r="D230" s="18" t="str">
        <f t="shared" si="5"/>
        <v>&lt;TranRel_Y&gt;0.000000&lt;/TranRel_Y&gt;</v>
      </c>
      <c r="E230" s="174" t="str">
        <f t="shared" si="4"/>
        <v>Yes</v>
      </c>
      <c r="F230" s="6" t="s">
        <v>640</v>
      </c>
      <c r="G230" s="6"/>
      <c r="H230" s="17"/>
      <c r="I230" s="130"/>
      <c r="J230" s="17"/>
      <c r="K230" s="17"/>
      <c r="L230" s="17"/>
      <c r="M230" s="17"/>
      <c r="N230" s="17"/>
      <c r="O230" s="17"/>
      <c r="P230" s="17"/>
      <c r="Q230" s="17"/>
      <c r="R230" s="17"/>
      <c r="S230" s="17"/>
      <c r="T230" s="17"/>
      <c r="U230" s="17"/>
      <c r="V230" s="17"/>
      <c r="W230" s="17"/>
      <c r="X230" s="6"/>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row>
    <row r="231" spans="1:108" s="11" customFormat="1" ht="12.75" hidden="1" customHeight="1" outlineLevel="4">
      <c r="A231" s="107" t="s">
        <v>61</v>
      </c>
      <c r="B231" s="30">
        <v>0</v>
      </c>
      <c r="C231" s="20"/>
      <c r="D231" s="18" t="str">
        <f t="shared" si="5"/>
        <v>&lt;TranRel_Z&gt;0.000000&lt;/TranRel_Z&gt;</v>
      </c>
      <c r="E231" s="174" t="str">
        <f t="shared" si="4"/>
        <v>Yes</v>
      </c>
      <c r="F231" s="6" t="s">
        <v>641</v>
      </c>
      <c r="G231" s="6"/>
      <c r="H231" s="17"/>
      <c r="I231" s="130"/>
      <c r="J231" s="17"/>
      <c r="K231" s="17"/>
      <c r="L231" s="17"/>
      <c r="M231" s="17"/>
      <c r="N231" s="17"/>
      <c r="O231" s="17"/>
      <c r="P231" s="17"/>
      <c r="Q231" s="17"/>
      <c r="R231" s="17"/>
      <c r="S231" s="17"/>
      <c r="T231" s="17"/>
      <c r="U231" s="17"/>
      <c r="V231" s="17"/>
      <c r="W231" s="17"/>
      <c r="X231" s="6"/>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row>
    <row r="232" spans="1:108" s="11" customFormat="1" ht="12.75" hidden="1" customHeight="1" outlineLevel="4">
      <c r="A232" s="107" t="s">
        <v>62</v>
      </c>
      <c r="B232" s="30">
        <v>0</v>
      </c>
      <c r="C232" s="20"/>
      <c r="D232" s="18" t="str">
        <f t="shared" si="5"/>
        <v>&lt;Rot_X&gt;0.000000&lt;/Rot_X&gt;</v>
      </c>
      <c r="E232" s="174" t="str">
        <f t="shared" si="4"/>
        <v>Yes</v>
      </c>
      <c r="F232" s="6" t="s">
        <v>642</v>
      </c>
      <c r="G232" s="6"/>
      <c r="H232" s="17"/>
      <c r="I232" s="130"/>
      <c r="J232" s="17"/>
      <c r="K232" s="17"/>
      <c r="L232" s="17"/>
      <c r="M232" s="17"/>
      <c r="N232" s="17"/>
      <c r="O232" s="17"/>
      <c r="P232" s="17"/>
      <c r="Q232" s="17"/>
      <c r="R232" s="17"/>
      <c r="S232" s="17"/>
      <c r="T232" s="17"/>
      <c r="U232" s="17"/>
      <c r="V232" s="17"/>
      <c r="W232" s="17"/>
      <c r="X232" s="6"/>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row>
    <row r="233" spans="1:108" s="11" customFormat="1" ht="12.75" hidden="1" customHeight="1" outlineLevel="4">
      <c r="A233" s="107" t="s">
        <v>63</v>
      </c>
      <c r="B233" s="30">
        <v>0</v>
      </c>
      <c r="C233" s="20"/>
      <c r="D233" s="18" t="str">
        <f t="shared" si="5"/>
        <v>&lt;Rot_Y&gt;0.000000&lt;/Rot_Y&gt;</v>
      </c>
      <c r="E233" s="174" t="str">
        <f t="shared" si="4"/>
        <v>Yes</v>
      </c>
      <c r="F233" s="6" t="s">
        <v>643</v>
      </c>
      <c r="G233" s="6"/>
      <c r="H233" s="17"/>
      <c r="I233" s="130"/>
      <c r="J233" s="17"/>
      <c r="K233" s="17"/>
      <c r="L233" s="17"/>
      <c r="M233" s="17"/>
      <c r="N233" s="17"/>
      <c r="O233" s="17"/>
      <c r="P233" s="17"/>
      <c r="Q233" s="17"/>
      <c r="R233" s="17"/>
      <c r="S233" s="17"/>
      <c r="T233" s="17"/>
      <c r="U233" s="17"/>
      <c r="V233" s="17"/>
      <c r="W233" s="17"/>
      <c r="X233" s="6"/>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row>
    <row r="234" spans="1:108" s="11" customFormat="1" ht="12.75" hidden="1" customHeight="1" outlineLevel="4">
      <c r="A234" s="107" t="s">
        <v>64</v>
      </c>
      <c r="B234" s="30">
        <v>0</v>
      </c>
      <c r="C234" s="20"/>
      <c r="D234" s="18" t="str">
        <f t="shared" si="5"/>
        <v>&lt;Rot_Z&gt;0.000000&lt;/Rot_Z&gt;</v>
      </c>
      <c r="E234" s="174" t="str">
        <f t="shared" si="4"/>
        <v>Yes</v>
      </c>
      <c r="F234" s="6" t="s">
        <v>644</v>
      </c>
      <c r="G234" s="6"/>
      <c r="H234" s="17"/>
      <c r="I234" s="130"/>
      <c r="J234" s="17"/>
      <c r="K234" s="17"/>
      <c r="L234" s="17"/>
      <c r="M234" s="17"/>
      <c r="N234" s="17"/>
      <c r="O234" s="17"/>
      <c r="P234" s="17"/>
      <c r="Q234" s="17"/>
      <c r="R234" s="17"/>
      <c r="S234" s="17"/>
      <c r="T234" s="17"/>
      <c r="U234" s="17"/>
      <c r="V234" s="17"/>
      <c r="W234" s="17"/>
      <c r="X234" s="6"/>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row>
    <row r="235" spans="1:108" s="11" customFormat="1" ht="12.75" hidden="1" customHeight="1" outlineLevel="4">
      <c r="A235" s="107" t="s">
        <v>65</v>
      </c>
      <c r="B235" s="30">
        <v>0</v>
      </c>
      <c r="C235" s="20"/>
      <c r="D235" s="18" t="str">
        <f t="shared" si="5"/>
        <v>&lt;RotRel_X&gt;0.000000&lt;/RotRel_X&gt;</v>
      </c>
      <c r="E235" s="174" t="str">
        <f t="shared" si="4"/>
        <v>Yes</v>
      </c>
      <c r="F235" s="6" t="s">
        <v>645</v>
      </c>
      <c r="G235" s="6"/>
      <c r="H235" s="17"/>
      <c r="I235" s="130"/>
      <c r="J235" s="17"/>
      <c r="K235" s="17"/>
      <c r="L235" s="17"/>
      <c r="M235" s="17"/>
      <c r="N235" s="17"/>
      <c r="O235" s="17"/>
      <c r="P235" s="17"/>
      <c r="Q235" s="17"/>
      <c r="R235" s="17"/>
      <c r="S235" s="17"/>
      <c r="T235" s="17"/>
      <c r="U235" s="17"/>
      <c r="V235" s="17"/>
      <c r="W235" s="17"/>
      <c r="X235" s="6"/>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row>
    <row r="236" spans="1:108" s="11" customFormat="1" ht="12.75" hidden="1" customHeight="1" outlineLevel="4">
      <c r="A236" s="107" t="s">
        <v>66</v>
      </c>
      <c r="B236" s="30">
        <v>0</v>
      </c>
      <c r="C236" s="20"/>
      <c r="D236" s="18" t="str">
        <f t="shared" si="5"/>
        <v>&lt;RotRel_Y&gt;0.000000&lt;/RotRel_Y&gt;</v>
      </c>
      <c r="E236" s="174" t="str">
        <f t="shared" si="4"/>
        <v>Yes</v>
      </c>
      <c r="F236" s="6" t="s">
        <v>646</v>
      </c>
      <c r="G236" s="6"/>
      <c r="H236" s="17"/>
      <c r="I236" s="131"/>
      <c r="J236" s="17"/>
      <c r="K236" s="17"/>
      <c r="L236" s="17"/>
      <c r="M236" s="17"/>
      <c r="N236" s="17"/>
      <c r="O236" s="17"/>
      <c r="P236" s="17"/>
      <c r="Q236" s="17"/>
      <c r="R236" s="17"/>
      <c r="S236" s="17"/>
      <c r="T236" s="17"/>
      <c r="U236" s="17"/>
      <c r="V236" s="17"/>
      <c r="W236" s="17"/>
      <c r="X236" s="6"/>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row>
    <row r="237" spans="1:108" s="11" customFormat="1" ht="12.75" hidden="1" customHeight="1" outlineLevel="4">
      <c r="A237" s="107" t="s">
        <v>67</v>
      </c>
      <c r="B237" s="30">
        <v>0</v>
      </c>
      <c r="C237" s="20"/>
      <c r="D237" s="18" t="str">
        <f t="shared" si="5"/>
        <v>&lt;RotRel_Z&gt;0.000000&lt;/RotRel_Z&gt;</v>
      </c>
      <c r="E237" s="174" t="str">
        <f t="shared" si="4"/>
        <v>Yes</v>
      </c>
      <c r="F237" s="6" t="s">
        <v>647</v>
      </c>
      <c r="G237" s="6"/>
      <c r="H237" s="17"/>
      <c r="I237" s="131"/>
      <c r="J237" s="17"/>
      <c r="K237" s="17"/>
      <c r="L237" s="17"/>
      <c r="M237" s="17"/>
      <c r="N237" s="17"/>
      <c r="O237" s="17"/>
      <c r="P237" s="17"/>
      <c r="Q237" s="17"/>
      <c r="R237" s="17"/>
      <c r="S237" s="17"/>
      <c r="T237" s="17"/>
      <c r="U237" s="17"/>
      <c r="V237" s="17"/>
      <c r="W237" s="17"/>
      <c r="X237" s="6"/>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row>
    <row r="238" spans="1:108" s="11" customFormat="1" ht="12.75" hidden="1" customHeight="1" outlineLevel="4">
      <c r="A238" s="107" t="s">
        <v>68</v>
      </c>
      <c r="B238" s="30">
        <v>0</v>
      </c>
      <c r="C238" s="20"/>
      <c r="D238" s="18" t="str">
        <f t="shared" si="5"/>
        <v>&lt;Origin&gt;0.000000&lt;/Origin&gt;</v>
      </c>
      <c r="E238" s="174" t="str">
        <f t="shared" si="4"/>
        <v>Yes</v>
      </c>
      <c r="F238" s="6" t="s">
        <v>648</v>
      </c>
      <c r="G238" s="6"/>
      <c r="H238" s="17"/>
      <c r="I238" s="131"/>
      <c r="J238" s="17"/>
      <c r="K238" s="17"/>
      <c r="L238" s="17"/>
      <c r="M238" s="17"/>
      <c r="N238" s="17"/>
      <c r="O238" s="17"/>
      <c r="P238" s="17"/>
      <c r="Q238" s="17"/>
      <c r="R238" s="17"/>
      <c r="S238" s="17"/>
      <c r="T238" s="17"/>
      <c r="U238" s="17"/>
      <c r="V238" s="17"/>
      <c r="W238" s="17"/>
      <c r="X238" s="6"/>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row>
    <row r="239" spans="1:108" s="11" customFormat="1" ht="12.75" hidden="1" customHeight="1" outlineLevel="4">
      <c r="A239" s="107" t="s">
        <v>69</v>
      </c>
      <c r="B239" s="30">
        <v>1</v>
      </c>
      <c r="C239" s="20"/>
      <c r="D239" s="18" t="str">
        <f t="shared" si="5"/>
        <v>&lt;Density&gt;1.000000&lt;/Density&gt;</v>
      </c>
      <c r="E239" s="174" t="str">
        <f t="shared" si="4"/>
        <v>Yes</v>
      </c>
      <c r="F239" s="6" t="s">
        <v>649</v>
      </c>
      <c r="G239" s="6"/>
      <c r="H239" s="17"/>
      <c r="I239" s="130"/>
      <c r="J239" s="17"/>
      <c r="K239" s="17"/>
      <c r="L239" s="17"/>
      <c r="M239" s="17"/>
      <c r="N239" s="17"/>
      <c r="O239" s="17"/>
      <c r="P239" s="17"/>
      <c r="Q239" s="17"/>
      <c r="R239" s="17"/>
      <c r="S239" s="17"/>
      <c r="T239" s="17"/>
      <c r="U239" s="17"/>
      <c r="V239" s="17"/>
      <c r="W239" s="17"/>
      <c r="X239" s="6"/>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row>
    <row r="240" spans="1:108" s="11" customFormat="1" ht="12.75" hidden="1" customHeight="1" outlineLevel="4">
      <c r="A240" s="107" t="s">
        <v>70</v>
      </c>
      <c r="B240" s="30">
        <v>1</v>
      </c>
      <c r="C240" s="20"/>
      <c r="D240" s="18" t="str">
        <f t="shared" si="5"/>
        <v>&lt;ShellMassArea&gt;1.000000&lt;/ShellMassArea&gt;</v>
      </c>
      <c r="E240" s="174" t="str">
        <f t="shared" si="4"/>
        <v>Yes</v>
      </c>
      <c r="F240" s="6" t="s">
        <v>650</v>
      </c>
      <c r="G240" s="6"/>
      <c r="H240" s="17"/>
      <c r="I240" s="17"/>
      <c r="J240" s="17"/>
      <c r="K240" s="17"/>
      <c r="L240" s="17"/>
      <c r="M240" s="17"/>
      <c r="N240" s="17"/>
      <c r="O240" s="17"/>
      <c r="P240" s="17"/>
      <c r="Q240" s="17"/>
      <c r="R240" s="17"/>
      <c r="S240" s="17"/>
      <c r="T240" s="17"/>
      <c r="U240" s="17"/>
      <c r="V240" s="17"/>
      <c r="W240" s="17"/>
      <c r="X240" s="6"/>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row>
    <row r="241" spans="1:108" s="11" customFormat="1" ht="12.75" hidden="1" customHeight="1" outlineLevel="4">
      <c r="A241" s="107" t="s">
        <v>71</v>
      </c>
      <c r="B241" s="100" t="s">
        <v>12</v>
      </c>
      <c r="C241" s="20"/>
      <c r="D241" s="134" t="str">
        <f>"&lt;" &amp; A241 &amp; "&gt;" &amp;IF(B241="Yes",1,0) &amp;"&lt;/" &amp;A241&amp;"&gt;"</f>
        <v>&lt;RefFlag&gt;0&lt;/RefFlag&gt;</v>
      </c>
      <c r="E241" s="174" t="str">
        <f t="shared" si="4"/>
        <v>Yes</v>
      </c>
      <c r="F241" s="6" t="s">
        <v>651</v>
      </c>
      <c r="G241" s="6"/>
      <c r="H241" s="17"/>
      <c r="I241" s="17"/>
      <c r="J241" s="17"/>
      <c r="K241" s="17"/>
      <c r="L241" s="17"/>
      <c r="M241" s="17"/>
      <c r="N241" s="17"/>
      <c r="O241" s="17"/>
      <c r="P241" s="17"/>
      <c r="Q241" s="17"/>
      <c r="R241" s="17"/>
      <c r="S241" s="17"/>
      <c r="T241" s="17"/>
      <c r="U241" s="17"/>
      <c r="V241" s="17"/>
      <c r="W241" s="17"/>
      <c r="X241" s="6"/>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row>
    <row r="242" spans="1:108" s="11" customFormat="1" ht="12.75" hidden="1" customHeight="1" outlineLevel="4">
      <c r="A242" s="107" t="s">
        <v>72</v>
      </c>
      <c r="B242" s="30">
        <v>20</v>
      </c>
      <c r="C242" s="20"/>
      <c r="D242" s="18" t="str">
        <f>"&lt;" &amp; A242 &amp; "&gt;" &amp; TEXT(B242,"0.000000") &amp; "&lt;/" &amp; A242 &amp; "&gt;"</f>
        <v>&lt;RefArea&gt;20.000000&lt;/RefArea&gt;</v>
      </c>
      <c r="E242" s="174" t="str">
        <f t="shared" si="4"/>
        <v>Yes</v>
      </c>
      <c r="F242" s="6" t="s">
        <v>652</v>
      </c>
      <c r="G242" s="6"/>
      <c r="H242" s="17"/>
      <c r="I242" s="17"/>
      <c r="J242" s="17"/>
      <c r="K242" s="17"/>
      <c r="L242" s="17"/>
      <c r="M242" s="17"/>
      <c r="N242" s="17"/>
      <c r="O242" s="17"/>
      <c r="P242" s="17"/>
      <c r="Q242" s="17"/>
      <c r="R242" s="17"/>
      <c r="S242" s="17"/>
      <c r="T242" s="17"/>
      <c r="U242" s="17"/>
      <c r="V242" s="17"/>
      <c r="W242" s="17"/>
      <c r="X242" s="6"/>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row>
    <row r="243" spans="1:108" s="11" customFormat="1" ht="12.75" hidden="1" customHeight="1" outlineLevel="4">
      <c r="A243" s="107" t="s">
        <v>73</v>
      </c>
      <c r="B243" s="30">
        <v>10</v>
      </c>
      <c r="C243" s="20"/>
      <c r="D243" s="18" t="str">
        <f>"&lt;" &amp; A243 &amp; "&gt;" &amp; TEXT(B243,"0.000000") &amp; "&lt;/" &amp; A243 &amp; "&gt;"</f>
        <v>&lt;RefSpan&gt;10.000000&lt;/RefSpan&gt;</v>
      </c>
      <c r="E243" s="174" t="str">
        <f t="shared" si="4"/>
        <v>Yes</v>
      </c>
      <c r="F243" s="6" t="s">
        <v>653</v>
      </c>
      <c r="G243" s="6"/>
      <c r="H243" s="17"/>
      <c r="I243" s="17"/>
      <c r="J243" s="17"/>
      <c r="K243" s="17"/>
      <c r="L243" s="17"/>
      <c r="M243" s="17"/>
      <c r="N243" s="17"/>
      <c r="O243" s="17"/>
      <c r="P243" s="17"/>
      <c r="Q243" s="17"/>
      <c r="R243" s="17"/>
      <c r="S243" s="17"/>
      <c r="T243" s="17"/>
      <c r="U243" s="17"/>
      <c r="V243" s="17"/>
      <c r="W243" s="17"/>
      <c r="X243" s="6"/>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row>
    <row r="244" spans="1:108" s="11" customFormat="1" ht="12.75" hidden="1" customHeight="1" outlineLevel="4">
      <c r="A244" s="107" t="s">
        <v>74</v>
      </c>
      <c r="B244" s="30">
        <v>1</v>
      </c>
      <c r="C244" s="20"/>
      <c r="D244" s="18" t="str">
        <f>"&lt;" &amp; A244 &amp; "&gt;" &amp; TEXT(B244,"0.000000") &amp; "&lt;/" &amp; A244 &amp; "&gt;"</f>
        <v>&lt;RefCbar&gt;1.000000&lt;/RefCbar&gt;</v>
      </c>
      <c r="E244" s="174" t="str">
        <f t="shared" si="4"/>
        <v>Yes</v>
      </c>
      <c r="F244" s="6" t="s">
        <v>654</v>
      </c>
      <c r="G244" s="6"/>
      <c r="H244" s="17"/>
      <c r="I244" s="17"/>
      <c r="J244" s="17"/>
      <c r="K244" s="17"/>
      <c r="L244" s="17"/>
      <c r="M244" s="109"/>
      <c r="N244" s="17"/>
      <c r="O244" s="17"/>
      <c r="P244" s="17"/>
      <c r="Q244" s="17"/>
      <c r="R244" s="17"/>
      <c r="S244" s="17"/>
      <c r="T244" s="17"/>
      <c r="U244" s="17"/>
      <c r="V244" s="17"/>
      <c r="W244" s="17"/>
      <c r="X244" s="6"/>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row>
    <row r="245" spans="1:108" s="11" customFormat="1" ht="12.75" hidden="1" customHeight="1" outlineLevel="4">
      <c r="A245" s="107" t="s">
        <v>75</v>
      </c>
      <c r="B245" s="100" t="s">
        <v>11</v>
      </c>
      <c r="C245" s="20"/>
      <c r="D245" s="134" t="str">
        <f>"&lt;" &amp; A245 &amp; "&gt;" &amp;IF(B245="Yes",1,0) &amp;"&lt;/" &amp;A245&amp;"&gt;"</f>
        <v>&lt;AutoRefAreaFlag&gt;1&lt;/AutoRefAreaFlag&gt;</v>
      </c>
      <c r="E245" s="174" t="str">
        <f t="shared" si="4"/>
        <v>Yes</v>
      </c>
      <c r="F245" s="6" t="s">
        <v>655</v>
      </c>
      <c r="G245" s="6"/>
      <c r="H245" s="17"/>
      <c r="I245" s="17"/>
      <c r="J245" s="17"/>
      <c r="K245" s="17"/>
      <c r="L245" s="17"/>
      <c r="M245" s="17"/>
      <c r="N245" s="17"/>
      <c r="O245" s="17"/>
      <c r="P245" s="17"/>
      <c r="Q245" s="17"/>
      <c r="R245" s="17"/>
      <c r="S245" s="17"/>
      <c r="T245" s="17"/>
      <c r="U245" s="17"/>
      <c r="V245" s="17"/>
      <c r="W245" s="17"/>
      <c r="X245" s="6"/>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row>
    <row r="246" spans="1:108" s="11" customFormat="1" ht="12.75" hidden="1" customHeight="1" outlineLevel="4">
      <c r="A246" s="107" t="s">
        <v>76</v>
      </c>
      <c r="B246" s="100" t="s">
        <v>11</v>
      </c>
      <c r="C246" s="20"/>
      <c r="D246" s="134" t="str">
        <f>"&lt;" &amp; A246 &amp; "&gt;" &amp;IF(B246="Yes",1,0) &amp;"&lt;/" &amp;A246&amp;"&gt;"</f>
        <v>&lt;AutoRefSpanFlag&gt;1&lt;/AutoRefSpanFlag&gt;</v>
      </c>
      <c r="E246" s="174" t="str">
        <f t="shared" si="4"/>
        <v>Yes</v>
      </c>
      <c r="F246" s="6" t="s">
        <v>656</v>
      </c>
      <c r="G246" s="6"/>
      <c r="H246" s="17"/>
      <c r="I246" s="17"/>
      <c r="J246" s="17"/>
      <c r="K246" s="17"/>
      <c r="L246" s="17"/>
      <c r="M246" s="17"/>
      <c r="N246" s="17"/>
      <c r="O246" s="17"/>
      <c r="P246" s="17"/>
      <c r="Q246" s="17"/>
      <c r="R246" s="17"/>
      <c r="S246" s="17"/>
      <c r="T246" s="17"/>
      <c r="U246" s="17"/>
      <c r="V246" s="17"/>
      <c r="W246" s="17"/>
      <c r="X246" s="6"/>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row>
    <row r="247" spans="1:108" s="11" customFormat="1" ht="12.75" hidden="1" customHeight="1" outlineLevel="4">
      <c r="A247" s="107" t="s">
        <v>77</v>
      </c>
      <c r="B247" s="100" t="s">
        <v>11</v>
      </c>
      <c r="C247" s="20"/>
      <c r="D247" s="134" t="str">
        <f>"&lt;" &amp; A247 &amp; "&gt;" &amp;IF(B247="Yes",1,0) &amp;"&lt;/" &amp;A247&amp;"&gt;"</f>
        <v>&lt;AutoRefCbarFlag&gt;1&lt;/AutoRefCbarFlag&gt;</v>
      </c>
      <c r="E247" s="174" t="str">
        <f t="shared" si="4"/>
        <v>Yes</v>
      </c>
      <c r="F247" s="6" t="s">
        <v>657</v>
      </c>
      <c r="G247" s="6"/>
      <c r="H247" s="17"/>
      <c r="I247" s="17"/>
      <c r="J247" s="17"/>
      <c r="K247" s="17"/>
      <c r="L247" s="17"/>
      <c r="M247" s="6"/>
      <c r="N247" s="17"/>
      <c r="O247" s="17"/>
      <c r="P247" s="17"/>
      <c r="Q247" s="17"/>
      <c r="R247" s="17"/>
      <c r="S247" s="17"/>
      <c r="T247" s="17"/>
      <c r="U247" s="17"/>
      <c r="V247" s="17"/>
      <c r="W247" s="17"/>
      <c r="X247" s="6"/>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row>
    <row r="248" spans="1:108" s="11" customFormat="1" ht="12.75" hidden="1" customHeight="1" outlineLevel="4">
      <c r="A248" s="107" t="s">
        <v>78</v>
      </c>
      <c r="B248" s="30">
        <v>0</v>
      </c>
      <c r="C248" s="20"/>
      <c r="D248" s="18" t="str">
        <f>"&lt;" &amp; A248 &amp; "&gt;" &amp; TEXT(B248,"0.000000") &amp; "&lt;/" &amp; A248 &amp; "&gt;"</f>
        <v>&lt;AeroCenter_X&gt;0.000000&lt;/AeroCenter_X&gt;</v>
      </c>
      <c r="E248" s="174" t="str">
        <f t="shared" si="4"/>
        <v>Yes</v>
      </c>
      <c r="F248" s="6" t="s">
        <v>658</v>
      </c>
      <c r="G248" s="6"/>
      <c r="H248" s="17"/>
      <c r="I248" s="17"/>
      <c r="J248" s="17"/>
      <c r="K248" s="17"/>
      <c r="L248" s="17"/>
      <c r="M248" s="6"/>
      <c r="N248" s="17"/>
      <c r="O248" s="17"/>
      <c r="P248" s="17"/>
      <c r="Q248" s="17"/>
      <c r="R248" s="17"/>
      <c r="S248" s="17"/>
      <c r="T248" s="17"/>
      <c r="U248" s="17"/>
      <c r="V248" s="17"/>
      <c r="W248" s="17"/>
      <c r="X248" s="6"/>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row>
    <row r="249" spans="1:108" s="11" customFormat="1" ht="12.75" hidden="1" customHeight="1" outlineLevel="4">
      <c r="A249" s="107" t="s">
        <v>79</v>
      </c>
      <c r="B249" s="30">
        <v>0</v>
      </c>
      <c r="C249" s="20"/>
      <c r="D249" s="18" t="str">
        <f>"&lt;" &amp; A249 &amp; "&gt;" &amp; TEXT(B249,"0.000000") &amp; "&lt;/" &amp; A249 &amp; "&gt;"</f>
        <v>&lt;AeroCenter_Y&gt;0.000000&lt;/AeroCenter_Y&gt;</v>
      </c>
      <c r="E249" s="174" t="str">
        <f t="shared" si="4"/>
        <v>Yes</v>
      </c>
      <c r="F249" s="6" t="s">
        <v>659</v>
      </c>
      <c r="G249" s="6"/>
      <c r="H249" s="17"/>
      <c r="I249" s="17"/>
      <c r="J249" s="17"/>
      <c r="K249" s="17"/>
      <c r="L249" s="17"/>
      <c r="M249" s="6"/>
      <c r="N249" s="17"/>
      <c r="O249" s="17"/>
      <c r="P249" s="17"/>
      <c r="Q249" s="17"/>
      <c r="R249" s="17"/>
      <c r="S249" s="17"/>
      <c r="T249" s="17"/>
      <c r="U249" s="17"/>
      <c r="V249" s="17"/>
      <c r="W249" s="17"/>
      <c r="X249" s="6"/>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row>
    <row r="250" spans="1:108" s="11" customFormat="1" ht="12.75" hidden="1" customHeight="1" outlineLevel="4">
      <c r="A250" s="107" t="s">
        <v>80</v>
      </c>
      <c r="B250" s="30">
        <v>0</v>
      </c>
      <c r="C250" s="20"/>
      <c r="D250" s="18" t="str">
        <f>"&lt;" &amp; A250 &amp; "&gt;" &amp; TEXT(B250,"0.000000") &amp; "&lt;/" &amp; A250 &amp; "&gt;"</f>
        <v>&lt;AeroCenter_Z&gt;0.000000&lt;/AeroCenter_Z&gt;</v>
      </c>
      <c r="E250" s="174" t="str">
        <f t="shared" si="4"/>
        <v>Yes</v>
      </c>
      <c r="F250" s="6" t="s">
        <v>660</v>
      </c>
      <c r="G250" s="6"/>
      <c r="H250" s="17"/>
      <c r="I250" s="17"/>
      <c r="J250" s="17"/>
      <c r="K250" s="17"/>
      <c r="L250" s="17"/>
      <c r="M250" s="6"/>
      <c r="N250" s="17"/>
      <c r="O250" s="17"/>
      <c r="P250" s="17"/>
      <c r="Q250" s="17"/>
      <c r="R250" s="17"/>
      <c r="S250" s="17"/>
      <c r="T250" s="17"/>
      <c r="U250" s="17"/>
      <c r="V250" s="17"/>
      <c r="W250" s="17"/>
      <c r="X250" s="6"/>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row>
    <row r="251" spans="1:108" s="11" customFormat="1" ht="12.75" hidden="1" customHeight="1" outlineLevel="4">
      <c r="A251" s="107" t="s">
        <v>81</v>
      </c>
      <c r="B251" s="100" t="s">
        <v>11</v>
      </c>
      <c r="C251" s="20"/>
      <c r="D251" s="134" t="str">
        <f>"&lt;" &amp; A251 &amp; "&gt;" &amp;IF(B251="Yes",1,0) &amp;"&lt;/" &amp;A251&amp;"&gt;"</f>
        <v>&lt;AutoAeroCenterFlag&gt;1&lt;/AutoAeroCenterFlag&gt;</v>
      </c>
      <c r="E251" s="174" t="str">
        <f t="shared" si="4"/>
        <v>Yes</v>
      </c>
      <c r="F251" s="6" t="s">
        <v>661</v>
      </c>
      <c r="G251" s="6"/>
      <c r="H251" s="17"/>
      <c r="I251" s="17"/>
      <c r="J251" s="17"/>
      <c r="K251" s="17"/>
      <c r="L251" s="17"/>
      <c r="M251" s="6"/>
      <c r="N251" s="17"/>
      <c r="O251" s="17"/>
      <c r="P251" s="17"/>
      <c r="Q251" s="17"/>
      <c r="R251" s="17"/>
      <c r="S251" s="17"/>
      <c r="T251" s="17"/>
      <c r="U251" s="17"/>
      <c r="V251" s="17"/>
      <c r="W251" s="17"/>
      <c r="X251" s="6"/>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row>
    <row r="252" spans="1:108" s="11" customFormat="1" ht="12.75" hidden="1" customHeight="1" outlineLevel="4">
      <c r="A252" s="107" t="s">
        <v>82</v>
      </c>
      <c r="B252" s="100" t="s">
        <v>12</v>
      </c>
      <c r="C252" s="20"/>
      <c r="D252" s="134" t="str">
        <f>"&lt;" &amp; A252 &amp; "&gt;" &amp;IF(B252="Yes",1,0) &amp;"&lt;/" &amp;A252&amp;"&gt;"</f>
        <v>&lt;WakeActiveFlag&gt;0&lt;/WakeActiveFlag&gt;</v>
      </c>
      <c r="E252" s="174" t="str">
        <f t="shared" si="4"/>
        <v>Yes</v>
      </c>
      <c r="F252" s="6" t="s">
        <v>662</v>
      </c>
      <c r="G252" s="6"/>
      <c r="H252" s="17"/>
      <c r="I252" s="17"/>
      <c r="J252" s="17"/>
      <c r="K252" s="17"/>
      <c r="L252" s="17"/>
      <c r="M252" s="6"/>
      <c r="N252" s="17"/>
      <c r="O252" s="17"/>
      <c r="P252" s="17"/>
      <c r="Q252" s="17"/>
      <c r="R252" s="17"/>
      <c r="S252" s="17"/>
      <c r="T252" s="17"/>
      <c r="U252" s="17"/>
      <c r="V252" s="17"/>
      <c r="W252" s="17"/>
      <c r="X252" s="6"/>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row>
    <row r="253" spans="1:108" s="11" customFormat="1" ht="12.75" hidden="1" customHeight="1" outlineLevel="4">
      <c r="A253" s="107" t="s">
        <v>83</v>
      </c>
      <c r="B253" s="100" t="s">
        <v>12</v>
      </c>
      <c r="C253" s="20"/>
      <c r="D253" s="134" t="str">
        <f>"&lt;" &amp; A253 &amp; "&gt;" &amp;IF(B253="Yes",1,0) &amp;"&lt;/" &amp;A253&amp;"&gt;"</f>
        <v>&lt;PosAttachFlag&gt;0&lt;/PosAttachFlag&gt;</v>
      </c>
      <c r="E253" s="174" t="str">
        <f t="shared" si="4"/>
        <v>Yes</v>
      </c>
      <c r="F253" s="6" t="s">
        <v>663</v>
      </c>
      <c r="G253" s="6"/>
      <c r="H253" s="17"/>
      <c r="I253" s="17"/>
      <c r="J253" s="17"/>
      <c r="K253" s="17"/>
      <c r="L253" s="17"/>
      <c r="M253" s="6"/>
      <c r="N253" s="17"/>
      <c r="O253" s="17"/>
      <c r="P253" s="17"/>
      <c r="Q253" s="17"/>
      <c r="R253" s="17"/>
      <c r="S253" s="17"/>
      <c r="T253" s="17"/>
      <c r="U253" s="17"/>
      <c r="V253" s="17"/>
      <c r="W253" s="17"/>
      <c r="X253" s="6"/>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row>
    <row r="254" spans="1:108" s="11" customFormat="1" ht="12.75" hidden="1" customHeight="1" outlineLevel="4">
      <c r="A254" s="107" t="s">
        <v>84</v>
      </c>
      <c r="B254" s="30">
        <v>0</v>
      </c>
      <c r="C254" s="20"/>
      <c r="D254" s="18" t="str">
        <f>"&lt;" &amp; A254 &amp; "&gt;" &amp; TEXT(B254,"0.000000") &amp; "&lt;/" &amp; A254 &amp; "&gt;"</f>
        <v>&lt;U_Attach&gt;0.000000&lt;/U_Attach&gt;</v>
      </c>
      <c r="E254" s="174" t="str">
        <f t="shared" si="4"/>
        <v>Yes</v>
      </c>
      <c r="F254" s="6" t="s">
        <v>664</v>
      </c>
      <c r="G254" s="6"/>
      <c r="H254" s="17"/>
      <c r="I254" s="17"/>
      <c r="J254" s="17"/>
      <c r="K254" s="17"/>
      <c r="L254" s="17"/>
      <c r="M254" s="6"/>
      <c r="N254" s="17"/>
      <c r="O254" s="17"/>
      <c r="P254" s="17"/>
      <c r="Q254" s="17"/>
      <c r="R254" s="17"/>
      <c r="S254" s="17"/>
      <c r="T254" s="17"/>
      <c r="U254" s="17"/>
      <c r="V254" s="17"/>
      <c r="W254" s="17"/>
      <c r="X254" s="6"/>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row>
    <row r="255" spans="1:108" s="11" customFormat="1" ht="12.75" hidden="1" customHeight="1" outlineLevel="4">
      <c r="A255" s="107" t="s">
        <v>85</v>
      </c>
      <c r="B255" s="30">
        <v>0</v>
      </c>
      <c r="C255" s="20"/>
      <c r="D255" s="18" t="str">
        <f>"&lt;" &amp; A255 &amp; "&gt;" &amp; TEXT(B255,"0.000000") &amp; "&lt;/" &amp; A255 &amp; "&gt;"</f>
        <v>&lt;V_Attach&gt;0.000000&lt;/V_Attach&gt;</v>
      </c>
      <c r="E255" s="174" t="str">
        <f t="shared" si="4"/>
        <v>Yes</v>
      </c>
      <c r="F255" s="6" t="s">
        <v>665</v>
      </c>
      <c r="G255" s="6"/>
      <c r="H255" s="17"/>
      <c r="I255" s="17"/>
      <c r="J255" s="17"/>
      <c r="K255" s="17"/>
      <c r="L255" s="17"/>
      <c r="M255" s="6"/>
      <c r="N255" s="17"/>
      <c r="O255" s="17"/>
      <c r="P255" s="17"/>
      <c r="Q255" s="17"/>
      <c r="R255" s="17"/>
      <c r="S255" s="17"/>
      <c r="T255" s="17"/>
      <c r="U255" s="17"/>
      <c r="V255" s="17"/>
      <c r="W255" s="17"/>
      <c r="X255" s="6"/>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row>
    <row r="256" spans="1:108" s="11" customFormat="1" ht="12.75" hidden="1" customHeight="1" outlineLevel="4">
      <c r="A256" s="107" t="s">
        <v>86</v>
      </c>
      <c r="B256" s="105">
        <v>148241632</v>
      </c>
      <c r="C256" s="20"/>
      <c r="D256" s="134" t="s">
        <v>17</v>
      </c>
      <c r="E256" s="174" t="str">
        <f t="shared" si="4"/>
        <v>Yes</v>
      </c>
      <c r="F256" s="6" t="s">
        <v>17</v>
      </c>
      <c r="G256" s="6"/>
      <c r="H256" s="17"/>
      <c r="I256" s="17"/>
      <c r="J256" s="17"/>
      <c r="K256" s="17"/>
      <c r="L256" s="17"/>
      <c r="M256" s="6"/>
      <c r="N256" s="17"/>
      <c r="O256" s="17"/>
      <c r="P256" s="17"/>
      <c r="Q256" s="17"/>
      <c r="R256" s="17"/>
      <c r="S256" s="17"/>
      <c r="T256" s="17"/>
      <c r="U256" s="17"/>
      <c r="V256" s="17"/>
      <c r="W256" s="17"/>
      <c r="X256" s="6"/>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row>
    <row r="257" spans="1:108" s="11" customFormat="1" ht="12.75" hidden="1" customHeight="1" outlineLevel="4">
      <c r="A257" s="107" t="s">
        <v>87</v>
      </c>
      <c r="B257" s="100" t="s">
        <v>12</v>
      </c>
      <c r="C257" s="20"/>
      <c r="D257" s="134" t="str">
        <f>"&lt;" &amp; A257 &amp; "&gt;" &amp;IF(B257="Yes",1,0) &amp;"&lt;/" &amp;A257&amp;"&gt;"</f>
        <v>&lt;Parent_PtrID&gt;0&lt;/Parent_PtrID&gt;</v>
      </c>
      <c r="E257" s="174" t="str">
        <f t="shared" si="4"/>
        <v>Yes</v>
      </c>
      <c r="F257" s="6" t="s">
        <v>666</v>
      </c>
      <c r="G257" s="6"/>
      <c r="H257" s="17"/>
      <c r="I257" s="17"/>
      <c r="J257" s="17"/>
      <c r="K257" s="17"/>
      <c r="L257" s="17"/>
      <c r="M257" s="6"/>
      <c r="N257" s="17"/>
      <c r="O257" s="17"/>
      <c r="P257" s="17"/>
      <c r="Q257" s="17"/>
      <c r="R257" s="17"/>
      <c r="S257" s="17"/>
      <c r="T257" s="17"/>
      <c r="U257" s="17"/>
      <c r="V257" s="17"/>
      <c r="W257" s="17"/>
      <c r="X257" s="6"/>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row>
    <row r="258" spans="1:108" s="11" customFormat="1" ht="12.75" hidden="1" customHeight="1" outlineLevel="4">
      <c r="A258" s="107" t="s">
        <v>88</v>
      </c>
      <c r="B258" s="6"/>
      <c r="C258" s="20"/>
      <c r="D258" s="134" t="str">
        <f>"&lt;" &amp; A258 &amp; "&gt;"</f>
        <v>&lt;/General_Parms&gt;</v>
      </c>
      <c r="E258" s="174" t="str">
        <f t="shared" si="4"/>
        <v>Yes</v>
      </c>
      <c r="F258" s="6" t="s">
        <v>667</v>
      </c>
      <c r="G258" s="6"/>
      <c r="H258" s="17"/>
      <c r="I258" s="17"/>
      <c r="J258" s="17"/>
      <c r="K258" s="17"/>
      <c r="L258" s="17"/>
      <c r="M258" s="6"/>
      <c r="N258" s="17"/>
      <c r="O258" s="17"/>
      <c r="P258" s="17"/>
      <c r="Q258" s="17"/>
      <c r="R258" s="17"/>
      <c r="S258" s="17"/>
      <c r="T258" s="17"/>
      <c r="U258" s="17"/>
      <c r="V258" s="17"/>
      <c r="W258" s="17"/>
      <c r="X258" s="6"/>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row>
    <row r="259" spans="1:108" s="11" customFormat="1" ht="12.75" customHeight="1" outlineLevel="3">
      <c r="A259" s="107" t="s">
        <v>89</v>
      </c>
      <c r="B259" s="6"/>
      <c r="C259" s="20"/>
      <c r="D259" s="134" t="str">
        <f>"&lt;" &amp; A259 &amp; "&gt;"</f>
        <v>&lt;Mswing_Parms&gt;</v>
      </c>
      <c r="E259" s="174" t="str">
        <f t="shared" si="4"/>
        <v>Yes</v>
      </c>
      <c r="F259" s="6" t="s">
        <v>668</v>
      </c>
      <c r="G259" s="6"/>
      <c r="H259" s="17"/>
      <c r="I259" s="17"/>
      <c r="J259" s="17"/>
      <c r="K259" s="17"/>
      <c r="L259" s="17"/>
      <c r="M259" s="6"/>
      <c r="N259" s="17"/>
      <c r="O259" s="17"/>
      <c r="P259" s="17"/>
      <c r="Q259" s="17"/>
      <c r="R259" s="17"/>
      <c r="S259" s="17"/>
      <c r="T259" s="17"/>
      <c r="U259" s="17"/>
      <c r="V259" s="17"/>
      <c r="W259" s="17"/>
      <c r="X259" s="6"/>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row>
    <row r="260" spans="1:108" s="11" customFormat="1" ht="12.75" customHeight="1" outlineLevel="4">
      <c r="A260" s="107" t="s">
        <v>90</v>
      </c>
      <c r="B260" s="92">
        <f>S_H</f>
        <v>31</v>
      </c>
      <c r="C260" s="20"/>
      <c r="D260" s="18" t="str">
        <f>"&lt;" &amp; A260 &amp; "&gt;" &amp; TEXT(B260,"0.000000") &amp; "&lt;/" &amp; A260 &amp; "&gt;"</f>
        <v>&lt;Total_Area&gt;31.000000&lt;/Total_Area&gt;</v>
      </c>
      <c r="E260" s="174" t="str">
        <f t="shared" si="4"/>
        <v>Yes</v>
      </c>
      <c r="F260" s="6" t="s">
        <v>669</v>
      </c>
      <c r="G260" s="6"/>
      <c r="H260" s="17"/>
      <c r="I260" s="17"/>
      <c r="J260" s="17"/>
      <c r="K260" s="17"/>
      <c r="L260" s="17"/>
      <c r="M260" s="6"/>
      <c r="N260" s="17"/>
      <c r="O260" s="17"/>
      <c r="P260" s="17"/>
      <c r="Q260" s="17"/>
      <c r="R260" s="17"/>
      <c r="S260" s="17"/>
      <c r="T260" s="17"/>
      <c r="U260" s="17"/>
      <c r="V260" s="17"/>
      <c r="W260" s="17"/>
      <c r="X260" s="6"/>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row>
    <row r="261" spans="1:108" s="11" customFormat="1" ht="12.75" customHeight="1" outlineLevel="4">
      <c r="A261" s="107" t="s">
        <v>91</v>
      </c>
      <c r="B261" s="29">
        <f>2*B321</f>
        <v>12.449899597988733</v>
      </c>
      <c r="C261" s="20"/>
      <c r="D261" s="18" t="str">
        <f>"&lt;" &amp; A261 &amp; "&gt;" &amp; TEXT(B261,"0.000000") &amp; "&lt;/" &amp; A261 &amp; "&gt;"</f>
        <v>&lt;Total_Span&gt;12.449900&lt;/Total_Span&gt;</v>
      </c>
      <c r="E261" s="174" t="str">
        <f t="shared" si="4"/>
        <v>Yes</v>
      </c>
      <c r="F261" s="6" t="s">
        <v>966</v>
      </c>
      <c r="G261" s="6"/>
      <c r="H261" s="17"/>
      <c r="I261" s="17"/>
      <c r="J261" s="17"/>
      <c r="K261" s="17"/>
      <c r="L261" s="17"/>
      <c r="M261" s="6"/>
      <c r="N261" s="17"/>
      <c r="O261" s="17"/>
      <c r="P261" s="17"/>
      <c r="Q261" s="17"/>
      <c r="R261" s="17"/>
      <c r="S261" s="17"/>
      <c r="T261" s="17"/>
      <c r="U261" s="17"/>
      <c r="V261" s="17"/>
      <c r="W261" s="17"/>
      <c r="X261" s="6"/>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row>
    <row r="262" spans="1:108" s="11" customFormat="1" ht="12.75" customHeight="1" outlineLevel="4">
      <c r="A262" s="107" t="s">
        <v>92</v>
      </c>
      <c r="B262" s="29">
        <f>2*B321*COS(B328*PI()/180)</f>
        <v>12.381697745336458</v>
      </c>
      <c r="C262" s="20"/>
      <c r="D262" s="18" t="str">
        <f>"&lt;" &amp; A262 &amp; "&gt;" &amp; TEXT(B262,"0.000000") &amp; "&lt;/" &amp; A262 &amp; "&gt;"</f>
        <v>&lt;Total_Proj_Span&gt;12.381698&lt;/Total_Proj_Span&gt;</v>
      </c>
      <c r="E262" s="174" t="str">
        <f t="shared" si="4"/>
        <v>Yes</v>
      </c>
      <c r="F262" s="6" t="s">
        <v>967</v>
      </c>
      <c r="G262" s="6"/>
      <c r="H262" s="17"/>
      <c r="I262" s="17"/>
      <c r="J262" s="17"/>
      <c r="K262" s="17"/>
      <c r="L262" s="17"/>
      <c r="M262" s="6"/>
      <c r="N262" s="17"/>
      <c r="O262" s="17"/>
      <c r="P262" s="17"/>
      <c r="Q262" s="17"/>
      <c r="R262" s="17"/>
      <c r="S262" s="17"/>
      <c r="T262" s="17"/>
      <c r="U262" s="17"/>
      <c r="V262" s="17"/>
      <c r="W262" s="17"/>
      <c r="X262" s="6"/>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row>
    <row r="263" spans="1:108" s="11" customFormat="1" ht="12.75" customHeight="1" outlineLevel="4">
      <c r="A263" s="107" t="s">
        <v>93</v>
      </c>
      <c r="B263" s="29">
        <f>B260/B261</f>
        <v>2.4899799195977463</v>
      </c>
      <c r="C263" s="20"/>
      <c r="D263" s="18" t="str">
        <f>"&lt;" &amp; A263 &amp; "&gt;" &amp; TEXT(B263,"0.000000") &amp; "&lt;/" &amp; A263 &amp; "&gt;"</f>
        <v>&lt;Avg_Chord&gt;2.489980&lt;/Avg_Chord&gt;</v>
      </c>
      <c r="E263" s="174" t="str">
        <f t="shared" ref="E263:E326" si="6">IF(D263=F263,"Yes","No")</f>
        <v>Yes</v>
      </c>
      <c r="F263" s="6" t="s">
        <v>968</v>
      </c>
      <c r="G263" s="6"/>
      <c r="H263" s="17"/>
      <c r="I263" s="17"/>
      <c r="J263" s="17"/>
      <c r="K263" s="17"/>
      <c r="L263" s="17"/>
      <c r="M263" s="6"/>
      <c r="N263" s="17"/>
      <c r="O263" s="17"/>
      <c r="P263" s="17"/>
      <c r="Q263" s="17"/>
      <c r="R263" s="17"/>
      <c r="S263" s="17"/>
      <c r="T263" s="17"/>
      <c r="U263" s="17"/>
      <c r="V263" s="17"/>
      <c r="W263" s="17"/>
      <c r="X263" s="6"/>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row>
    <row r="264" spans="1:108" s="11" customFormat="1" ht="12.75" customHeight="1" outlineLevel="4">
      <c r="A264" s="107" t="s">
        <v>94</v>
      </c>
      <c r="B264" s="30">
        <v>0</v>
      </c>
      <c r="C264" s="20"/>
      <c r="D264" s="18" t="str">
        <f>"&lt;" &amp; A264 &amp; "&gt;" &amp; TEXT(B264,"0.000000") &amp; "&lt;/" &amp; A264 &amp; "&gt;"</f>
        <v>&lt;Sweep_Off&gt;0.000000&lt;/Sweep_Off&gt;</v>
      </c>
      <c r="E264" s="174" t="str">
        <f t="shared" si="6"/>
        <v>Yes</v>
      </c>
      <c r="F264" s="6" t="s">
        <v>670</v>
      </c>
      <c r="G264" s="6"/>
      <c r="H264" s="17"/>
      <c r="I264" s="17"/>
      <c r="J264" s="17"/>
      <c r="K264" s="17"/>
      <c r="L264" s="17"/>
      <c r="M264" s="6"/>
      <c r="N264" s="17"/>
      <c r="O264" s="17"/>
      <c r="P264" s="17"/>
      <c r="Q264" s="17"/>
      <c r="R264" s="17"/>
      <c r="S264" s="17"/>
      <c r="T264" s="17"/>
      <c r="U264" s="17"/>
      <c r="V264" s="17"/>
      <c r="W264" s="17"/>
      <c r="X264" s="6"/>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row>
    <row r="265" spans="1:108" s="11" customFormat="1" ht="12.75" customHeight="1" outlineLevel="4">
      <c r="A265" s="107" t="s">
        <v>95</v>
      </c>
      <c r="B265" s="106">
        <v>9</v>
      </c>
      <c r="C265" s="20"/>
      <c r="D265" s="18" t="str">
        <f>"&lt;" &amp; A265 &amp; "&gt;" &amp; TEXT(B265,0) &amp; "&lt;/" &amp; A265 &amp; "&gt;"</f>
        <v>&lt;Deg_Per_Seg&gt;9&lt;/Deg_Per_Seg&gt;</v>
      </c>
      <c r="E265" s="174" t="str">
        <f t="shared" si="6"/>
        <v>Yes</v>
      </c>
      <c r="F265" s="6" t="s">
        <v>671</v>
      </c>
      <c r="G265" s="6"/>
      <c r="H265" s="17"/>
      <c r="I265" s="17"/>
      <c r="J265" s="17"/>
      <c r="K265" s="17"/>
      <c r="L265" s="17"/>
      <c r="M265" s="6"/>
      <c r="N265" s="17"/>
      <c r="O265" s="17"/>
      <c r="P265" s="17"/>
      <c r="Q265" s="17"/>
      <c r="R265" s="17"/>
      <c r="S265" s="17"/>
      <c r="T265" s="17"/>
      <c r="U265" s="17"/>
      <c r="V265" s="17"/>
      <c r="W265" s="17"/>
      <c r="X265" s="6"/>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row>
    <row r="266" spans="1:108" s="11" customFormat="1" ht="12.75" customHeight="1" outlineLevel="4">
      <c r="A266" s="107" t="s">
        <v>96</v>
      </c>
      <c r="B266" s="106">
        <v>9</v>
      </c>
      <c r="C266" s="20"/>
      <c r="D266" s="18" t="str">
        <f>"&lt;" &amp; A266 &amp; "&gt;" &amp; TEXT(B266,0) &amp; "&lt;/" &amp; A266 &amp; "&gt;"</f>
        <v>&lt;Max_Num_Seg&gt;9&lt;/Max_Num_Seg&gt;</v>
      </c>
      <c r="E266" s="174" t="str">
        <f t="shared" si="6"/>
        <v>Yes</v>
      </c>
      <c r="F266" s="6" t="s">
        <v>672</v>
      </c>
      <c r="G266" s="6"/>
      <c r="H266" s="17"/>
      <c r="I266" s="17"/>
      <c r="J266" s="17"/>
      <c r="K266" s="17"/>
      <c r="L266" s="17"/>
      <c r="M266" s="6"/>
      <c r="N266" s="17"/>
      <c r="O266" s="17"/>
      <c r="P266" s="17"/>
      <c r="Q266" s="17"/>
      <c r="R266" s="17"/>
      <c r="S266" s="17"/>
      <c r="T266" s="17"/>
      <c r="U266" s="17"/>
      <c r="V266" s="17"/>
      <c r="W266" s="17"/>
      <c r="X266" s="6"/>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row>
    <row r="267" spans="1:108" s="11" customFormat="1" ht="12.75" customHeight="1" outlineLevel="4">
      <c r="A267" s="107" t="s">
        <v>97</v>
      </c>
      <c r="B267" s="100" t="s">
        <v>12</v>
      </c>
      <c r="C267" s="20"/>
      <c r="D267" s="134" t="str">
        <f>"&lt;" &amp; A267 &amp; "&gt;" &amp;IF(B267="Yes",1,0) &amp;"&lt;/" &amp;A267&amp;"&gt;"</f>
        <v>&lt;Rel_Dihedral_Flag&gt;0&lt;/Rel_Dihedral_Flag&gt;</v>
      </c>
      <c r="E267" s="174" t="str">
        <f t="shared" si="6"/>
        <v>Yes</v>
      </c>
      <c r="F267" s="6" t="s">
        <v>673</v>
      </c>
      <c r="G267" s="6"/>
      <c r="H267" s="130"/>
      <c r="I267" s="17"/>
      <c r="J267" s="17"/>
      <c r="K267" s="17"/>
      <c r="L267" s="17"/>
      <c r="M267" s="6"/>
      <c r="N267" s="17"/>
      <c r="O267" s="17"/>
      <c r="P267" s="17"/>
      <c r="Q267" s="17"/>
      <c r="R267" s="17"/>
      <c r="S267" s="17"/>
      <c r="T267" s="17"/>
      <c r="U267" s="17"/>
      <c r="V267" s="17"/>
      <c r="W267" s="17"/>
      <c r="X267" s="6"/>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row>
    <row r="268" spans="1:108" s="11" customFormat="1" ht="12.75" customHeight="1" outlineLevel="4">
      <c r="A268" s="107" t="s">
        <v>98</v>
      </c>
      <c r="B268" s="100" t="s">
        <v>12</v>
      </c>
      <c r="C268" s="20"/>
      <c r="D268" s="134" t="str">
        <f>"&lt;" &amp; A268 &amp; "&gt;" &amp;IF(B268="Yes",1,0) &amp;"&lt;/" &amp;A268&amp;"&gt;"</f>
        <v>&lt;Rel_Twist_Flag&gt;0&lt;/Rel_Twist_Flag&gt;</v>
      </c>
      <c r="E268" s="174" t="str">
        <f t="shared" si="6"/>
        <v>Yes</v>
      </c>
      <c r="F268" s="6" t="s">
        <v>674</v>
      </c>
      <c r="G268" s="6"/>
      <c r="H268" s="130"/>
      <c r="I268" s="17"/>
      <c r="J268" s="17"/>
      <c r="K268" s="17"/>
      <c r="L268" s="17"/>
      <c r="M268" s="6"/>
      <c r="N268" s="17"/>
      <c r="O268" s="17"/>
      <c r="P268" s="17"/>
      <c r="Q268" s="17"/>
      <c r="R268" s="17"/>
      <c r="S268" s="17"/>
      <c r="T268" s="17"/>
      <c r="U268" s="17"/>
      <c r="V268" s="17"/>
      <c r="W268" s="17"/>
      <c r="X268" s="6"/>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row>
    <row r="269" spans="1:108" s="11" customFormat="1" ht="12.75" customHeight="1" outlineLevel="4">
      <c r="A269" s="107" t="s">
        <v>99</v>
      </c>
      <c r="B269" s="100" t="s">
        <v>11</v>
      </c>
      <c r="C269" s="20"/>
      <c r="D269" s="134" t="str">
        <f>"&lt;" &amp; A269 &amp; "&gt;" &amp;IF(B269="Yes",1,0) &amp;"&lt;/" &amp;A269&amp;"&gt;"</f>
        <v>&lt;Round_End_Cap_Flag&gt;1&lt;/Round_End_Cap_Flag&gt;</v>
      </c>
      <c r="E269" s="174" t="str">
        <f t="shared" si="6"/>
        <v>Yes</v>
      </c>
      <c r="F269" s="6" t="s">
        <v>675</v>
      </c>
      <c r="G269" s="6"/>
      <c r="H269" s="130"/>
      <c r="I269" s="17"/>
      <c r="J269" s="17"/>
      <c r="K269" s="17"/>
      <c r="L269" s="17"/>
      <c r="M269" s="6"/>
      <c r="N269" s="17"/>
      <c r="O269" s="17"/>
      <c r="P269" s="17"/>
      <c r="Q269" s="17"/>
      <c r="R269" s="17"/>
      <c r="S269" s="17"/>
      <c r="T269" s="17"/>
      <c r="U269" s="17"/>
      <c r="V269" s="17"/>
      <c r="W269" s="17"/>
      <c r="X269" s="6"/>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row>
    <row r="270" spans="1:108" s="11" customFormat="1" ht="12.75" customHeight="1" outlineLevel="4">
      <c r="A270" s="104" t="s">
        <v>100</v>
      </c>
      <c r="B270" s="17"/>
      <c r="C270" s="20"/>
      <c r="D270" s="131" t="str">
        <f>"&lt;" &amp; A270 &amp; "&gt;"</f>
        <v>&lt;/Mswing_Parms&gt;</v>
      </c>
      <c r="E270" s="176" t="str">
        <f t="shared" si="6"/>
        <v>Yes</v>
      </c>
      <c r="F270" s="17" t="s">
        <v>676</v>
      </c>
      <c r="G270" s="17"/>
      <c r="H270" s="131"/>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row>
    <row r="271" spans="1:108" s="11" customFormat="1" ht="12.75" customHeight="1" outlineLevel="3" collapsed="1">
      <c r="A271" s="107" t="s">
        <v>101</v>
      </c>
      <c r="B271" s="6"/>
      <c r="C271" s="20"/>
      <c r="D271" s="134" t="str">
        <f>"&lt;" &amp; A271 &amp; "&gt;"</f>
        <v>&lt;Airfoil_List&gt;</v>
      </c>
      <c r="E271" s="174" t="str">
        <f t="shared" si="6"/>
        <v>Yes</v>
      </c>
      <c r="F271" s="6" t="s">
        <v>677</v>
      </c>
      <c r="G271" s="6"/>
      <c r="H271" s="131"/>
      <c r="I271" s="17"/>
      <c r="J271" s="17"/>
      <c r="K271" s="17"/>
      <c r="L271" s="17"/>
      <c r="M271" s="6"/>
      <c r="N271" s="17"/>
      <c r="O271" s="17"/>
      <c r="P271" s="17"/>
      <c r="Q271" s="17"/>
      <c r="R271" s="17"/>
      <c r="S271" s="17"/>
      <c r="T271" s="17"/>
      <c r="U271" s="17"/>
      <c r="V271" s="17"/>
      <c r="W271" s="17"/>
      <c r="X271" s="6"/>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row>
    <row r="272" spans="1:108" s="11" customFormat="1" ht="12.75" hidden="1" customHeight="1" outlineLevel="4" collapsed="1">
      <c r="A272" s="107" t="s">
        <v>2</v>
      </c>
      <c r="B272" s="99" t="s">
        <v>399</v>
      </c>
      <c r="C272" s="20"/>
      <c r="D272" s="134" t="str">
        <f>"&lt;" &amp; A272 &amp; "&gt;"</f>
        <v>&lt;Airfoil&gt;</v>
      </c>
      <c r="E272" s="174" t="str">
        <f t="shared" si="6"/>
        <v>Yes</v>
      </c>
      <c r="F272" s="6" t="s">
        <v>678</v>
      </c>
      <c r="G272" s="6"/>
      <c r="H272" s="131"/>
      <c r="I272" s="17"/>
      <c r="J272" s="17"/>
      <c r="K272" s="17"/>
      <c r="L272" s="17"/>
      <c r="M272" s="6"/>
      <c r="N272" s="17"/>
      <c r="O272" s="17"/>
      <c r="P272" s="17"/>
      <c r="Q272" s="17"/>
      <c r="R272" s="17"/>
      <c r="S272" s="17"/>
      <c r="T272" s="17"/>
      <c r="U272" s="17"/>
      <c r="V272" s="17"/>
      <c r="W272" s="17"/>
      <c r="X272" s="6"/>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row>
    <row r="273" spans="1:108" s="11" customFormat="1" ht="12.75" hidden="1" customHeight="1" outlineLevel="5">
      <c r="A273" s="107" t="s">
        <v>14</v>
      </c>
      <c r="B273" s="107" t="s">
        <v>3</v>
      </c>
      <c r="C273" s="20"/>
      <c r="D273" s="134" t="str">
        <f>"&lt;Type&gt;" &amp; IF(B273="NACA 4-Series",1,IF(B273="Biconvex",2,IF(B273="Wedge",3,IF(B273="Read File",4,IF(B273="NACA 6-Series",5,)))))&amp;"&lt;/Type&gt;"</f>
        <v>&lt;Type&gt;1&lt;/Type&gt;</v>
      </c>
      <c r="E273" s="174" t="str">
        <f t="shared" si="6"/>
        <v>Yes</v>
      </c>
      <c r="F273" s="6" t="s">
        <v>679</v>
      </c>
      <c r="G273" s="6"/>
      <c r="H273" s="131"/>
      <c r="I273" s="17"/>
      <c r="J273" s="17"/>
      <c r="K273" s="17"/>
      <c r="L273" s="17"/>
      <c r="M273" s="6"/>
      <c r="N273" s="17"/>
      <c r="O273" s="17"/>
      <c r="P273" s="17"/>
      <c r="Q273" s="17"/>
      <c r="R273" s="17"/>
      <c r="S273" s="17"/>
      <c r="T273" s="17"/>
      <c r="U273" s="17"/>
      <c r="V273" s="17"/>
      <c r="W273" s="17"/>
      <c r="X273" s="6"/>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row>
    <row r="274" spans="1:108" s="11" customFormat="1" ht="12.75" hidden="1" customHeight="1" outlineLevel="5">
      <c r="A274" s="107" t="s">
        <v>102</v>
      </c>
      <c r="B274" s="100" t="s">
        <v>12</v>
      </c>
      <c r="C274" s="20"/>
      <c r="D274" s="134" t="str">
        <f>"&lt;" &amp; A274 &amp; "&gt;" &amp;IF(B274="Yes",1,0) &amp;"&lt;/" &amp;A274&amp;"&gt;"</f>
        <v>&lt;Inverted_Flag&gt;0&lt;/Inverted_Flag&gt;</v>
      </c>
      <c r="E274" s="174" t="str">
        <f t="shared" si="6"/>
        <v>Yes</v>
      </c>
      <c r="F274" s="6" t="s">
        <v>680</v>
      </c>
      <c r="G274" s="6"/>
      <c r="H274" s="131"/>
      <c r="I274" s="17"/>
      <c r="J274" s="17"/>
      <c r="K274" s="17"/>
      <c r="L274" s="17"/>
      <c r="M274" s="6"/>
      <c r="N274" s="17"/>
      <c r="O274" s="17"/>
      <c r="P274" s="17"/>
      <c r="Q274" s="17"/>
      <c r="R274" s="17"/>
      <c r="S274" s="17"/>
      <c r="T274" s="17"/>
      <c r="U274" s="17"/>
      <c r="V274" s="17"/>
      <c r="W274" s="17"/>
      <c r="X274" s="6"/>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row>
    <row r="275" spans="1:108" s="11" customFormat="1" ht="12.75" hidden="1" customHeight="1" outlineLevel="5">
      <c r="A275" s="107" t="s">
        <v>4</v>
      </c>
      <c r="B275" s="30">
        <v>0</v>
      </c>
      <c r="C275" s="20"/>
      <c r="D275" s="18" t="str">
        <f t="shared" ref="D275:D280" si="7">"&lt;" &amp; A275 &amp; "&gt;" &amp; TEXT(B275,"0.000000") &amp; "&lt;/" &amp; A275 &amp; "&gt;"</f>
        <v>&lt;Camber&gt;0.000000&lt;/Camber&gt;</v>
      </c>
      <c r="E275" s="174" t="str">
        <f t="shared" si="6"/>
        <v>Yes</v>
      </c>
      <c r="F275" s="6" t="s">
        <v>681</v>
      </c>
      <c r="G275" s="6"/>
      <c r="H275" s="131"/>
      <c r="I275" s="17"/>
      <c r="J275" s="17"/>
      <c r="K275" s="17"/>
      <c r="L275" s="17"/>
      <c r="M275" s="6"/>
      <c r="N275" s="17"/>
      <c r="O275" s="17"/>
      <c r="P275" s="17"/>
      <c r="Q275" s="17"/>
      <c r="R275" s="17"/>
      <c r="S275" s="17"/>
      <c r="T275" s="17"/>
      <c r="U275" s="17"/>
      <c r="V275" s="17"/>
      <c r="W275" s="17"/>
      <c r="X275" s="6"/>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row>
    <row r="276" spans="1:108" s="11" customFormat="1" ht="12.75" hidden="1" customHeight="1" outlineLevel="5">
      <c r="A276" s="107" t="s">
        <v>103</v>
      </c>
      <c r="B276" s="30">
        <v>0.1</v>
      </c>
      <c r="C276" s="20"/>
      <c r="D276" s="18" t="str">
        <f t="shared" si="7"/>
        <v>&lt;Camber_Loc&gt;0.100000&lt;/Camber_Loc&gt;</v>
      </c>
      <c r="E276" s="174" t="str">
        <f t="shared" si="6"/>
        <v>Yes</v>
      </c>
      <c r="F276" s="6" t="s">
        <v>682</v>
      </c>
      <c r="G276" s="6"/>
      <c r="H276" s="131"/>
      <c r="I276" s="17"/>
      <c r="J276" s="17"/>
      <c r="K276" s="17"/>
      <c r="L276" s="17"/>
      <c r="M276" s="6"/>
      <c r="N276" s="17"/>
      <c r="O276" s="17"/>
      <c r="P276" s="17"/>
      <c r="Q276" s="17"/>
      <c r="R276" s="17"/>
      <c r="S276" s="17"/>
      <c r="T276" s="17"/>
      <c r="U276" s="17"/>
      <c r="V276" s="17"/>
      <c r="W276" s="17"/>
      <c r="X276" s="6"/>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row>
    <row r="277" spans="1:108" s="11" customFormat="1" ht="12.75" hidden="1" customHeight="1" outlineLevel="5">
      <c r="A277" s="107" t="s">
        <v>5</v>
      </c>
      <c r="B277" s="30">
        <v>0.1</v>
      </c>
      <c r="C277" s="20"/>
      <c r="D277" s="18" t="str">
        <f t="shared" si="7"/>
        <v>&lt;Thickness&gt;0.100000&lt;/Thickness&gt;</v>
      </c>
      <c r="E277" s="174" t="str">
        <f t="shared" si="6"/>
        <v>Yes</v>
      </c>
      <c r="F277" s="6" t="s">
        <v>683</v>
      </c>
      <c r="G277" s="6"/>
      <c r="H277" s="131"/>
      <c r="I277" s="17"/>
      <c r="J277" s="17"/>
      <c r="K277" s="17"/>
      <c r="L277" s="17"/>
      <c r="M277" s="6"/>
      <c r="N277" s="17"/>
      <c r="O277" s="17"/>
      <c r="P277" s="17"/>
      <c r="Q277" s="17"/>
      <c r="R277" s="17"/>
      <c r="S277" s="17"/>
      <c r="T277" s="17"/>
      <c r="U277" s="17"/>
      <c r="V277" s="17"/>
      <c r="W277" s="17"/>
      <c r="X277" s="6"/>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row>
    <row r="278" spans="1:108" s="11" customFormat="1" ht="12.75" hidden="1" customHeight="1" outlineLevel="5">
      <c r="A278" s="107" t="s">
        <v>104</v>
      </c>
      <c r="B278" s="30">
        <v>0.3</v>
      </c>
      <c r="C278" s="20"/>
      <c r="D278" s="18" t="str">
        <f t="shared" si="7"/>
        <v>&lt;Thickness_Loc&gt;0.300000&lt;/Thickness_Loc&gt;</v>
      </c>
      <c r="E278" s="174" t="str">
        <f t="shared" si="6"/>
        <v>Yes</v>
      </c>
      <c r="F278" s="6" t="s">
        <v>684</v>
      </c>
      <c r="G278" s="6"/>
      <c r="H278" s="131"/>
      <c r="I278" s="17"/>
      <c r="J278" s="17"/>
      <c r="K278" s="17"/>
      <c r="L278" s="17"/>
      <c r="M278" s="6"/>
      <c r="N278" s="17"/>
      <c r="O278" s="17"/>
      <c r="P278" s="17"/>
      <c r="Q278" s="17"/>
      <c r="R278" s="17"/>
      <c r="S278" s="17"/>
      <c r="T278" s="17"/>
      <c r="U278" s="17"/>
      <c r="V278" s="17"/>
      <c r="W278" s="17"/>
      <c r="X278" s="6"/>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row>
    <row r="279" spans="1:108" s="11" customFormat="1" ht="12.75" hidden="1" customHeight="1" outlineLevel="5">
      <c r="A279" s="107" t="s">
        <v>105</v>
      </c>
      <c r="B279" s="30">
        <v>1.1018999999999999E-2</v>
      </c>
      <c r="C279" s="20"/>
      <c r="D279" s="18" t="str">
        <f t="shared" si="7"/>
        <v>&lt;Radius_Le&gt;0.011019&lt;/Radius_Le&gt;</v>
      </c>
      <c r="E279" s="174" t="str">
        <f t="shared" si="6"/>
        <v>Yes</v>
      </c>
      <c r="F279" s="6" t="s">
        <v>685</v>
      </c>
      <c r="G279" s="6"/>
      <c r="H279" s="17"/>
      <c r="I279" s="17"/>
      <c r="J279" s="17"/>
      <c r="K279" s="17"/>
      <c r="L279" s="17"/>
      <c r="M279" s="6"/>
      <c r="N279" s="17"/>
      <c r="O279" s="17"/>
      <c r="P279" s="17"/>
      <c r="Q279" s="17"/>
      <c r="R279" s="17"/>
      <c r="S279" s="17"/>
      <c r="T279" s="17"/>
      <c r="U279" s="17"/>
      <c r="V279" s="17"/>
      <c r="W279" s="17"/>
      <c r="X279" s="6"/>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row>
    <row r="280" spans="1:108" s="11" customFormat="1" ht="12.75" hidden="1" customHeight="1" outlineLevel="5">
      <c r="A280" s="107" t="s">
        <v>106</v>
      </c>
      <c r="B280" s="30">
        <v>0</v>
      </c>
      <c r="C280" s="20"/>
      <c r="D280" s="18" t="str">
        <f t="shared" si="7"/>
        <v>&lt;Radius_Te&gt;0.000000&lt;/Radius_Te&gt;</v>
      </c>
      <c r="E280" s="174" t="str">
        <f t="shared" si="6"/>
        <v>Yes</v>
      </c>
      <c r="F280" s="6" t="s">
        <v>686</v>
      </c>
      <c r="G280" s="6"/>
      <c r="H280" s="17"/>
      <c r="I280" s="17"/>
      <c r="J280" s="17"/>
      <c r="K280" s="17"/>
      <c r="L280" s="17"/>
      <c r="M280" s="6"/>
      <c r="N280" s="17"/>
      <c r="O280" s="17"/>
      <c r="P280" s="17"/>
      <c r="Q280" s="17"/>
      <c r="R280" s="17"/>
      <c r="S280" s="17"/>
      <c r="T280" s="17"/>
      <c r="U280" s="17"/>
      <c r="V280" s="17"/>
      <c r="W280" s="17"/>
      <c r="X280" s="6"/>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row>
    <row r="281" spans="1:108" s="11" customFormat="1" ht="12.75" hidden="1" customHeight="1" outlineLevel="5">
      <c r="A281" s="107" t="s">
        <v>107</v>
      </c>
      <c r="B281" s="105">
        <v>63</v>
      </c>
      <c r="C281" s="20"/>
      <c r="D281" s="18" t="str">
        <f>"&lt;" &amp; A281 &amp; "&gt;" &amp; TEXT(B281,0) &amp; "&lt;/" &amp; A281 &amp; "&gt;"</f>
        <v>&lt;Six_Series&gt;63&lt;/Six_Series&gt;</v>
      </c>
      <c r="E281" s="174" t="str">
        <f t="shared" si="6"/>
        <v>Yes</v>
      </c>
      <c r="F281" s="6" t="s">
        <v>687</v>
      </c>
      <c r="G281" s="6"/>
      <c r="H281" s="17"/>
      <c r="I281" s="17"/>
      <c r="J281" s="17"/>
      <c r="K281" s="17"/>
      <c r="L281" s="17"/>
      <c r="M281" s="6"/>
      <c r="N281" s="17"/>
      <c r="O281" s="17"/>
      <c r="P281" s="17"/>
      <c r="Q281" s="17"/>
      <c r="R281" s="17"/>
      <c r="S281" s="17"/>
      <c r="T281" s="17"/>
      <c r="U281" s="17"/>
      <c r="V281" s="17"/>
      <c r="W281" s="17"/>
      <c r="X281" s="6"/>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row>
    <row r="282" spans="1:108" s="11" customFormat="1" ht="12.75" hidden="1" customHeight="1" outlineLevel="5">
      <c r="A282" s="107" t="s">
        <v>108</v>
      </c>
      <c r="B282" s="30">
        <v>0</v>
      </c>
      <c r="C282" s="20"/>
      <c r="D282" s="18" t="str">
        <f>"&lt;" &amp; A282 &amp; "&gt;" &amp; TEXT(B282,"0.000000") &amp; "&lt;/" &amp; A282 &amp; "&gt;"</f>
        <v>&lt;Ideal_Cl&gt;0.000000&lt;/Ideal_Cl&gt;</v>
      </c>
      <c r="E282" s="174" t="str">
        <f t="shared" si="6"/>
        <v>Yes</v>
      </c>
      <c r="F282" s="6" t="s">
        <v>688</v>
      </c>
      <c r="G282" s="6"/>
      <c r="H282" s="17"/>
      <c r="I282" s="17"/>
      <c r="J282" s="17"/>
      <c r="K282" s="17"/>
      <c r="L282" s="17"/>
      <c r="M282" s="6"/>
      <c r="N282" s="17"/>
      <c r="O282" s="17"/>
      <c r="P282" s="17"/>
      <c r="Q282" s="17"/>
      <c r="R282" s="17"/>
      <c r="S282" s="17"/>
      <c r="T282" s="17"/>
      <c r="U282" s="17"/>
      <c r="V282" s="17"/>
      <c r="W282" s="17"/>
      <c r="X282" s="6"/>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row>
    <row r="283" spans="1:108" s="11" customFormat="1" ht="12.75" hidden="1" customHeight="1" outlineLevel="5">
      <c r="A283" s="107" t="s">
        <v>109</v>
      </c>
      <c r="B283" s="30">
        <v>0</v>
      </c>
      <c r="C283" s="20"/>
      <c r="D283" s="18" t="str">
        <f>"&lt;" &amp; A283 &amp; "&gt;" &amp; TEXT(B283,"0.000000") &amp; "&lt;/" &amp; A283 &amp; "&gt;"</f>
        <v>&lt;A&gt;0.000000&lt;/A&gt;</v>
      </c>
      <c r="E283" s="174" t="str">
        <f t="shared" si="6"/>
        <v>Yes</v>
      </c>
      <c r="F283" s="6" t="s">
        <v>689</v>
      </c>
      <c r="G283" s="6"/>
      <c r="H283" s="17"/>
      <c r="I283" s="17"/>
      <c r="J283" s="17"/>
      <c r="K283" s="17"/>
      <c r="L283" s="17"/>
      <c r="M283" s="6"/>
      <c r="N283" s="17"/>
      <c r="O283" s="17"/>
      <c r="P283" s="17"/>
      <c r="Q283" s="17"/>
      <c r="R283" s="17"/>
      <c r="S283" s="17"/>
      <c r="T283" s="17"/>
      <c r="U283" s="17"/>
      <c r="V283" s="17"/>
      <c r="W283" s="17"/>
      <c r="X283" s="6"/>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row>
    <row r="284" spans="1:108" s="11" customFormat="1" ht="12.75" hidden="1" customHeight="1" outlineLevel="5">
      <c r="A284" s="107" t="s">
        <v>110</v>
      </c>
      <c r="B284" s="100" t="s">
        <v>12</v>
      </c>
      <c r="C284" s="20"/>
      <c r="D284" s="134" t="str">
        <f>"&lt;" &amp; A284 &amp; "&gt;" &amp;IF(B284="Yes",1,0) &amp;"&lt;/" &amp;A284&amp;"&gt;"</f>
        <v>&lt;Slat_Flag&gt;0&lt;/Slat_Flag&gt;</v>
      </c>
      <c r="E284" s="174" t="str">
        <f t="shared" si="6"/>
        <v>Yes</v>
      </c>
      <c r="F284" s="6" t="s">
        <v>690</v>
      </c>
      <c r="G284" s="6"/>
      <c r="H284" s="17"/>
      <c r="I284" s="17"/>
      <c r="J284" s="17"/>
      <c r="K284" s="17"/>
      <c r="L284" s="17"/>
      <c r="M284" s="6"/>
      <c r="N284" s="17"/>
      <c r="O284" s="17"/>
      <c r="P284" s="17"/>
      <c r="Q284" s="17"/>
      <c r="R284" s="17"/>
      <c r="S284" s="17"/>
      <c r="T284" s="17"/>
      <c r="U284" s="17"/>
      <c r="V284" s="17"/>
      <c r="W284" s="17"/>
      <c r="X284" s="6"/>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row>
    <row r="285" spans="1:108" s="11" customFormat="1" ht="12.75" hidden="1" customHeight="1" outlineLevel="5">
      <c r="A285" s="107" t="s">
        <v>111</v>
      </c>
      <c r="B285" s="100" t="s">
        <v>12</v>
      </c>
      <c r="C285" s="20"/>
      <c r="D285" s="134" t="str">
        <f>"&lt;" &amp; A285 &amp; "&gt;" &amp;IF(B285="Yes",1,0) &amp;"&lt;/" &amp;A285&amp;"&gt;"</f>
        <v>&lt;Slat_Shear_Flag&gt;0&lt;/Slat_Shear_Flag&gt;</v>
      </c>
      <c r="E285" s="174" t="str">
        <f t="shared" si="6"/>
        <v>Yes</v>
      </c>
      <c r="F285" s="6" t="s">
        <v>691</v>
      </c>
      <c r="G285" s="6"/>
      <c r="H285" s="17"/>
      <c r="I285" s="17"/>
      <c r="J285" s="17"/>
      <c r="K285" s="17"/>
      <c r="L285" s="17"/>
      <c r="M285" s="6"/>
      <c r="N285" s="17"/>
      <c r="O285" s="17"/>
      <c r="P285" s="17"/>
      <c r="Q285" s="17"/>
      <c r="R285" s="17"/>
      <c r="S285" s="17"/>
      <c r="T285" s="17"/>
      <c r="U285" s="17"/>
      <c r="V285" s="17"/>
      <c r="W285" s="17"/>
      <c r="X285" s="6"/>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row>
    <row r="286" spans="1:108" s="11" customFormat="1" ht="12.75" hidden="1" customHeight="1" outlineLevel="5">
      <c r="A286" s="107" t="s">
        <v>112</v>
      </c>
      <c r="B286" s="30">
        <v>0.25</v>
      </c>
      <c r="C286" s="20"/>
      <c r="D286" s="18" t="str">
        <f>"&lt;" &amp; A286 &amp; "&gt;" &amp; TEXT(B286,"0.000000") &amp; "&lt;/" &amp; A286 &amp; "&gt;"</f>
        <v>&lt;Slat_Chord&gt;0.250000&lt;/Slat_Chord&gt;</v>
      </c>
      <c r="E286" s="174" t="str">
        <f t="shared" si="6"/>
        <v>Yes</v>
      </c>
      <c r="F286" s="6" t="s">
        <v>692</v>
      </c>
      <c r="G286" s="6"/>
      <c r="H286" s="17"/>
      <c r="I286" s="17"/>
      <c r="J286" s="17"/>
      <c r="K286" s="17"/>
      <c r="L286" s="17"/>
      <c r="M286" s="6"/>
      <c r="N286" s="17"/>
      <c r="O286" s="17"/>
      <c r="P286" s="17"/>
      <c r="Q286" s="17"/>
      <c r="R286" s="17"/>
      <c r="S286" s="17"/>
      <c r="T286" s="17"/>
      <c r="U286" s="17"/>
      <c r="V286" s="17"/>
      <c r="W286" s="17"/>
      <c r="X286" s="6"/>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row>
    <row r="287" spans="1:108" s="11" customFormat="1" ht="12.75" hidden="1" customHeight="1" outlineLevel="5">
      <c r="A287" s="107" t="s">
        <v>113</v>
      </c>
      <c r="B287" s="30">
        <v>10</v>
      </c>
      <c r="C287" s="20"/>
      <c r="D287" s="18" t="str">
        <f>"&lt;" &amp; A287 &amp; "&gt;" &amp; TEXT(B287,"0.000000") &amp; "&lt;/" &amp; A287 &amp; "&gt;"</f>
        <v>&lt;Slat_Angle&gt;10.000000&lt;/Slat_Angle&gt;</v>
      </c>
      <c r="E287" s="174" t="str">
        <f t="shared" si="6"/>
        <v>Yes</v>
      </c>
      <c r="F287" s="6" t="s">
        <v>693</v>
      </c>
      <c r="G287" s="6"/>
      <c r="H287" s="17"/>
      <c r="I287" s="17"/>
      <c r="J287" s="17"/>
      <c r="K287" s="17"/>
      <c r="L287" s="17"/>
      <c r="M287" s="6"/>
      <c r="N287" s="17"/>
      <c r="O287" s="17"/>
      <c r="P287" s="17"/>
      <c r="Q287" s="17"/>
      <c r="R287" s="17"/>
      <c r="S287" s="17"/>
      <c r="T287" s="17"/>
      <c r="U287" s="17"/>
      <c r="V287" s="17"/>
      <c r="W287" s="17"/>
      <c r="X287" s="6"/>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row>
    <row r="288" spans="1:108" s="11" customFormat="1" ht="12.75" hidden="1" customHeight="1" outlineLevel="5">
      <c r="A288" s="107" t="s">
        <v>114</v>
      </c>
      <c r="B288" s="100" t="s">
        <v>11</v>
      </c>
      <c r="C288" s="20"/>
      <c r="D288" s="134" t="str">
        <f>"&lt;" &amp; A288 &amp; "&gt;" &amp;IF(B288="Yes",1,0) &amp;"&lt;/" &amp;A288&amp;"&gt;"</f>
        <v>&lt;Flap_Flag&gt;1&lt;/Flap_Flag&gt;</v>
      </c>
      <c r="E288" s="174" t="str">
        <f t="shared" si="6"/>
        <v>Yes</v>
      </c>
      <c r="F288" s="6" t="s">
        <v>694</v>
      </c>
      <c r="G288" s="6"/>
      <c r="H288" s="17"/>
      <c r="I288" s="17"/>
      <c r="J288" s="17"/>
      <c r="K288" s="17"/>
      <c r="L288" s="17"/>
      <c r="M288" s="6"/>
      <c r="N288" s="17"/>
      <c r="O288" s="17"/>
      <c r="P288" s="17"/>
      <c r="Q288" s="17"/>
      <c r="R288" s="17"/>
      <c r="S288" s="17"/>
      <c r="T288" s="17"/>
      <c r="U288" s="17"/>
      <c r="V288" s="17"/>
      <c r="W288" s="17"/>
      <c r="X288" s="6"/>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row>
    <row r="289" spans="1:108" s="11" customFormat="1" ht="12.75" hidden="1" customHeight="1" outlineLevel="5">
      <c r="A289" s="107" t="s">
        <v>115</v>
      </c>
      <c r="B289" s="100" t="s">
        <v>12</v>
      </c>
      <c r="C289" s="20"/>
      <c r="D289" s="134" t="str">
        <f>"&lt;" &amp; A289 &amp; "&gt;" &amp;IF(B289="Yes",1,0) &amp;"&lt;/" &amp;A289&amp;"&gt;"</f>
        <v>&lt;Flap_Shear_Flag&gt;0&lt;/Flap_Shear_Flag&gt;</v>
      </c>
      <c r="E289" s="174" t="str">
        <f t="shared" si="6"/>
        <v>Yes</v>
      </c>
      <c r="F289" s="6" t="s">
        <v>695</v>
      </c>
      <c r="G289" s="6"/>
      <c r="H289" s="17"/>
      <c r="I289" s="17"/>
      <c r="J289" s="17"/>
      <c r="K289" s="17"/>
      <c r="L289" s="17"/>
      <c r="M289" s="6"/>
      <c r="N289" s="17"/>
      <c r="O289" s="17"/>
      <c r="P289" s="17"/>
      <c r="Q289" s="17"/>
      <c r="R289" s="17"/>
      <c r="S289" s="17"/>
      <c r="T289" s="17"/>
      <c r="U289" s="17"/>
      <c r="V289" s="17"/>
      <c r="W289" s="17"/>
      <c r="X289" s="6"/>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row>
    <row r="290" spans="1:108" s="11" customFormat="1" ht="12.75" hidden="1" customHeight="1" outlineLevel="5">
      <c r="A290" s="107" t="s">
        <v>116</v>
      </c>
      <c r="B290" s="30">
        <v>0.42</v>
      </c>
      <c r="C290" s="20"/>
      <c r="D290" s="18" t="str">
        <f>"&lt;" &amp; A290 &amp; "&gt;" &amp; TEXT(B290,"0.000000") &amp; "&lt;/" &amp; A290 &amp; "&gt;"</f>
        <v>&lt;Flap_Chord&gt;0.420000&lt;/Flap_Chord&gt;</v>
      </c>
      <c r="E290" s="174" t="str">
        <f t="shared" si="6"/>
        <v>Yes</v>
      </c>
      <c r="F290" s="6" t="s">
        <v>696</v>
      </c>
      <c r="G290" s="6"/>
      <c r="H290" s="17"/>
      <c r="I290" s="17"/>
      <c r="J290" s="17"/>
      <c r="K290" s="17"/>
      <c r="L290" s="17"/>
      <c r="M290" s="6"/>
      <c r="N290" s="17"/>
      <c r="O290" s="17"/>
      <c r="P290" s="17"/>
      <c r="Q290" s="17"/>
      <c r="R290" s="17"/>
      <c r="S290" s="17"/>
      <c r="T290" s="17"/>
      <c r="U290" s="17"/>
      <c r="V290" s="17"/>
      <c r="W290" s="17"/>
      <c r="X290" s="6"/>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row>
    <row r="291" spans="1:108" s="11" customFormat="1" ht="12.75" hidden="1" customHeight="1" outlineLevel="5">
      <c r="A291" s="107" t="s">
        <v>117</v>
      </c>
      <c r="B291" s="30">
        <v>10</v>
      </c>
      <c r="C291" s="20"/>
      <c r="D291" s="18" t="str">
        <f>"&lt;" &amp; A291 &amp; "&gt;" &amp; TEXT(B291,"0.000000") &amp; "&lt;/" &amp; A291 &amp; "&gt;"</f>
        <v>&lt;Flap_Angle&gt;10.000000&lt;/Flap_Angle&gt;</v>
      </c>
      <c r="E291" s="174" t="str">
        <f t="shared" si="6"/>
        <v>Yes</v>
      </c>
      <c r="F291" s="6" t="s">
        <v>697</v>
      </c>
      <c r="G291" s="6"/>
      <c r="H291" s="17"/>
      <c r="I291" s="17"/>
      <c r="J291" s="17"/>
      <c r="K291" s="17"/>
      <c r="L291" s="17"/>
      <c r="M291" s="6"/>
      <c r="N291" s="17"/>
      <c r="O291" s="17"/>
      <c r="P291" s="17"/>
      <c r="Q291" s="17"/>
      <c r="R291" s="17"/>
      <c r="S291" s="17"/>
      <c r="T291" s="17"/>
      <c r="U291" s="17"/>
      <c r="V291" s="17"/>
      <c r="W291" s="17"/>
      <c r="X291" s="6"/>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row>
    <row r="292" spans="1:108" s="11" customFormat="1" ht="12.75" hidden="1" customHeight="1" outlineLevel="5">
      <c r="A292" s="107" t="s">
        <v>118</v>
      </c>
      <c r="B292" s="6"/>
      <c r="C292" s="20"/>
      <c r="D292" s="134" t="str">
        <f>"&lt;" &amp; A292 &amp; "&gt;"</f>
        <v>&lt;/Airfoil&gt;</v>
      </c>
      <c r="E292" s="174" t="str">
        <f t="shared" si="6"/>
        <v>Yes</v>
      </c>
      <c r="F292" s="6" t="s">
        <v>698</v>
      </c>
      <c r="G292" s="6"/>
      <c r="H292" s="17"/>
      <c r="I292" s="17"/>
      <c r="J292" s="17"/>
      <c r="K292" s="17"/>
      <c r="L292" s="17"/>
      <c r="M292" s="6"/>
      <c r="N292" s="17"/>
      <c r="O292" s="17"/>
      <c r="P292" s="17"/>
      <c r="Q292" s="17"/>
      <c r="R292" s="17"/>
      <c r="S292" s="17"/>
      <c r="T292" s="17"/>
      <c r="U292" s="17"/>
      <c r="V292" s="17"/>
      <c r="W292" s="17"/>
      <c r="X292" s="6"/>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row>
    <row r="293" spans="1:108" s="11" customFormat="1" ht="12.75" hidden="1" customHeight="1" outlineLevel="4" collapsed="1">
      <c r="A293" s="107" t="s">
        <v>2</v>
      </c>
      <c r="B293" s="99" t="s">
        <v>386</v>
      </c>
      <c r="C293" s="20"/>
      <c r="D293" s="134" t="str">
        <f>"&lt;" &amp; A293 &amp; "&gt;"</f>
        <v>&lt;Airfoil&gt;</v>
      </c>
      <c r="E293" s="174" t="str">
        <f t="shared" si="6"/>
        <v>Yes</v>
      </c>
      <c r="F293" s="6" t="s">
        <v>678</v>
      </c>
      <c r="G293" s="6"/>
      <c r="H293" s="17"/>
      <c r="I293" s="17"/>
      <c r="J293" s="17"/>
      <c r="K293" s="17"/>
      <c r="L293" s="17"/>
      <c r="M293" s="6"/>
      <c r="N293" s="17"/>
      <c r="O293" s="17"/>
      <c r="P293" s="17"/>
      <c r="Q293" s="17"/>
      <c r="R293" s="17"/>
      <c r="S293" s="17"/>
      <c r="T293" s="17"/>
      <c r="U293" s="17"/>
      <c r="V293" s="17"/>
      <c r="W293" s="17"/>
      <c r="X293" s="6"/>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row>
    <row r="294" spans="1:108" s="11" customFormat="1" ht="12.75" hidden="1" customHeight="1" outlineLevel="5">
      <c r="A294" s="107" t="s">
        <v>14</v>
      </c>
      <c r="B294" s="107" t="s">
        <v>3</v>
      </c>
      <c r="C294" s="20"/>
      <c r="D294" s="134" t="str">
        <f>"&lt;Type&gt;" &amp; IF(B294="NACA 4-Series",1,IF(B294="Biconvex",2,IF(B294="Wedge",3,IF(B294="Read File",4,IF(B294="NACA 6-Series",5,)))))&amp;"&lt;/Type&gt;"</f>
        <v>&lt;Type&gt;1&lt;/Type&gt;</v>
      </c>
      <c r="E294" s="174" t="str">
        <f t="shared" si="6"/>
        <v>Yes</v>
      </c>
      <c r="F294" s="6" t="s">
        <v>679</v>
      </c>
      <c r="G294" s="6"/>
      <c r="H294" s="17"/>
      <c r="I294" s="17"/>
      <c r="J294" s="17"/>
      <c r="K294" s="17"/>
      <c r="L294" s="17"/>
      <c r="M294" s="6"/>
      <c r="N294" s="17"/>
      <c r="O294" s="17"/>
      <c r="P294" s="17"/>
      <c r="Q294" s="17"/>
      <c r="R294" s="17"/>
      <c r="S294" s="17"/>
      <c r="T294" s="17"/>
      <c r="U294" s="17"/>
      <c r="V294" s="17"/>
      <c r="W294" s="17"/>
      <c r="X294" s="6"/>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row>
    <row r="295" spans="1:108" s="11" customFormat="1" ht="12.75" hidden="1" customHeight="1" outlineLevel="5">
      <c r="A295" s="107" t="s">
        <v>102</v>
      </c>
      <c r="B295" s="100" t="s">
        <v>12</v>
      </c>
      <c r="C295" s="20"/>
      <c r="D295" s="134" t="str">
        <f>"&lt;" &amp; A295 &amp; "&gt;" &amp;IF(B295="Yes",1,0) &amp;"&lt;/" &amp;A295&amp;"&gt;"</f>
        <v>&lt;Inverted_Flag&gt;0&lt;/Inverted_Flag&gt;</v>
      </c>
      <c r="E295" s="174" t="str">
        <f t="shared" si="6"/>
        <v>Yes</v>
      </c>
      <c r="F295" s="6" t="s">
        <v>680</v>
      </c>
      <c r="G295" s="6"/>
      <c r="H295" s="17"/>
      <c r="I295" s="17"/>
      <c r="J295" s="17"/>
      <c r="K295" s="17"/>
      <c r="L295" s="17"/>
      <c r="M295" s="6"/>
      <c r="N295" s="17"/>
      <c r="O295" s="17"/>
      <c r="P295" s="17"/>
      <c r="Q295" s="17"/>
      <c r="R295" s="17"/>
      <c r="S295" s="17"/>
      <c r="T295" s="17"/>
      <c r="U295" s="17"/>
      <c r="V295" s="17"/>
      <c r="W295" s="17"/>
      <c r="X295" s="6"/>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row>
    <row r="296" spans="1:108" s="11" customFormat="1" ht="12.75" hidden="1" customHeight="1" outlineLevel="5">
      <c r="A296" s="107" t="s">
        <v>4</v>
      </c>
      <c r="B296" s="30">
        <v>0</v>
      </c>
      <c r="C296" s="20"/>
      <c r="D296" s="18" t="str">
        <f t="shared" ref="D296:D301" si="8">"&lt;" &amp; A296 &amp; "&gt;" &amp; TEXT(B296,"0.000000") &amp; "&lt;/" &amp; A296 &amp; "&gt;"</f>
        <v>&lt;Camber&gt;0.000000&lt;/Camber&gt;</v>
      </c>
      <c r="E296" s="174" t="str">
        <f t="shared" si="6"/>
        <v>Yes</v>
      </c>
      <c r="F296" s="6" t="s">
        <v>681</v>
      </c>
      <c r="G296" s="6"/>
      <c r="H296" s="17"/>
      <c r="I296" s="17"/>
      <c r="J296" s="17"/>
      <c r="K296" s="17"/>
      <c r="L296" s="17"/>
      <c r="M296" s="6"/>
      <c r="N296" s="17"/>
      <c r="O296" s="17"/>
      <c r="P296" s="17"/>
      <c r="Q296" s="17"/>
      <c r="R296" s="17"/>
      <c r="S296" s="17"/>
      <c r="T296" s="17"/>
      <c r="U296" s="17"/>
      <c r="V296" s="17"/>
      <c r="W296" s="17"/>
      <c r="X296" s="6"/>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row>
    <row r="297" spans="1:108" s="11" customFormat="1" ht="12.75" hidden="1" customHeight="1" outlineLevel="5">
      <c r="A297" s="107" t="s">
        <v>103</v>
      </c>
      <c r="B297" s="30">
        <v>0.1</v>
      </c>
      <c r="C297" s="20"/>
      <c r="D297" s="18" t="str">
        <f t="shared" si="8"/>
        <v>&lt;Camber_Loc&gt;0.100000&lt;/Camber_Loc&gt;</v>
      </c>
      <c r="E297" s="174" t="str">
        <f t="shared" si="6"/>
        <v>Yes</v>
      </c>
      <c r="F297" s="6" t="s">
        <v>682</v>
      </c>
      <c r="G297" s="6"/>
      <c r="H297" s="17"/>
      <c r="I297" s="17"/>
      <c r="J297" s="17"/>
      <c r="K297" s="17"/>
      <c r="L297" s="17"/>
      <c r="M297" s="6"/>
      <c r="N297" s="17"/>
      <c r="O297" s="17"/>
      <c r="P297" s="17"/>
      <c r="Q297" s="17"/>
      <c r="R297" s="17"/>
      <c r="S297" s="17"/>
      <c r="T297" s="17"/>
      <c r="U297" s="17"/>
      <c r="V297" s="17"/>
      <c r="W297" s="17"/>
      <c r="X297" s="6"/>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row>
    <row r="298" spans="1:108" s="11" customFormat="1" ht="12.75" hidden="1" customHeight="1" outlineLevel="5">
      <c r="A298" s="107" t="s">
        <v>5</v>
      </c>
      <c r="B298" s="30">
        <v>0.1</v>
      </c>
      <c r="C298" s="20"/>
      <c r="D298" s="18" t="str">
        <f t="shared" si="8"/>
        <v>&lt;Thickness&gt;0.100000&lt;/Thickness&gt;</v>
      </c>
      <c r="E298" s="174" t="str">
        <f t="shared" si="6"/>
        <v>Yes</v>
      </c>
      <c r="F298" s="6" t="s">
        <v>683</v>
      </c>
      <c r="G298" s="6"/>
      <c r="H298" s="17"/>
      <c r="I298" s="17"/>
      <c r="J298" s="17"/>
      <c r="K298" s="17"/>
      <c r="L298" s="17"/>
      <c r="M298" s="6"/>
      <c r="N298" s="17"/>
      <c r="O298" s="17"/>
      <c r="P298" s="17"/>
      <c r="Q298" s="17"/>
      <c r="R298" s="17"/>
      <c r="S298" s="17"/>
      <c r="T298" s="17"/>
      <c r="U298" s="17"/>
      <c r="V298" s="17"/>
      <c r="W298" s="17"/>
      <c r="X298" s="6"/>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row>
    <row r="299" spans="1:108" s="11" customFormat="1" ht="12.75" hidden="1" customHeight="1" outlineLevel="5">
      <c r="A299" s="107" t="s">
        <v>104</v>
      </c>
      <c r="B299" s="30">
        <v>0.3</v>
      </c>
      <c r="C299" s="20"/>
      <c r="D299" s="18" t="str">
        <f t="shared" si="8"/>
        <v>&lt;Thickness_Loc&gt;0.300000&lt;/Thickness_Loc&gt;</v>
      </c>
      <c r="E299" s="174" t="str">
        <f t="shared" si="6"/>
        <v>Yes</v>
      </c>
      <c r="F299" s="6" t="s">
        <v>684</v>
      </c>
      <c r="G299" s="6"/>
      <c r="H299" s="17"/>
      <c r="I299" s="17"/>
      <c r="J299" s="17"/>
      <c r="K299" s="17"/>
      <c r="L299" s="17"/>
      <c r="M299" s="6"/>
      <c r="N299" s="17"/>
      <c r="O299" s="17"/>
      <c r="P299" s="17"/>
      <c r="Q299" s="17"/>
      <c r="R299" s="17"/>
      <c r="S299" s="17"/>
      <c r="T299" s="17"/>
      <c r="U299" s="17"/>
      <c r="V299" s="17"/>
      <c r="W299" s="17"/>
      <c r="X299" s="6"/>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row>
    <row r="300" spans="1:108" s="11" customFormat="1" ht="12.75" hidden="1" customHeight="1" outlineLevel="5">
      <c r="A300" s="107" t="s">
        <v>105</v>
      </c>
      <c r="B300" s="30">
        <v>1.1018999999999999E-2</v>
      </c>
      <c r="C300" s="20"/>
      <c r="D300" s="18" t="str">
        <f t="shared" si="8"/>
        <v>&lt;Radius_Le&gt;0.011019&lt;/Radius_Le&gt;</v>
      </c>
      <c r="E300" s="174" t="str">
        <f t="shared" si="6"/>
        <v>Yes</v>
      </c>
      <c r="F300" s="6" t="s">
        <v>685</v>
      </c>
      <c r="G300" s="6"/>
      <c r="H300" s="17"/>
      <c r="I300" s="17"/>
      <c r="J300" s="17"/>
      <c r="K300" s="17"/>
      <c r="L300" s="17"/>
      <c r="M300" s="6"/>
      <c r="N300" s="17"/>
      <c r="O300" s="17"/>
      <c r="P300" s="17"/>
      <c r="Q300" s="17"/>
      <c r="R300" s="17"/>
      <c r="S300" s="17"/>
      <c r="T300" s="17"/>
      <c r="U300" s="17"/>
      <c r="V300" s="17"/>
      <c r="W300" s="17"/>
      <c r="X300" s="6"/>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row>
    <row r="301" spans="1:108" s="11" customFormat="1" ht="12.75" hidden="1" customHeight="1" outlineLevel="5">
      <c r="A301" s="107" t="s">
        <v>106</v>
      </c>
      <c r="B301" s="30">
        <v>0</v>
      </c>
      <c r="C301" s="20"/>
      <c r="D301" s="18" t="str">
        <f t="shared" si="8"/>
        <v>&lt;Radius_Te&gt;0.000000&lt;/Radius_Te&gt;</v>
      </c>
      <c r="E301" s="174" t="str">
        <f t="shared" si="6"/>
        <v>Yes</v>
      </c>
      <c r="F301" s="6" t="s">
        <v>686</v>
      </c>
      <c r="G301" s="6"/>
      <c r="H301" s="17"/>
      <c r="I301" s="17"/>
      <c r="J301" s="17"/>
      <c r="K301" s="17"/>
      <c r="L301" s="17"/>
      <c r="M301" s="6"/>
      <c r="N301" s="17"/>
      <c r="O301" s="17"/>
      <c r="P301" s="17"/>
      <c r="Q301" s="17"/>
      <c r="R301" s="17"/>
      <c r="S301" s="17"/>
      <c r="T301" s="17"/>
      <c r="U301" s="17"/>
      <c r="V301" s="17"/>
      <c r="W301" s="17"/>
      <c r="X301" s="6"/>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row>
    <row r="302" spans="1:108" s="11" customFormat="1" ht="12.75" hidden="1" customHeight="1" outlineLevel="5">
      <c r="A302" s="107" t="s">
        <v>107</v>
      </c>
      <c r="B302" s="105">
        <v>63</v>
      </c>
      <c r="C302" s="20"/>
      <c r="D302" s="18" t="str">
        <f>"&lt;" &amp; A302 &amp; "&gt;" &amp; TEXT(B302,0) &amp; "&lt;/" &amp; A302 &amp; "&gt;"</f>
        <v>&lt;Six_Series&gt;63&lt;/Six_Series&gt;</v>
      </c>
      <c r="E302" s="174" t="str">
        <f t="shared" si="6"/>
        <v>Yes</v>
      </c>
      <c r="F302" s="6" t="s">
        <v>687</v>
      </c>
      <c r="G302" s="6"/>
      <c r="H302" s="17"/>
      <c r="I302" s="17"/>
      <c r="J302" s="17"/>
      <c r="K302" s="17"/>
      <c r="L302" s="17"/>
      <c r="M302" s="6"/>
      <c r="N302" s="17"/>
      <c r="O302" s="17"/>
      <c r="P302" s="17"/>
      <c r="Q302" s="17"/>
      <c r="R302" s="17"/>
      <c r="S302" s="17"/>
      <c r="T302" s="17"/>
      <c r="U302" s="17"/>
      <c r="V302" s="17"/>
      <c r="W302" s="17"/>
      <c r="X302" s="6"/>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row>
    <row r="303" spans="1:108" s="11" customFormat="1" ht="12.75" hidden="1" customHeight="1" outlineLevel="5">
      <c r="A303" s="107" t="s">
        <v>108</v>
      </c>
      <c r="B303" s="30">
        <v>0</v>
      </c>
      <c r="C303" s="20"/>
      <c r="D303" s="18" t="str">
        <f>"&lt;" &amp; A303 &amp; "&gt;" &amp; TEXT(B303,"0.000000") &amp; "&lt;/" &amp; A303 &amp; "&gt;"</f>
        <v>&lt;Ideal_Cl&gt;0.000000&lt;/Ideal_Cl&gt;</v>
      </c>
      <c r="E303" s="174" t="str">
        <f t="shared" si="6"/>
        <v>Yes</v>
      </c>
      <c r="F303" s="6" t="s">
        <v>688</v>
      </c>
      <c r="G303" s="6"/>
      <c r="H303" s="17"/>
      <c r="I303" s="17"/>
      <c r="J303" s="17"/>
      <c r="K303" s="17"/>
      <c r="L303" s="17"/>
      <c r="M303" s="6"/>
      <c r="N303" s="17"/>
      <c r="O303" s="17"/>
      <c r="P303" s="17"/>
      <c r="Q303" s="17"/>
      <c r="R303" s="17"/>
      <c r="S303" s="17"/>
      <c r="T303" s="17"/>
      <c r="U303" s="17"/>
      <c r="V303" s="17"/>
      <c r="W303" s="17"/>
      <c r="X303" s="6"/>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row>
    <row r="304" spans="1:108" s="11" customFormat="1" ht="12.75" hidden="1" customHeight="1" outlineLevel="5">
      <c r="A304" s="107" t="s">
        <v>109</v>
      </c>
      <c r="B304" s="30">
        <v>0</v>
      </c>
      <c r="C304" s="20"/>
      <c r="D304" s="18" t="str">
        <f>"&lt;" &amp; A304 &amp; "&gt;" &amp; TEXT(B304,"0.000000") &amp; "&lt;/" &amp; A304 &amp; "&gt;"</f>
        <v>&lt;A&gt;0.000000&lt;/A&gt;</v>
      </c>
      <c r="E304" s="174" t="str">
        <f t="shared" si="6"/>
        <v>Yes</v>
      </c>
      <c r="F304" s="6" t="s">
        <v>689</v>
      </c>
      <c r="G304" s="6"/>
      <c r="H304" s="17"/>
      <c r="I304" s="17"/>
      <c r="J304" s="17"/>
      <c r="K304" s="17"/>
      <c r="L304" s="17"/>
      <c r="M304" s="6"/>
      <c r="N304" s="17"/>
      <c r="O304" s="17"/>
      <c r="P304" s="17"/>
      <c r="Q304" s="17"/>
      <c r="R304" s="17"/>
      <c r="S304" s="17"/>
      <c r="T304" s="17"/>
      <c r="U304" s="17"/>
      <c r="V304" s="17"/>
      <c r="W304" s="17"/>
      <c r="X304" s="6"/>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row>
    <row r="305" spans="1:108" s="11" customFormat="1" ht="12.75" hidden="1" customHeight="1" outlineLevel="5">
      <c r="A305" s="107" t="s">
        <v>110</v>
      </c>
      <c r="B305" s="100" t="s">
        <v>12</v>
      </c>
      <c r="C305" s="20"/>
      <c r="D305" s="134" t="str">
        <f>"&lt;" &amp; A305 &amp; "&gt;" &amp;IF(B305="Yes",1,0) &amp;"&lt;/" &amp;A305&amp;"&gt;"</f>
        <v>&lt;Slat_Flag&gt;0&lt;/Slat_Flag&gt;</v>
      </c>
      <c r="E305" s="174" t="str">
        <f t="shared" si="6"/>
        <v>Yes</v>
      </c>
      <c r="F305" s="6" t="s">
        <v>690</v>
      </c>
      <c r="G305" s="6"/>
      <c r="H305" s="17"/>
      <c r="I305" s="17"/>
      <c r="J305" s="17"/>
      <c r="K305" s="17"/>
      <c r="L305" s="17"/>
      <c r="M305" s="6"/>
      <c r="N305" s="17"/>
      <c r="O305" s="17"/>
      <c r="P305" s="17"/>
      <c r="Q305" s="17"/>
      <c r="R305" s="17"/>
      <c r="S305" s="17"/>
      <c r="T305" s="17"/>
      <c r="U305" s="17"/>
      <c r="V305" s="17"/>
      <c r="W305" s="17"/>
      <c r="X305" s="6"/>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row>
    <row r="306" spans="1:108" s="11" customFormat="1" ht="12.75" hidden="1" customHeight="1" outlineLevel="5">
      <c r="A306" s="107" t="s">
        <v>111</v>
      </c>
      <c r="B306" s="100" t="s">
        <v>12</v>
      </c>
      <c r="C306" s="20"/>
      <c r="D306" s="134" t="str">
        <f>"&lt;" &amp; A306 &amp; "&gt;" &amp;IF(B306="Yes",1,0) &amp;"&lt;/" &amp;A306&amp;"&gt;"</f>
        <v>&lt;Slat_Shear_Flag&gt;0&lt;/Slat_Shear_Flag&gt;</v>
      </c>
      <c r="E306" s="174" t="str">
        <f t="shared" si="6"/>
        <v>Yes</v>
      </c>
      <c r="F306" s="6" t="s">
        <v>691</v>
      </c>
      <c r="G306" s="6"/>
      <c r="H306" s="17"/>
      <c r="I306" s="17"/>
      <c r="J306" s="17"/>
      <c r="K306" s="17"/>
      <c r="L306" s="17"/>
      <c r="M306" s="6"/>
      <c r="N306" s="17"/>
      <c r="O306" s="17"/>
      <c r="P306" s="17"/>
      <c r="Q306" s="17"/>
      <c r="R306" s="17"/>
      <c r="S306" s="17"/>
      <c r="T306" s="17"/>
      <c r="U306" s="17"/>
      <c r="V306" s="17"/>
      <c r="W306" s="17"/>
      <c r="X306" s="6"/>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row>
    <row r="307" spans="1:108" s="11" customFormat="1" ht="12.75" hidden="1" customHeight="1" outlineLevel="5">
      <c r="A307" s="107" t="s">
        <v>112</v>
      </c>
      <c r="B307" s="30">
        <v>0.25</v>
      </c>
      <c r="C307" s="20"/>
      <c r="D307" s="18" t="str">
        <f>"&lt;" &amp; A307 &amp; "&gt;" &amp; TEXT(B307,"0.000000") &amp; "&lt;/" &amp; A307 &amp; "&gt;"</f>
        <v>&lt;Slat_Chord&gt;0.250000&lt;/Slat_Chord&gt;</v>
      </c>
      <c r="E307" s="174" t="str">
        <f t="shared" si="6"/>
        <v>Yes</v>
      </c>
      <c r="F307" s="6" t="s">
        <v>692</v>
      </c>
      <c r="G307" s="6"/>
      <c r="H307" s="17"/>
      <c r="I307" s="17"/>
      <c r="J307" s="17"/>
      <c r="K307" s="17"/>
      <c r="L307" s="17"/>
      <c r="M307" s="6"/>
      <c r="N307" s="17"/>
      <c r="O307" s="17"/>
      <c r="P307" s="17"/>
      <c r="Q307" s="17"/>
      <c r="R307" s="17"/>
      <c r="S307" s="17"/>
      <c r="T307" s="17"/>
      <c r="U307" s="17"/>
      <c r="V307" s="17"/>
      <c r="W307" s="17"/>
      <c r="X307" s="6"/>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row>
    <row r="308" spans="1:108" s="11" customFormat="1" ht="12.75" hidden="1" customHeight="1" outlineLevel="5">
      <c r="A308" s="107" t="s">
        <v>113</v>
      </c>
      <c r="B308" s="30">
        <v>10</v>
      </c>
      <c r="C308" s="20"/>
      <c r="D308" s="18" t="str">
        <f>"&lt;" &amp; A308 &amp; "&gt;" &amp; TEXT(B308,"0.000000") &amp; "&lt;/" &amp; A308 &amp; "&gt;"</f>
        <v>&lt;Slat_Angle&gt;10.000000&lt;/Slat_Angle&gt;</v>
      </c>
      <c r="E308" s="174" t="str">
        <f t="shared" si="6"/>
        <v>Yes</v>
      </c>
      <c r="F308" s="6" t="s">
        <v>693</v>
      </c>
      <c r="G308" s="6"/>
      <c r="H308" s="17"/>
      <c r="I308" s="17"/>
      <c r="J308" s="17"/>
      <c r="K308" s="17"/>
      <c r="L308" s="17"/>
      <c r="M308" s="6"/>
      <c r="N308" s="17"/>
      <c r="O308" s="17"/>
      <c r="P308" s="17"/>
      <c r="Q308" s="17"/>
      <c r="R308" s="17"/>
      <c r="S308" s="17"/>
      <c r="T308" s="17"/>
      <c r="U308" s="17"/>
      <c r="V308" s="17"/>
      <c r="W308" s="17"/>
      <c r="X308" s="6"/>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row>
    <row r="309" spans="1:108" s="11" customFormat="1" ht="12.75" hidden="1" customHeight="1" outlineLevel="5">
      <c r="A309" s="107" t="s">
        <v>114</v>
      </c>
      <c r="B309" s="100" t="s">
        <v>11</v>
      </c>
      <c r="C309" s="20"/>
      <c r="D309" s="134" t="str">
        <f>"&lt;" &amp; A309 &amp; "&gt;" &amp;IF(B309="Yes",1,0) &amp;"&lt;/" &amp;A309&amp;"&gt;"</f>
        <v>&lt;Flap_Flag&gt;1&lt;/Flap_Flag&gt;</v>
      </c>
      <c r="E309" s="174" t="str">
        <f t="shared" si="6"/>
        <v>Yes</v>
      </c>
      <c r="F309" s="6" t="s">
        <v>694</v>
      </c>
      <c r="G309" s="6"/>
      <c r="H309" s="17"/>
      <c r="I309" s="17"/>
      <c r="J309" s="17"/>
      <c r="K309" s="17"/>
      <c r="L309" s="17"/>
      <c r="M309" s="6"/>
      <c r="N309" s="17"/>
      <c r="O309" s="17"/>
      <c r="P309" s="17"/>
      <c r="Q309" s="17"/>
      <c r="R309" s="17"/>
      <c r="S309" s="17"/>
      <c r="T309" s="17"/>
      <c r="U309" s="17"/>
      <c r="V309" s="17"/>
      <c r="W309" s="17"/>
      <c r="X309" s="6"/>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row>
    <row r="310" spans="1:108" s="11" customFormat="1" ht="12.75" hidden="1" customHeight="1" outlineLevel="5">
      <c r="A310" s="107" t="s">
        <v>115</v>
      </c>
      <c r="B310" s="100" t="s">
        <v>12</v>
      </c>
      <c r="C310" s="20"/>
      <c r="D310" s="134" t="str">
        <f>"&lt;" &amp; A310 &amp; "&gt;" &amp;IF(B310="Yes",1,0) &amp;"&lt;/" &amp;A310&amp;"&gt;"</f>
        <v>&lt;Flap_Shear_Flag&gt;0&lt;/Flap_Shear_Flag&gt;</v>
      </c>
      <c r="E310" s="174" t="str">
        <f t="shared" si="6"/>
        <v>Yes</v>
      </c>
      <c r="F310" s="6" t="s">
        <v>695</v>
      </c>
      <c r="G310" s="6"/>
      <c r="H310" s="17"/>
      <c r="I310" s="17"/>
      <c r="J310" s="17"/>
      <c r="K310" s="17"/>
      <c r="L310" s="17"/>
      <c r="M310" s="6"/>
      <c r="N310" s="17"/>
      <c r="O310" s="17"/>
      <c r="P310" s="17"/>
      <c r="Q310" s="17"/>
      <c r="R310" s="17"/>
      <c r="S310" s="17"/>
      <c r="T310" s="17"/>
      <c r="U310" s="17"/>
      <c r="V310" s="17"/>
      <c r="W310" s="17"/>
      <c r="X310" s="6"/>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row>
    <row r="311" spans="1:108" s="11" customFormat="1" ht="12.75" hidden="1" customHeight="1" outlineLevel="5">
      <c r="A311" s="107" t="s">
        <v>116</v>
      </c>
      <c r="B311" s="30">
        <v>0.42</v>
      </c>
      <c r="C311" s="20"/>
      <c r="D311" s="18" t="str">
        <f>"&lt;" &amp; A311 &amp; "&gt;" &amp; TEXT(B311,"0.000000") &amp; "&lt;/" &amp; A311 &amp; "&gt;"</f>
        <v>&lt;Flap_Chord&gt;0.420000&lt;/Flap_Chord&gt;</v>
      </c>
      <c r="E311" s="174" t="str">
        <f t="shared" si="6"/>
        <v>Yes</v>
      </c>
      <c r="F311" s="6" t="s">
        <v>696</v>
      </c>
      <c r="G311" s="6"/>
      <c r="H311" s="17"/>
      <c r="I311" s="17"/>
      <c r="J311" s="17"/>
      <c r="K311" s="17"/>
      <c r="L311" s="17"/>
      <c r="M311" s="6"/>
      <c r="N311" s="17"/>
      <c r="O311" s="17"/>
      <c r="P311" s="17"/>
      <c r="Q311" s="17"/>
      <c r="R311" s="17"/>
      <c r="S311" s="17"/>
      <c r="T311" s="17"/>
      <c r="U311" s="17"/>
      <c r="V311" s="17"/>
      <c r="W311" s="17"/>
      <c r="X311" s="6"/>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row>
    <row r="312" spans="1:108" s="11" customFormat="1" ht="12.75" hidden="1" customHeight="1" outlineLevel="5">
      <c r="A312" s="104" t="s">
        <v>117</v>
      </c>
      <c r="B312" s="13">
        <v>10</v>
      </c>
      <c r="C312" s="20"/>
      <c r="D312" s="103" t="str">
        <f>"&lt;" &amp; A312 &amp; "&gt;" &amp; TEXT(B312,"0.000000") &amp; "&lt;/" &amp; A312 &amp; "&gt;"</f>
        <v>&lt;Flap_Angle&gt;10.000000&lt;/Flap_Angle&gt;</v>
      </c>
      <c r="E312" s="174" t="str">
        <f t="shared" si="6"/>
        <v>Yes</v>
      </c>
      <c r="F312" s="6" t="s">
        <v>697</v>
      </c>
      <c r="G312" s="6"/>
      <c r="H312" s="17"/>
      <c r="I312" s="17"/>
      <c r="J312" s="17"/>
      <c r="K312" s="17"/>
      <c r="L312" s="17"/>
      <c r="M312" s="6"/>
      <c r="N312" s="17"/>
      <c r="O312" s="17"/>
      <c r="P312" s="17"/>
      <c r="Q312" s="17"/>
      <c r="R312" s="17"/>
      <c r="S312" s="17"/>
      <c r="T312" s="17"/>
      <c r="U312" s="17"/>
      <c r="V312" s="17"/>
      <c r="W312" s="17"/>
      <c r="X312" s="6"/>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row>
    <row r="313" spans="1:108" s="11" customFormat="1" ht="12.75" hidden="1" customHeight="1" outlineLevel="5">
      <c r="A313" s="104" t="s">
        <v>118</v>
      </c>
      <c r="B313" s="17"/>
      <c r="C313" s="20"/>
      <c r="D313" s="131" t="str">
        <f>"&lt;" &amp; A313 &amp; "&gt;"</f>
        <v>&lt;/Airfoil&gt;</v>
      </c>
      <c r="E313" s="174" t="str">
        <f t="shared" si="6"/>
        <v>Yes</v>
      </c>
      <c r="F313" s="6" t="s">
        <v>698</v>
      </c>
      <c r="G313" s="6"/>
      <c r="H313" s="17"/>
      <c r="I313" s="17"/>
      <c r="J313" s="17"/>
      <c r="K313" s="17"/>
      <c r="L313" s="17"/>
      <c r="M313" s="6"/>
      <c r="N313" s="17"/>
      <c r="O313" s="17"/>
      <c r="P313" s="17"/>
      <c r="Q313" s="17"/>
      <c r="R313" s="17"/>
      <c r="S313" s="17"/>
      <c r="T313" s="17"/>
      <c r="U313" s="17"/>
      <c r="V313" s="17"/>
      <c r="W313" s="17"/>
      <c r="X313" s="6"/>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row>
    <row r="314" spans="1:108" s="11" customFormat="1" ht="12.75" hidden="1" customHeight="1" outlineLevel="4">
      <c r="A314" s="104" t="s">
        <v>119</v>
      </c>
      <c r="B314" s="17"/>
      <c r="C314" s="20"/>
      <c r="D314" s="131" t="str">
        <f>"&lt;" &amp; A314 &amp; "&gt;"</f>
        <v>&lt;/Airfoil_List&gt;</v>
      </c>
      <c r="E314" s="174" t="str">
        <f t="shared" si="6"/>
        <v>Yes</v>
      </c>
      <c r="F314" s="6" t="s">
        <v>699</v>
      </c>
      <c r="G314" s="6"/>
      <c r="H314" s="17"/>
      <c r="I314" s="17"/>
      <c r="J314" s="17"/>
      <c r="K314" s="17"/>
      <c r="L314" s="17"/>
      <c r="M314" s="6"/>
      <c r="N314" s="17"/>
      <c r="O314" s="17"/>
      <c r="P314" s="17"/>
      <c r="Q314" s="17"/>
      <c r="R314" s="17"/>
      <c r="S314" s="17"/>
      <c r="T314" s="17"/>
      <c r="U314" s="17"/>
      <c r="V314" s="17"/>
      <c r="W314" s="17"/>
      <c r="X314" s="6"/>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row>
    <row r="315" spans="1:108" s="11" customFormat="1" ht="12.75" customHeight="1" outlineLevel="3" collapsed="1">
      <c r="A315" s="104" t="s">
        <v>120</v>
      </c>
      <c r="B315" s="17"/>
      <c r="C315" s="20"/>
      <c r="D315" s="131" t="str">
        <f>"&lt;" &amp; A315 &amp; "&gt;"</f>
        <v>&lt;Section_List&gt;</v>
      </c>
      <c r="E315" s="174" t="str">
        <f t="shared" si="6"/>
        <v>Yes</v>
      </c>
      <c r="F315" s="6" t="s">
        <v>700</v>
      </c>
      <c r="G315" s="6"/>
      <c r="H315" s="17"/>
      <c r="I315" s="17"/>
      <c r="J315" s="17"/>
      <c r="K315" s="17"/>
      <c r="L315" s="17"/>
      <c r="M315" s="6"/>
      <c r="N315" s="17"/>
      <c r="O315" s="17"/>
      <c r="P315" s="17"/>
      <c r="Q315" s="17"/>
      <c r="R315" s="17"/>
      <c r="S315" s="17"/>
      <c r="T315" s="17"/>
      <c r="U315" s="17"/>
      <c r="V315" s="17"/>
      <c r="W315" s="17"/>
      <c r="X315" s="6"/>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row>
    <row r="316" spans="1:108" s="11" customFormat="1" ht="12.75" hidden="1" customHeight="1" outlineLevel="4" collapsed="1">
      <c r="A316" s="104" t="s">
        <v>121</v>
      </c>
      <c r="B316" s="99" t="s">
        <v>400</v>
      </c>
      <c r="C316" s="20"/>
      <c r="D316" s="131" t="str">
        <f>"&lt;" &amp; A316 &amp; "&gt;"</f>
        <v>&lt;Section&gt;</v>
      </c>
      <c r="E316" s="174" t="str">
        <f t="shared" si="6"/>
        <v>Yes</v>
      </c>
      <c r="F316" s="6" t="s">
        <v>701</v>
      </c>
      <c r="G316" s="6"/>
      <c r="H316" s="17"/>
      <c r="I316" s="17"/>
      <c r="J316" s="17"/>
      <c r="K316" s="17"/>
      <c r="L316" s="17"/>
      <c r="M316" s="6"/>
      <c r="N316" s="17"/>
      <c r="O316" s="17"/>
      <c r="P316" s="17"/>
      <c r="Q316" s="17"/>
      <c r="R316" s="17"/>
      <c r="S316" s="17"/>
      <c r="T316" s="17"/>
      <c r="U316" s="17"/>
      <c r="V316" s="17"/>
      <c r="W316" s="17"/>
      <c r="X316" s="6"/>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row>
    <row r="317" spans="1:108" s="11" customFormat="1" ht="12.75" hidden="1" customHeight="1" outlineLevel="5">
      <c r="A317" s="104" t="s">
        <v>122</v>
      </c>
      <c r="B317" s="108">
        <v>4</v>
      </c>
      <c r="C317" s="20"/>
      <c r="D317" s="103" t="str">
        <f>"&lt;" &amp; A317 &amp; "&gt;" &amp; TEXT(B317,0) &amp; "&lt;/" &amp; A317 &amp; "&gt;"</f>
        <v>&lt;Driver&gt;4&lt;/Driver&gt;</v>
      </c>
      <c r="E317" s="174" t="str">
        <f t="shared" si="6"/>
        <v>Yes</v>
      </c>
      <c r="F317" s="6" t="s">
        <v>702</v>
      </c>
      <c r="G317" s="6"/>
      <c r="H317" s="17"/>
      <c r="I317" s="17"/>
      <c r="J317" s="17"/>
      <c r="K317" s="17"/>
      <c r="L317" s="17"/>
      <c r="M317" s="6"/>
      <c r="N317" s="17"/>
      <c r="O317" s="17"/>
      <c r="P317" s="17"/>
      <c r="Q317" s="17"/>
      <c r="R317" s="17"/>
      <c r="S317" s="17"/>
      <c r="T317" s="17"/>
      <c r="U317" s="17"/>
      <c r="V317" s="17"/>
      <c r="W317" s="17"/>
      <c r="X317" s="6"/>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row>
    <row r="318" spans="1:108" s="11" customFormat="1" ht="12.75" hidden="1" customHeight="1" outlineLevel="5">
      <c r="A318" s="104" t="s">
        <v>123</v>
      </c>
      <c r="B318" s="31">
        <f>A_H/2</f>
        <v>2.5</v>
      </c>
      <c r="C318" s="20"/>
      <c r="D318" s="103" t="str">
        <f t="shared" ref="D318:D332" si="9">"&lt;" &amp; A318 &amp; "&gt;" &amp; TEXT(B318,"0.000000") &amp; "&lt;/" &amp; A318 &amp; "&gt;"</f>
        <v>&lt;AR&gt;2.500000&lt;/AR&gt;</v>
      </c>
      <c r="E318" s="174" t="str">
        <f t="shared" si="6"/>
        <v>Yes</v>
      </c>
      <c r="F318" s="6" t="s">
        <v>969</v>
      </c>
      <c r="G318" s="6"/>
      <c r="H318" s="17"/>
      <c r="I318" s="17"/>
      <c r="J318" s="17"/>
      <c r="K318" s="17"/>
      <c r="L318" s="17"/>
      <c r="M318" s="6"/>
      <c r="N318" s="17"/>
      <c r="O318" s="17"/>
      <c r="P318" s="17"/>
      <c r="Q318" s="17"/>
      <c r="R318" s="17"/>
      <c r="S318" s="17"/>
      <c r="T318" s="17"/>
      <c r="U318" s="17"/>
      <c r="V318" s="17"/>
      <c r="W318" s="17"/>
      <c r="X318" s="6"/>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row>
    <row r="319" spans="1:108" s="11" customFormat="1" ht="12.75" hidden="1" customHeight="1" outlineLevel="5">
      <c r="A319" s="104" t="s">
        <v>124</v>
      </c>
      <c r="B319" s="31">
        <f>lam_H</f>
        <v>0.29499999999999998</v>
      </c>
      <c r="C319" s="20"/>
      <c r="D319" s="103" t="str">
        <f t="shared" si="9"/>
        <v>&lt;TR&gt;0.295000&lt;/TR&gt;</v>
      </c>
      <c r="E319" s="174" t="str">
        <f t="shared" si="6"/>
        <v>Yes</v>
      </c>
      <c r="F319" s="6" t="s">
        <v>703</v>
      </c>
      <c r="G319" s="6"/>
      <c r="H319" s="17"/>
      <c r="I319" s="17"/>
      <c r="J319" s="17"/>
      <c r="K319" s="17"/>
      <c r="L319" s="17"/>
      <c r="M319" s="6"/>
      <c r="N319" s="17"/>
      <c r="O319" s="17"/>
      <c r="P319" s="17"/>
      <c r="Q319" s="17"/>
      <c r="R319" s="17"/>
      <c r="S319" s="17"/>
      <c r="T319" s="17"/>
      <c r="U319" s="17"/>
      <c r="V319" s="17"/>
      <c r="W319" s="17"/>
      <c r="X319" s="6"/>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row>
    <row r="320" spans="1:108" s="11" customFormat="1" ht="12.75" hidden="1" customHeight="1" outlineLevel="5">
      <c r="A320" s="104" t="s">
        <v>6</v>
      </c>
      <c r="B320" s="31">
        <f>S_H/2</f>
        <v>15.5</v>
      </c>
      <c r="C320" s="20"/>
      <c r="D320" s="103" t="str">
        <f t="shared" si="9"/>
        <v>&lt;Area&gt;15.500000&lt;/Area&gt;</v>
      </c>
      <c r="E320" s="174" t="str">
        <f t="shared" si="6"/>
        <v>Yes</v>
      </c>
      <c r="F320" s="6" t="s">
        <v>704</v>
      </c>
      <c r="G320" s="6"/>
      <c r="H320" s="17"/>
      <c r="I320" s="17"/>
      <c r="J320" s="17"/>
      <c r="K320" s="17"/>
      <c r="L320" s="17"/>
      <c r="M320" s="6"/>
      <c r="N320" s="17"/>
      <c r="O320" s="17"/>
      <c r="P320" s="17"/>
      <c r="Q320" s="17"/>
      <c r="R320" s="17"/>
      <c r="S320" s="17"/>
      <c r="T320" s="17"/>
      <c r="U320" s="17"/>
      <c r="V320" s="17"/>
      <c r="W320" s="17"/>
      <c r="X320" s="6"/>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row>
    <row r="321" spans="1:108" s="11" customFormat="1" ht="12.75" hidden="1" customHeight="1" outlineLevel="5">
      <c r="A321" s="104" t="s">
        <v>7</v>
      </c>
      <c r="B321" s="32">
        <f>SQRT(B318*B320)</f>
        <v>6.2249497989943663</v>
      </c>
      <c r="C321" s="20"/>
      <c r="D321" s="103" t="str">
        <f t="shared" si="9"/>
        <v>&lt;Span&gt;6.224950&lt;/Span&gt;</v>
      </c>
      <c r="E321" s="174" t="str">
        <f t="shared" si="6"/>
        <v>Yes</v>
      </c>
      <c r="F321" s="6" t="s">
        <v>970</v>
      </c>
      <c r="G321" s="6"/>
      <c r="H321" s="17"/>
      <c r="I321" s="17"/>
      <c r="J321" s="17"/>
      <c r="K321" s="17"/>
      <c r="L321" s="17"/>
      <c r="M321" s="6"/>
      <c r="N321" s="17"/>
      <c r="O321" s="17"/>
      <c r="P321" s="17"/>
      <c r="Q321" s="17"/>
      <c r="R321" s="17"/>
      <c r="S321" s="17"/>
      <c r="T321" s="17"/>
      <c r="U321" s="17"/>
      <c r="V321" s="17"/>
      <c r="W321" s="17"/>
      <c r="X321" s="6"/>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row>
    <row r="322" spans="1:108" s="11" customFormat="1" ht="12.75" hidden="1" customHeight="1" outlineLevel="5">
      <c r="A322" s="104" t="s">
        <v>125</v>
      </c>
      <c r="B322" s="32">
        <f>B319*B323</f>
        <v>1.1344310058398999</v>
      </c>
      <c r="C322" s="20"/>
      <c r="D322" s="103" t="str">
        <f t="shared" si="9"/>
        <v>&lt;TC&gt;1.134431&lt;/TC&gt;</v>
      </c>
      <c r="E322" s="174" t="str">
        <f t="shared" si="6"/>
        <v>Yes</v>
      </c>
      <c r="F322" s="6" t="s">
        <v>971</v>
      </c>
      <c r="G322" s="6"/>
      <c r="H322" s="17"/>
      <c r="I322" s="17"/>
      <c r="J322" s="17"/>
      <c r="K322" s="17"/>
      <c r="L322" s="17"/>
      <c r="M322" s="6"/>
      <c r="N322" s="17"/>
      <c r="O322" s="17"/>
      <c r="P322" s="17"/>
      <c r="Q322" s="17"/>
      <c r="R322" s="17"/>
      <c r="S322" s="17"/>
      <c r="T322" s="17"/>
      <c r="U322" s="17"/>
      <c r="V322" s="17"/>
      <c r="W322" s="17"/>
      <c r="X322" s="6"/>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row>
    <row r="323" spans="1:108" s="11" customFormat="1" ht="12.75" hidden="1" customHeight="1" outlineLevel="5">
      <c r="A323" s="104" t="s">
        <v>126</v>
      </c>
      <c r="B323" s="32">
        <f>(2*B320)/((B319+1)*B321)</f>
        <v>3.8455288333555928</v>
      </c>
      <c r="C323" s="20"/>
      <c r="D323" s="103" t="str">
        <f t="shared" si="9"/>
        <v>&lt;RC&gt;3.845529&lt;/RC&gt;</v>
      </c>
      <c r="E323" s="174" t="str">
        <f t="shared" si="6"/>
        <v>Yes</v>
      </c>
      <c r="F323" s="6" t="s">
        <v>972</v>
      </c>
      <c r="G323" s="6"/>
      <c r="H323" s="17"/>
      <c r="I323" s="17"/>
      <c r="J323" s="17"/>
      <c r="K323" s="17"/>
      <c r="L323" s="17"/>
      <c r="M323" s="6"/>
      <c r="N323" s="17"/>
      <c r="O323" s="17"/>
      <c r="P323" s="17"/>
      <c r="Q323" s="17"/>
      <c r="R323" s="17"/>
      <c r="S323" s="17"/>
      <c r="T323" s="17"/>
      <c r="U323" s="17"/>
      <c r="V323" s="17"/>
      <c r="W323" s="17"/>
      <c r="X323" s="6"/>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row>
    <row r="324" spans="1:108" s="11" customFormat="1" ht="12.75" hidden="1" customHeight="1" outlineLevel="5">
      <c r="A324" s="104" t="s">
        <v>8</v>
      </c>
      <c r="B324" s="31">
        <f>phi_25.H</f>
        <v>28</v>
      </c>
      <c r="C324" s="20"/>
      <c r="D324" s="103" t="str">
        <f t="shared" si="9"/>
        <v>&lt;Sweep&gt;28.000000&lt;/Sweep&gt;</v>
      </c>
      <c r="E324" s="174" t="str">
        <f t="shared" si="6"/>
        <v>Yes</v>
      </c>
      <c r="F324" s="6" t="s">
        <v>705</v>
      </c>
      <c r="G324" s="6"/>
      <c r="H324" s="17"/>
      <c r="I324" s="17"/>
      <c r="J324" s="17"/>
      <c r="K324" s="17"/>
      <c r="L324" s="17"/>
      <c r="M324" s="6"/>
      <c r="N324" s="17"/>
      <c r="O324" s="17"/>
      <c r="P324" s="17"/>
      <c r="Q324" s="17"/>
      <c r="R324" s="17"/>
      <c r="S324" s="17"/>
      <c r="T324" s="17"/>
      <c r="U324" s="17"/>
      <c r="V324" s="17"/>
      <c r="W324" s="17"/>
      <c r="X324" s="6"/>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row>
    <row r="325" spans="1:108" s="11" customFormat="1" ht="12.75" hidden="1" customHeight="1" outlineLevel="5">
      <c r="A325" s="104" t="s">
        <v>127</v>
      </c>
      <c r="B325" s="13">
        <v>0.25</v>
      </c>
      <c r="C325" s="20"/>
      <c r="D325" s="103" t="str">
        <f t="shared" si="9"/>
        <v>&lt;SweepLoc&gt;0.250000&lt;/SweepLoc&gt;</v>
      </c>
      <c r="E325" s="174" t="str">
        <f t="shared" si="6"/>
        <v>Yes</v>
      </c>
      <c r="F325" s="6" t="s">
        <v>706</v>
      </c>
      <c r="G325" s="6"/>
      <c r="H325" s="17"/>
      <c r="I325" s="17"/>
      <c r="J325" s="17"/>
      <c r="K325" s="17"/>
      <c r="L325" s="17"/>
      <c r="M325" s="6"/>
      <c r="N325" s="17"/>
      <c r="O325" s="17"/>
      <c r="P325" s="17"/>
      <c r="Q325" s="17"/>
      <c r="R325" s="17"/>
      <c r="S325" s="17"/>
      <c r="T325" s="17"/>
      <c r="U325" s="17"/>
      <c r="V325" s="17"/>
      <c r="W325" s="17"/>
      <c r="X325" s="6"/>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row>
    <row r="326" spans="1:108" s="11" customFormat="1" ht="12.75" hidden="1" customHeight="1" outlineLevel="5">
      <c r="A326" s="104" t="s">
        <v>9</v>
      </c>
      <c r="B326" s="13">
        <v>0</v>
      </c>
      <c r="C326" s="20"/>
      <c r="D326" s="103" t="str">
        <f t="shared" si="9"/>
        <v>&lt;Twist&gt;0.000000&lt;/Twist&gt;</v>
      </c>
      <c r="E326" s="174" t="str">
        <f t="shared" si="6"/>
        <v>Yes</v>
      </c>
      <c r="F326" s="6" t="s">
        <v>707</v>
      </c>
      <c r="G326" s="6"/>
      <c r="H326" s="17"/>
      <c r="I326" s="17"/>
      <c r="J326" s="17"/>
      <c r="K326" s="17"/>
      <c r="L326" s="17"/>
      <c r="M326" s="6"/>
      <c r="N326" s="17"/>
      <c r="O326" s="17"/>
      <c r="P326" s="17"/>
      <c r="Q326" s="17"/>
      <c r="R326" s="17"/>
      <c r="S326" s="17"/>
      <c r="T326" s="17"/>
      <c r="U326" s="17"/>
      <c r="V326" s="17"/>
      <c r="W326" s="17"/>
      <c r="X326" s="6"/>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row>
    <row r="327" spans="1:108" s="11" customFormat="1" ht="12.75" hidden="1" customHeight="1" outlineLevel="5">
      <c r="A327" s="104" t="s">
        <v>128</v>
      </c>
      <c r="B327" s="13">
        <v>0</v>
      </c>
      <c r="C327" s="20"/>
      <c r="D327" s="103" t="str">
        <f t="shared" si="9"/>
        <v>&lt;TwistLoc&gt;0.000000&lt;/TwistLoc&gt;</v>
      </c>
      <c r="E327" s="174" t="str">
        <f t="shared" ref="E327:E390" si="10">IF(D327=F327,"Yes","No")</f>
        <v>Yes</v>
      </c>
      <c r="F327" s="6" t="s">
        <v>708</v>
      </c>
      <c r="G327" s="6"/>
      <c r="H327" s="17"/>
      <c r="I327" s="17"/>
      <c r="J327" s="17"/>
      <c r="K327" s="17"/>
      <c r="L327" s="17"/>
      <c r="M327" s="6"/>
      <c r="N327" s="17"/>
      <c r="O327" s="17"/>
      <c r="P327" s="17"/>
      <c r="Q327" s="17"/>
      <c r="R327" s="17"/>
      <c r="S327" s="17"/>
      <c r="T327" s="17"/>
      <c r="U327" s="17"/>
      <c r="V327" s="17"/>
      <c r="W327" s="17"/>
      <c r="X327" s="6"/>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row>
    <row r="328" spans="1:108" s="11" customFormat="1" ht="12.75" hidden="1" customHeight="1" outlineLevel="5">
      <c r="A328" s="104" t="s">
        <v>10</v>
      </c>
      <c r="B328" s="31">
        <f>ggam_H</f>
        <v>6</v>
      </c>
      <c r="C328" s="20"/>
      <c r="D328" s="103" t="str">
        <f t="shared" si="9"/>
        <v>&lt;Dihedral&gt;6.000000&lt;/Dihedral&gt;</v>
      </c>
      <c r="E328" s="174" t="str">
        <f t="shared" si="10"/>
        <v>Yes</v>
      </c>
      <c r="F328" s="6" t="s">
        <v>709</v>
      </c>
      <c r="G328" s="6"/>
      <c r="H328" s="17"/>
      <c r="I328" s="17"/>
      <c r="J328" s="17"/>
      <c r="K328" s="17"/>
      <c r="L328" s="17"/>
      <c r="M328" s="6"/>
      <c r="N328" s="17"/>
      <c r="O328" s="17"/>
      <c r="P328" s="17"/>
      <c r="Q328" s="17"/>
      <c r="R328" s="17"/>
      <c r="S328" s="17"/>
      <c r="T328" s="17"/>
      <c r="U328" s="17"/>
      <c r="V328" s="17"/>
      <c r="W328" s="17"/>
      <c r="X328" s="6"/>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row>
    <row r="329" spans="1:108" s="11" customFormat="1" ht="12.75" hidden="1" customHeight="1" outlineLevel="5">
      <c r="A329" s="104" t="s">
        <v>129</v>
      </c>
      <c r="B329" s="13">
        <v>0</v>
      </c>
      <c r="C329" s="20"/>
      <c r="D329" s="103" t="str">
        <f t="shared" si="9"/>
        <v>&lt;Dihed_Crv1&gt;0.000000&lt;/Dihed_Crv1&gt;</v>
      </c>
      <c r="E329" s="174" t="str">
        <f t="shared" si="10"/>
        <v>Yes</v>
      </c>
      <c r="F329" s="6" t="s">
        <v>710</v>
      </c>
      <c r="G329" s="6"/>
      <c r="H329" s="17"/>
      <c r="I329" s="17"/>
      <c r="J329" s="17"/>
      <c r="K329" s="17"/>
      <c r="L329" s="17"/>
      <c r="M329" s="6"/>
      <c r="N329" s="17"/>
      <c r="O329" s="17"/>
      <c r="P329" s="17"/>
      <c r="Q329" s="17"/>
      <c r="R329" s="17"/>
      <c r="S329" s="17"/>
      <c r="T329" s="17"/>
      <c r="U329" s="17"/>
      <c r="V329" s="17"/>
      <c r="W329" s="17"/>
      <c r="X329" s="6"/>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row>
    <row r="330" spans="1:108" s="11" customFormat="1" ht="12.75" hidden="1" customHeight="1" outlineLevel="5">
      <c r="A330" s="104" t="s">
        <v>130</v>
      </c>
      <c r="B330" s="13">
        <v>0</v>
      </c>
      <c r="C330" s="20"/>
      <c r="D330" s="103" t="str">
        <f t="shared" si="9"/>
        <v>&lt;Dihed_Crv2&gt;0.000000&lt;/Dihed_Crv2&gt;</v>
      </c>
      <c r="E330" s="174" t="str">
        <f t="shared" si="10"/>
        <v>Yes</v>
      </c>
      <c r="F330" s="6" t="s">
        <v>711</v>
      </c>
      <c r="G330" s="6"/>
      <c r="H330" s="17"/>
      <c r="I330" s="17"/>
      <c r="J330" s="17"/>
      <c r="K330" s="17"/>
      <c r="L330" s="17"/>
      <c r="M330" s="6"/>
      <c r="N330" s="17"/>
      <c r="O330" s="17"/>
      <c r="P330" s="17"/>
      <c r="Q330" s="17"/>
      <c r="R330" s="17"/>
      <c r="S330" s="17"/>
      <c r="T330" s="17"/>
      <c r="U330" s="17"/>
      <c r="V330" s="17"/>
      <c r="W330" s="17"/>
      <c r="X330" s="6"/>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row>
    <row r="331" spans="1:108" s="11" customFormat="1" ht="12.75" hidden="1" customHeight="1" outlineLevel="5">
      <c r="A331" s="104" t="s">
        <v>131</v>
      </c>
      <c r="B331" s="13">
        <v>0.75</v>
      </c>
      <c r="C331" s="20"/>
      <c r="D331" s="103" t="str">
        <f t="shared" si="9"/>
        <v>&lt;Dihed_Crv1_Str&gt;0.750000&lt;/Dihed_Crv1_Str&gt;</v>
      </c>
      <c r="E331" s="174" t="str">
        <f t="shared" si="10"/>
        <v>Yes</v>
      </c>
      <c r="F331" s="6" t="s">
        <v>712</v>
      </c>
      <c r="G331" s="6"/>
      <c r="H331" s="17"/>
      <c r="I331" s="17"/>
      <c r="J331" s="17"/>
      <c r="K331" s="17"/>
      <c r="L331" s="17"/>
      <c r="M331" s="6"/>
      <c r="N331" s="17"/>
      <c r="O331" s="17"/>
      <c r="P331" s="17"/>
      <c r="Q331" s="17"/>
      <c r="R331" s="17"/>
      <c r="S331" s="17"/>
      <c r="T331" s="17"/>
      <c r="U331" s="17"/>
      <c r="V331" s="17"/>
      <c r="W331" s="17"/>
      <c r="X331" s="6"/>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row>
    <row r="332" spans="1:108" s="11" customFormat="1" ht="12.75" hidden="1" customHeight="1" outlineLevel="5">
      <c r="A332" s="104" t="s">
        <v>132</v>
      </c>
      <c r="B332" s="13">
        <v>0.75</v>
      </c>
      <c r="C332" s="20"/>
      <c r="D332" s="103" t="str">
        <f t="shared" si="9"/>
        <v>&lt;Dihed_Crv2_Str&gt;0.750000&lt;/Dihed_Crv2_Str&gt;</v>
      </c>
      <c r="E332" s="174" t="str">
        <f t="shared" si="10"/>
        <v>Yes</v>
      </c>
      <c r="F332" s="6" t="s">
        <v>713</v>
      </c>
      <c r="G332" s="6"/>
      <c r="H332" s="17"/>
      <c r="I332" s="17"/>
      <c r="J332" s="17"/>
      <c r="K332" s="17"/>
      <c r="L332" s="17"/>
      <c r="M332" s="6"/>
      <c r="N332" s="17"/>
      <c r="O332" s="17"/>
      <c r="P332" s="17"/>
      <c r="Q332" s="17"/>
      <c r="R332" s="17"/>
      <c r="S332" s="17"/>
      <c r="T332" s="17"/>
      <c r="U332" s="17"/>
      <c r="V332" s="17"/>
      <c r="W332" s="17"/>
      <c r="X332" s="6"/>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row>
    <row r="333" spans="1:108" s="11" customFormat="1" ht="12.75" hidden="1" customHeight="1" outlineLevel="5">
      <c r="A333" s="104" t="s">
        <v>133</v>
      </c>
      <c r="B333" s="100" t="s">
        <v>12</v>
      </c>
      <c r="C333" s="20"/>
      <c r="D333" s="134" t="str">
        <f>"&lt;" &amp; A333 &amp; "&gt;" &amp;IF(B333="Yes",1,0) &amp;"&lt;/" &amp;A333&amp;"&gt;"</f>
        <v>&lt;DihedRotFlag&gt;0&lt;/DihedRotFlag&gt;</v>
      </c>
      <c r="E333" s="174" t="str">
        <f t="shared" si="10"/>
        <v>Yes</v>
      </c>
      <c r="F333" s="6" t="s">
        <v>714</v>
      </c>
      <c r="G333" s="6"/>
      <c r="H333" s="17"/>
      <c r="I333" s="17"/>
      <c r="J333" s="17"/>
      <c r="K333" s="17"/>
      <c r="L333" s="17"/>
      <c r="M333" s="6"/>
      <c r="N333" s="17"/>
      <c r="O333" s="17"/>
      <c r="P333" s="17"/>
      <c r="Q333" s="17"/>
      <c r="R333" s="17"/>
      <c r="S333" s="17"/>
      <c r="T333" s="17"/>
      <c r="U333" s="17"/>
      <c r="V333" s="17"/>
      <c r="W333" s="17"/>
      <c r="X333" s="6"/>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row>
    <row r="334" spans="1:108" s="11" customFormat="1" ht="12.75" hidden="1" customHeight="1" outlineLevel="5">
      <c r="A334" s="104" t="s">
        <v>134</v>
      </c>
      <c r="B334" s="100" t="s">
        <v>12</v>
      </c>
      <c r="C334" s="20"/>
      <c r="D334" s="134" t="str">
        <f>"&lt;" &amp; A334 &amp; "&gt;" &amp;IF(B334="Yes",1,0) &amp;"&lt;/" &amp;A334&amp;"&gt;"</f>
        <v>&lt;SmoothBlendFlag&gt;0&lt;/SmoothBlendFlag&gt;</v>
      </c>
      <c r="E334" s="174" t="str">
        <f t="shared" si="10"/>
        <v>Yes</v>
      </c>
      <c r="F334" s="6" t="s">
        <v>715</v>
      </c>
      <c r="G334" s="6"/>
      <c r="H334" s="17"/>
      <c r="I334" s="17"/>
      <c r="J334" s="17"/>
      <c r="K334" s="17"/>
      <c r="L334" s="17"/>
      <c r="M334" s="6"/>
      <c r="N334" s="17"/>
      <c r="O334" s="17"/>
      <c r="P334" s="17"/>
      <c r="Q334" s="17"/>
      <c r="R334" s="17"/>
      <c r="S334" s="17"/>
      <c r="T334" s="17"/>
      <c r="U334" s="17"/>
      <c r="V334" s="17"/>
      <c r="W334" s="17"/>
      <c r="X334" s="6"/>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row>
    <row r="335" spans="1:108" s="11" customFormat="1" ht="12.75" hidden="1" customHeight="1" outlineLevel="5">
      <c r="A335" s="104" t="s">
        <v>135</v>
      </c>
      <c r="B335" s="108">
        <v>1</v>
      </c>
      <c r="C335" s="20"/>
      <c r="D335" s="103" t="str">
        <f>"&lt;" &amp; A335 &amp; "&gt;" &amp; TEXT(B335,0) &amp; "&lt;/" &amp; A335 &amp; "&gt;"</f>
        <v>&lt;NumInterpXsecs&gt;1&lt;/NumInterpXsecs&gt;</v>
      </c>
      <c r="E335" s="174" t="str">
        <f t="shared" si="10"/>
        <v>Yes</v>
      </c>
      <c r="F335" s="6" t="s">
        <v>716</v>
      </c>
      <c r="G335" s="6"/>
      <c r="H335" s="17"/>
      <c r="I335" s="17"/>
      <c r="J335" s="17"/>
      <c r="K335" s="17"/>
      <c r="L335" s="17"/>
      <c r="M335" s="6"/>
      <c r="N335" s="17"/>
      <c r="O335" s="17"/>
      <c r="P335" s="17"/>
      <c r="Q335" s="17"/>
      <c r="R335" s="17"/>
      <c r="S335" s="17"/>
      <c r="T335" s="17"/>
      <c r="U335" s="17"/>
      <c r="V335" s="17"/>
      <c r="W335" s="17"/>
      <c r="X335" s="6"/>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row>
    <row r="336" spans="1:108" s="11" customFormat="1" ht="12.75" hidden="1" customHeight="1" outlineLevel="5">
      <c r="A336" s="104" t="s">
        <v>136</v>
      </c>
      <c r="B336" s="17"/>
      <c r="C336" s="20"/>
      <c r="D336" s="131" t="str">
        <f>"&lt;" &amp; A336 &amp; "&gt;"</f>
        <v>&lt;/Section&gt;</v>
      </c>
      <c r="E336" s="174" t="str">
        <f t="shared" si="10"/>
        <v>Yes</v>
      </c>
      <c r="F336" s="6" t="s">
        <v>717</v>
      </c>
      <c r="G336" s="6"/>
      <c r="H336" s="17"/>
      <c r="I336" s="17"/>
      <c r="J336" s="17"/>
      <c r="K336" s="17"/>
      <c r="L336" s="17"/>
      <c r="M336" s="6"/>
      <c r="N336" s="17"/>
      <c r="O336" s="17"/>
      <c r="P336" s="17"/>
      <c r="Q336" s="17"/>
      <c r="R336" s="17"/>
      <c r="S336" s="17"/>
      <c r="T336" s="17"/>
      <c r="U336" s="17"/>
      <c r="V336" s="17"/>
      <c r="W336" s="17"/>
      <c r="X336" s="6"/>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row>
    <row r="337" spans="1:108" s="11" customFormat="1" ht="12.75" hidden="1" customHeight="1" outlineLevel="4">
      <c r="A337" s="104" t="s">
        <v>137</v>
      </c>
      <c r="B337" s="17"/>
      <c r="C337" s="20"/>
      <c r="D337" s="131" t="str">
        <f>"&lt;" &amp; A337 &amp; "&gt;"</f>
        <v>&lt;/Section_List&gt;</v>
      </c>
      <c r="E337" s="174" t="str">
        <f t="shared" si="10"/>
        <v>Yes</v>
      </c>
      <c r="F337" s="6" t="s">
        <v>718</v>
      </c>
      <c r="G337" s="6"/>
      <c r="H337" s="17"/>
      <c r="I337" s="17"/>
      <c r="J337" s="17"/>
      <c r="K337" s="17"/>
      <c r="L337" s="17"/>
      <c r="M337" s="6"/>
      <c r="N337" s="17"/>
      <c r="O337" s="17"/>
      <c r="P337" s="17"/>
      <c r="Q337" s="17"/>
      <c r="R337" s="17"/>
      <c r="S337" s="17"/>
      <c r="T337" s="17"/>
      <c r="U337" s="17"/>
      <c r="V337" s="17"/>
      <c r="W337" s="17"/>
      <c r="X337" s="6"/>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row>
    <row r="338" spans="1:108" s="11" customFormat="1" ht="12.75" customHeight="1" outlineLevel="3">
      <c r="A338" s="135" t="s">
        <v>138</v>
      </c>
      <c r="B338" s="109"/>
      <c r="C338" s="20" t="str">
        <f>C209</f>
        <v>Yes</v>
      </c>
      <c r="D338" s="133" t="str">
        <f>IF(C338="Yes",("&lt;"&amp;A338&amp;"&gt;"),("&lt;"&amp;A338&amp;"--&gt;"))</f>
        <v>&lt;/Component&gt;</v>
      </c>
      <c r="E338" s="174" t="str">
        <f t="shared" si="10"/>
        <v>Yes</v>
      </c>
      <c r="F338" s="6" t="s">
        <v>27</v>
      </c>
      <c r="G338" s="6"/>
      <c r="H338" s="17"/>
      <c r="I338" s="17"/>
      <c r="J338" s="17"/>
      <c r="K338" s="17"/>
      <c r="L338" s="17"/>
      <c r="M338" s="6"/>
      <c r="N338" s="17"/>
      <c r="O338" s="17"/>
      <c r="P338" s="17"/>
      <c r="Q338" s="17"/>
      <c r="R338" s="17"/>
      <c r="S338" s="17"/>
      <c r="T338" s="17"/>
      <c r="U338" s="17"/>
      <c r="V338" s="17"/>
      <c r="W338" s="17"/>
      <c r="X338" s="6"/>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row>
    <row r="339" spans="1:108" s="22" customFormat="1" ht="12.75" customHeight="1" outlineLevel="2">
      <c r="A339" s="104" t="s">
        <v>40</v>
      </c>
      <c r="B339" s="99" t="s">
        <v>13</v>
      </c>
      <c r="C339" s="27" t="s">
        <v>11</v>
      </c>
      <c r="D339" s="6" t="str">
        <f>IF(C339="Yes",("&lt;"&amp;A339&amp;"&gt;"),("&lt;!--"&amp;A339&amp;"&gt;"))</f>
        <v>&lt;Component&gt;</v>
      </c>
      <c r="E339" s="174" t="str">
        <f t="shared" si="10"/>
        <v>Yes</v>
      </c>
      <c r="F339" s="6" t="s">
        <v>283</v>
      </c>
      <c r="G339" s="6"/>
      <c r="H339" s="17"/>
      <c r="I339" s="17"/>
      <c r="J339" s="17"/>
      <c r="K339" s="17"/>
      <c r="L339" s="17"/>
      <c r="M339" s="6"/>
      <c r="N339" s="17"/>
      <c r="O339" s="17"/>
      <c r="P339" s="17"/>
      <c r="Q339" s="17"/>
      <c r="R339" s="17"/>
      <c r="S339" s="17"/>
      <c r="T339" s="17"/>
      <c r="U339" s="17"/>
      <c r="V339" s="17"/>
      <c r="W339" s="17"/>
      <c r="X339" s="6"/>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row>
    <row r="340" spans="1:108" s="11" customFormat="1" ht="12.75" customHeight="1" outlineLevel="3">
      <c r="A340" s="104" t="s">
        <v>14</v>
      </c>
      <c r="B340" s="18" t="s">
        <v>41</v>
      </c>
      <c r="C340" s="20"/>
      <c r="D340" s="18" t="str">
        <f>"&lt;" &amp; A340 &amp; "&gt;" &amp; TEXT(B340,0) &amp; "&lt;/" &amp; A340 &amp; "&gt;"</f>
        <v>&lt;Type&gt;Mswing&lt;/Type&gt;</v>
      </c>
      <c r="E340" s="174" t="str">
        <f t="shared" si="10"/>
        <v>Yes</v>
      </c>
      <c r="F340" s="6" t="s">
        <v>621</v>
      </c>
      <c r="G340" s="6"/>
      <c r="H340" s="17"/>
      <c r="I340" s="17"/>
      <c r="J340" s="17"/>
      <c r="K340" s="17"/>
      <c r="L340" s="17"/>
      <c r="M340" s="6"/>
      <c r="N340" s="17"/>
      <c r="O340" s="17"/>
      <c r="P340" s="17"/>
      <c r="Q340" s="17"/>
      <c r="R340" s="17"/>
      <c r="S340" s="17"/>
      <c r="T340" s="17"/>
      <c r="U340" s="17"/>
      <c r="V340" s="17"/>
      <c r="W340" s="17"/>
      <c r="X340" s="6"/>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row>
    <row r="341" spans="1:108" s="11" customFormat="1" ht="12.75" customHeight="1" outlineLevel="3" collapsed="1">
      <c r="A341" s="104" t="s">
        <v>42</v>
      </c>
      <c r="B341" s="6"/>
      <c r="C341" s="20"/>
      <c r="D341" s="6" t="str">
        <f>"&lt;" &amp; A341 &amp; "&gt;"</f>
        <v>&lt;General_Parms&gt;</v>
      </c>
      <c r="E341" s="174" t="str">
        <f t="shared" si="10"/>
        <v>Yes</v>
      </c>
      <c r="F341" s="6" t="s">
        <v>622</v>
      </c>
      <c r="G341" s="6"/>
      <c r="H341" s="17"/>
      <c r="I341" s="17"/>
      <c r="J341" s="17"/>
      <c r="K341" s="17"/>
      <c r="L341" s="17"/>
      <c r="M341" s="6"/>
      <c r="N341" s="17"/>
      <c r="O341" s="17"/>
      <c r="P341" s="17"/>
      <c r="Q341" s="17"/>
      <c r="R341" s="17"/>
      <c r="S341" s="17"/>
      <c r="T341" s="17"/>
      <c r="U341" s="17"/>
      <c r="V341" s="17"/>
      <c r="W341" s="17"/>
      <c r="X341" s="6"/>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row>
    <row r="342" spans="1:108" s="11" customFormat="1" ht="12.75" hidden="1" customHeight="1" outlineLevel="4">
      <c r="A342" s="104" t="s">
        <v>1</v>
      </c>
      <c r="B342" s="18" t="s">
        <v>425</v>
      </c>
      <c r="C342" s="20"/>
      <c r="D342" s="18" t="str">
        <f>"&lt;" &amp; A342 &amp; "&gt;" &amp; TEXT(B342,0) &amp; "&lt;/" &amp; A342 &amp; "&gt;"</f>
        <v>&lt;Name&gt;VTail&lt;/Name&gt;</v>
      </c>
      <c r="E342" s="174" t="str">
        <f t="shared" si="10"/>
        <v>Yes</v>
      </c>
      <c r="F342" s="6" t="s">
        <v>719</v>
      </c>
      <c r="G342" s="6"/>
      <c r="H342" s="17"/>
      <c r="I342" s="17"/>
      <c r="J342" s="17"/>
      <c r="K342" s="17"/>
      <c r="L342" s="17"/>
      <c r="M342" s="6"/>
      <c r="N342" s="17"/>
      <c r="O342" s="17"/>
      <c r="P342" s="17"/>
      <c r="Q342" s="17"/>
      <c r="R342" s="17"/>
      <c r="S342" s="17"/>
      <c r="T342" s="17"/>
      <c r="U342" s="17"/>
      <c r="V342" s="17"/>
      <c r="W342" s="17"/>
      <c r="X342" s="6"/>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row>
    <row r="343" spans="1:108" s="11" customFormat="1" ht="12.75" hidden="1" customHeight="1" outlineLevel="4">
      <c r="A343" s="104" t="s">
        <v>43</v>
      </c>
      <c r="B343" s="13">
        <v>255</v>
      </c>
      <c r="C343" s="20"/>
      <c r="D343" s="103" t="str">
        <f>"&lt;" &amp; A343 &amp; "&gt;" &amp; TEXT(B343,"0.000000") &amp; "&lt;/" &amp; A343 &amp; "&gt;"</f>
        <v>&lt;ColorR&gt;255.000000&lt;/ColorR&gt;</v>
      </c>
      <c r="E343" s="174" t="str">
        <f t="shared" si="10"/>
        <v>Yes</v>
      </c>
      <c r="F343" s="6" t="s">
        <v>624</v>
      </c>
      <c r="G343" s="6"/>
      <c r="H343" s="17"/>
      <c r="I343" s="17"/>
      <c r="J343" s="17"/>
      <c r="K343" s="17"/>
      <c r="L343" s="17"/>
      <c r="M343" s="6"/>
      <c r="N343" s="17"/>
      <c r="O343" s="17"/>
      <c r="P343" s="17"/>
      <c r="Q343" s="17"/>
      <c r="R343" s="17"/>
      <c r="S343" s="17"/>
      <c r="T343" s="17"/>
      <c r="U343" s="17"/>
      <c r="V343" s="17"/>
      <c r="W343" s="17"/>
      <c r="X343" s="6"/>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row>
    <row r="344" spans="1:108" s="11" customFormat="1" ht="12.75" hidden="1" customHeight="1" outlineLevel="4">
      <c r="A344" s="104" t="s">
        <v>44</v>
      </c>
      <c r="B344" s="13">
        <v>0</v>
      </c>
      <c r="C344" s="20"/>
      <c r="D344" s="103" t="str">
        <f>"&lt;" &amp; A344 &amp; "&gt;" &amp; TEXT(B344,"0.000000") &amp; "&lt;/" &amp; A344 &amp; "&gt;"</f>
        <v>&lt;ColorG&gt;0.000000&lt;/ColorG&gt;</v>
      </c>
      <c r="E344" s="174" t="str">
        <f t="shared" si="10"/>
        <v>Yes</v>
      </c>
      <c r="F344" s="6" t="s">
        <v>625</v>
      </c>
      <c r="G344" s="6"/>
      <c r="H344" s="17"/>
      <c r="I344" s="17"/>
      <c r="J344" s="17"/>
      <c r="K344" s="17"/>
      <c r="L344" s="17"/>
      <c r="M344" s="6"/>
      <c r="N344" s="17"/>
      <c r="O344" s="17"/>
      <c r="P344" s="17"/>
      <c r="Q344" s="17"/>
      <c r="R344" s="17"/>
      <c r="S344" s="17"/>
      <c r="T344" s="17"/>
      <c r="U344" s="17"/>
      <c r="V344" s="17"/>
      <c r="W344" s="17"/>
      <c r="X344" s="6"/>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row>
    <row r="345" spans="1:108" s="11" customFormat="1" ht="12.75" hidden="1" customHeight="1" outlineLevel="4">
      <c r="A345" s="104" t="s">
        <v>45</v>
      </c>
      <c r="B345" s="13">
        <v>0</v>
      </c>
      <c r="C345" s="20"/>
      <c r="D345" s="103" t="str">
        <f>"&lt;" &amp; A345 &amp; "&gt;" &amp; TEXT(B345,"0.000000") &amp; "&lt;/" &amp; A345 &amp; "&gt;"</f>
        <v>&lt;ColorB&gt;0.000000&lt;/ColorB&gt;</v>
      </c>
      <c r="E345" s="174" t="str">
        <f t="shared" si="10"/>
        <v>Yes</v>
      </c>
      <c r="F345" s="6" t="s">
        <v>626</v>
      </c>
      <c r="G345" s="6"/>
      <c r="H345" s="17"/>
      <c r="I345" s="17"/>
      <c r="J345" s="17"/>
      <c r="K345" s="17"/>
      <c r="L345" s="17"/>
      <c r="M345" s="6"/>
      <c r="N345" s="17"/>
      <c r="O345" s="17"/>
      <c r="P345" s="17"/>
      <c r="Q345" s="17"/>
      <c r="R345" s="17"/>
      <c r="S345" s="17"/>
      <c r="T345" s="17"/>
      <c r="U345" s="17"/>
      <c r="V345" s="17"/>
      <c r="W345" s="17"/>
      <c r="X345" s="6"/>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row>
    <row r="346" spans="1:108" s="11" customFormat="1" ht="12.75" hidden="1" customHeight="1" outlineLevel="4">
      <c r="A346" s="104" t="s">
        <v>46</v>
      </c>
      <c r="B346" s="28">
        <v>0</v>
      </c>
      <c r="C346" s="20"/>
      <c r="D346" s="103" t="str">
        <f>"&lt;" &amp; A346 &amp; "&gt;" &amp; TEXT(B346,0) &amp; "&lt;/" &amp; A346 &amp; "&gt;"</f>
        <v>&lt;Symmetry&gt;0&lt;/Symmetry&gt;</v>
      </c>
      <c r="E346" s="174" t="str">
        <f t="shared" si="10"/>
        <v>Yes</v>
      </c>
      <c r="F346" s="6" t="s">
        <v>720</v>
      </c>
      <c r="G346" s="6"/>
      <c r="H346" s="17"/>
      <c r="I346" s="17"/>
      <c r="J346" s="17"/>
      <c r="K346" s="17"/>
      <c r="L346" s="17"/>
      <c r="M346" s="6"/>
      <c r="N346" s="17"/>
      <c r="O346" s="17"/>
      <c r="P346" s="17"/>
      <c r="Q346" s="17"/>
      <c r="R346" s="17"/>
      <c r="S346" s="17"/>
      <c r="T346" s="17"/>
      <c r="U346" s="17"/>
      <c r="V346" s="17"/>
      <c r="W346" s="17"/>
      <c r="X346" s="6"/>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row>
    <row r="347" spans="1:108" s="11" customFormat="1" ht="12.75" hidden="1" customHeight="1" outlineLevel="4">
      <c r="A347" s="104" t="s">
        <v>47</v>
      </c>
      <c r="B347" s="100" t="s">
        <v>12</v>
      </c>
      <c r="C347" s="20"/>
      <c r="D347" s="134" t="str">
        <f>"&lt;" &amp; A347 &amp; "&gt;" &amp;IF(B347="Yes",1,0) &amp;"&lt;/" &amp;A347&amp;"&gt;"</f>
        <v>&lt;RelXFormFlag&gt;0&lt;/RelXFormFlag&gt;</v>
      </c>
      <c r="E347" s="174" t="str">
        <f t="shared" si="10"/>
        <v>Yes</v>
      </c>
      <c r="F347" s="6" t="s">
        <v>628</v>
      </c>
      <c r="G347" s="6"/>
      <c r="H347" s="17"/>
      <c r="I347" s="17"/>
      <c r="J347" s="17"/>
      <c r="K347" s="17"/>
      <c r="L347" s="17"/>
      <c r="M347" s="6"/>
      <c r="N347" s="17"/>
      <c r="O347" s="17"/>
      <c r="P347" s="17"/>
      <c r="Q347" s="17"/>
      <c r="R347" s="17"/>
      <c r="S347" s="17"/>
      <c r="T347" s="17"/>
      <c r="U347" s="17"/>
      <c r="V347" s="17"/>
      <c r="W347" s="17"/>
      <c r="X347" s="6"/>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row>
    <row r="348" spans="1:108" s="11" customFormat="1" ht="12.75" hidden="1" customHeight="1" outlineLevel="4">
      <c r="A348" s="104" t="s">
        <v>48</v>
      </c>
      <c r="B348" s="28">
        <v>1</v>
      </c>
      <c r="C348" s="20"/>
      <c r="D348" s="103" t="str">
        <f>"&lt;" &amp; A348 &amp; "&gt;" &amp; TEXT(B348,0) &amp; "&lt;/" &amp; A348 &amp; "&gt;"</f>
        <v>&lt;MaterialID&gt;1&lt;/MaterialID&gt;</v>
      </c>
      <c r="E348" s="174" t="str">
        <f t="shared" si="10"/>
        <v>Yes</v>
      </c>
      <c r="F348" s="6" t="s">
        <v>629</v>
      </c>
      <c r="G348" s="6"/>
      <c r="H348" s="17"/>
      <c r="I348" s="17"/>
      <c r="J348" s="17"/>
      <c r="K348" s="17"/>
      <c r="L348" s="17"/>
      <c r="M348" s="6"/>
      <c r="N348" s="17"/>
      <c r="O348" s="17"/>
      <c r="P348" s="17"/>
      <c r="Q348" s="17"/>
      <c r="R348" s="17"/>
      <c r="S348" s="17"/>
      <c r="T348" s="17"/>
      <c r="U348" s="17"/>
      <c r="V348" s="17"/>
      <c r="W348" s="17"/>
      <c r="X348" s="6"/>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row>
    <row r="349" spans="1:108" s="11" customFormat="1" ht="12.75" hidden="1" customHeight="1" outlineLevel="4">
      <c r="A349" s="104" t="s">
        <v>49</v>
      </c>
      <c r="B349" s="100" t="s">
        <v>11</v>
      </c>
      <c r="C349" s="20"/>
      <c r="D349" s="134" t="str">
        <f>"&lt;" &amp; A349 &amp; "&gt;" &amp;IF(B349="Yes",1,0) &amp;"&lt;/" &amp;A349&amp;"&gt;"</f>
        <v>&lt;OutputFlag&gt;1&lt;/OutputFlag&gt;</v>
      </c>
      <c r="E349" s="174" t="str">
        <f t="shared" si="10"/>
        <v>Yes</v>
      </c>
      <c r="F349" s="6" t="s">
        <v>630</v>
      </c>
      <c r="G349" s="6"/>
      <c r="H349" s="17"/>
      <c r="I349" s="17"/>
      <c r="J349" s="17"/>
      <c r="K349" s="17"/>
      <c r="L349" s="17"/>
      <c r="M349" s="6"/>
      <c r="N349" s="17"/>
      <c r="O349" s="17"/>
      <c r="P349" s="17"/>
      <c r="Q349" s="17"/>
      <c r="R349" s="17"/>
      <c r="S349" s="17"/>
      <c r="T349" s="17"/>
      <c r="U349" s="17"/>
      <c r="V349" s="17"/>
      <c r="W349" s="17"/>
      <c r="X349" s="6"/>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row>
    <row r="350" spans="1:108" s="11" customFormat="1" ht="12.75" hidden="1" customHeight="1" outlineLevel="4">
      <c r="A350" s="104" t="s">
        <v>50</v>
      </c>
      <c r="B350" s="28">
        <v>0</v>
      </c>
      <c r="C350" s="20"/>
      <c r="D350" s="103" t="str">
        <f>"&lt;" &amp; A350 &amp; "&gt;" &amp; TEXT(B350,0) &amp; "&lt;/" &amp; A350 &amp; "&gt;"</f>
        <v>&lt;OutputNameID&gt;0&lt;/OutputNameID&gt;</v>
      </c>
      <c r="E350" s="174" t="str">
        <f t="shared" si="10"/>
        <v>Yes</v>
      </c>
      <c r="F350" s="6" t="s">
        <v>631</v>
      </c>
      <c r="G350" s="6"/>
      <c r="H350" s="17"/>
      <c r="I350" s="17"/>
      <c r="J350" s="17"/>
      <c r="K350" s="17"/>
      <c r="L350" s="17"/>
      <c r="M350" s="6"/>
      <c r="N350" s="17"/>
      <c r="O350" s="17"/>
      <c r="P350" s="17"/>
      <c r="Q350" s="17"/>
      <c r="R350" s="17"/>
      <c r="S350" s="17"/>
      <c r="T350" s="17"/>
      <c r="U350" s="17"/>
      <c r="V350" s="17"/>
      <c r="W350" s="17"/>
      <c r="X350" s="6"/>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row>
    <row r="351" spans="1:108" s="11" customFormat="1" ht="12.75" hidden="1" customHeight="1" outlineLevel="4">
      <c r="A351" s="104" t="s">
        <v>51</v>
      </c>
      <c r="B351" s="100" t="s">
        <v>11</v>
      </c>
      <c r="C351" s="20"/>
      <c r="D351" s="134" t="str">
        <f>"&lt;" &amp; A351 &amp; "&gt;" &amp;IF(B351="Yes",1,0) &amp;"&lt;/" &amp;A351&amp;"&gt;"</f>
        <v>&lt;DisplayChildrenFlag&gt;1&lt;/DisplayChildrenFlag&gt;</v>
      </c>
      <c r="E351" s="174" t="str">
        <f t="shared" si="10"/>
        <v>Yes</v>
      </c>
      <c r="F351" s="6" t="s">
        <v>632</v>
      </c>
      <c r="G351" s="6"/>
      <c r="H351" s="17"/>
      <c r="I351" s="17"/>
      <c r="J351" s="17"/>
      <c r="K351" s="17"/>
      <c r="L351" s="17"/>
      <c r="M351" s="6"/>
      <c r="N351" s="17"/>
      <c r="O351" s="17"/>
      <c r="P351" s="17"/>
      <c r="Q351" s="17"/>
      <c r="R351" s="17"/>
      <c r="S351" s="17"/>
      <c r="T351" s="17"/>
      <c r="U351" s="17"/>
      <c r="V351" s="17"/>
      <c r="W351" s="17"/>
      <c r="X351" s="6"/>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row>
    <row r="352" spans="1:108" s="11" customFormat="1" ht="12.75" hidden="1" customHeight="1" outlineLevel="4">
      <c r="A352" s="104" t="s">
        <v>52</v>
      </c>
      <c r="B352" s="28">
        <v>21</v>
      </c>
      <c r="C352" s="20"/>
      <c r="D352" s="103" t="str">
        <f>"&lt;" &amp; A352 &amp; "&gt;" &amp; TEXT(B352,0) &amp; "&lt;/" &amp; A352 &amp; "&gt;"</f>
        <v>&lt;NumPnts&gt;21&lt;/NumPnts&gt;</v>
      </c>
      <c r="E352" s="174" t="str">
        <f t="shared" si="10"/>
        <v>Yes</v>
      </c>
      <c r="F352" s="6" t="s">
        <v>633</v>
      </c>
      <c r="G352" s="6"/>
      <c r="H352" s="17"/>
      <c r="I352" s="17"/>
      <c r="J352" s="17"/>
      <c r="K352" s="17"/>
      <c r="L352" s="17"/>
      <c r="M352" s="6"/>
      <c r="N352" s="17"/>
      <c r="O352" s="17"/>
      <c r="P352" s="17"/>
      <c r="Q352" s="17"/>
      <c r="R352" s="17"/>
      <c r="S352" s="17"/>
      <c r="T352" s="17"/>
      <c r="U352" s="17"/>
      <c r="V352" s="17"/>
      <c r="W352" s="17"/>
      <c r="X352" s="6"/>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row>
    <row r="353" spans="1:108" s="11" customFormat="1" ht="12.75" hidden="1" customHeight="1" outlineLevel="4">
      <c r="A353" s="104" t="s">
        <v>53</v>
      </c>
      <c r="B353" s="28">
        <v>6</v>
      </c>
      <c r="C353" s="20"/>
      <c r="D353" s="103" t="str">
        <f>"&lt;" &amp; A353 &amp; "&gt;" &amp; TEXT(B353,0) &amp; "&lt;/" &amp; A353 &amp; "&gt;"</f>
        <v>&lt;NumXsecs&gt;6&lt;/NumXsecs&gt;</v>
      </c>
      <c r="E353" s="174" t="str">
        <f t="shared" si="10"/>
        <v>Yes</v>
      </c>
      <c r="F353" s="6" t="s">
        <v>634</v>
      </c>
      <c r="G353" s="6"/>
      <c r="H353" s="17"/>
      <c r="I353" s="17"/>
      <c r="J353" s="17"/>
      <c r="K353" s="17"/>
      <c r="L353" s="17"/>
      <c r="M353" s="6"/>
      <c r="N353" s="17"/>
      <c r="O353" s="17"/>
      <c r="P353" s="17"/>
      <c r="Q353" s="17"/>
      <c r="R353" s="17"/>
      <c r="S353" s="17"/>
      <c r="T353" s="17"/>
      <c r="U353" s="17"/>
      <c r="V353" s="17"/>
      <c r="W353" s="17"/>
      <c r="X353" s="6"/>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row>
    <row r="354" spans="1:108" s="11" customFormat="1" ht="12.75" hidden="1" customHeight="1" outlineLevel="4">
      <c r="A354" s="104" t="s">
        <v>54</v>
      </c>
      <c r="B354" s="28">
        <v>0</v>
      </c>
      <c r="C354" s="20"/>
      <c r="D354" s="103" t="str">
        <f>"&lt;" &amp; A354 &amp; "&gt;" &amp; TEXT(B354,0) &amp; "&lt;/" &amp; A354 &amp; "&gt;"</f>
        <v>&lt;MassPrior&gt;0&lt;/MassPrior&gt;</v>
      </c>
      <c r="E354" s="174" t="str">
        <f t="shared" si="10"/>
        <v>Yes</v>
      </c>
      <c r="F354" s="6" t="s">
        <v>635</v>
      </c>
      <c r="G354" s="6"/>
      <c r="H354" s="17"/>
      <c r="I354" s="17"/>
      <c r="J354" s="17"/>
      <c r="K354" s="17"/>
      <c r="L354" s="17"/>
      <c r="M354" s="6"/>
      <c r="N354" s="17"/>
      <c r="O354" s="17"/>
      <c r="P354" s="17"/>
      <c r="Q354" s="17"/>
      <c r="R354" s="17"/>
      <c r="S354" s="17"/>
      <c r="T354" s="17"/>
      <c r="U354" s="17"/>
      <c r="V354" s="17"/>
      <c r="W354" s="17"/>
      <c r="X354" s="6"/>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row>
    <row r="355" spans="1:108" s="11" customFormat="1" ht="12.75" hidden="1" customHeight="1" outlineLevel="4">
      <c r="A355" s="104" t="s">
        <v>55</v>
      </c>
      <c r="B355" s="100" t="s">
        <v>12</v>
      </c>
      <c r="C355" s="20"/>
      <c r="D355" s="134" t="str">
        <f>"&lt;" &amp; A355 &amp; "&gt;" &amp;IF(B355="Yes",1,0) &amp;"&lt;/" &amp;A355&amp;"&gt;"</f>
        <v>&lt;ShellFlag&gt;0&lt;/ShellFlag&gt;</v>
      </c>
      <c r="E355" s="174" t="str">
        <f t="shared" si="10"/>
        <v>Yes</v>
      </c>
      <c r="F355" s="6" t="s">
        <v>636</v>
      </c>
      <c r="G355" s="6"/>
      <c r="H355" s="17"/>
      <c r="I355" s="17"/>
      <c r="J355" s="17"/>
      <c r="K355" s="17"/>
      <c r="L355" s="17"/>
      <c r="M355" s="6"/>
      <c r="N355" s="17"/>
      <c r="O355" s="17"/>
      <c r="P355" s="17"/>
      <c r="Q355" s="17"/>
      <c r="R355" s="17"/>
      <c r="S355" s="17"/>
      <c r="T355" s="17"/>
      <c r="U355" s="17"/>
      <c r="V355" s="17"/>
      <c r="W355" s="17"/>
      <c r="X355" s="6"/>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row>
    <row r="356" spans="1:108" s="11" customFormat="1" ht="12.75" hidden="1" customHeight="1" outlineLevel="4">
      <c r="A356" s="104" t="s">
        <v>56</v>
      </c>
      <c r="B356" s="93">
        <f>pos_V.x</f>
        <v>27.386999999999997</v>
      </c>
      <c r="C356" s="20"/>
      <c r="D356" s="103" t="str">
        <f t="shared" ref="D356:D370" si="11">"&lt;" &amp; A356 &amp; "&gt;" &amp; TEXT(B356,"0.000000") &amp; "&lt;/" &amp; A356 &amp; "&gt;"</f>
        <v>&lt;Tran_X&gt;27.387000&lt;/Tran_X&gt;</v>
      </c>
      <c r="E356" s="174" t="str">
        <f t="shared" si="10"/>
        <v>Yes</v>
      </c>
      <c r="F356" s="6" t="s">
        <v>721</v>
      </c>
      <c r="G356" s="6"/>
      <c r="H356" s="17"/>
      <c r="I356" s="17"/>
      <c r="J356" s="17"/>
      <c r="K356" s="17"/>
      <c r="L356" s="17"/>
      <c r="M356" s="6"/>
      <c r="N356" s="17"/>
      <c r="O356" s="17"/>
      <c r="P356" s="17"/>
      <c r="Q356" s="17"/>
      <c r="R356" s="17"/>
      <c r="S356" s="17"/>
      <c r="T356" s="17"/>
      <c r="U356" s="17"/>
      <c r="V356" s="17"/>
      <c r="W356" s="17"/>
      <c r="X356" s="6"/>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row>
    <row r="357" spans="1:108" s="11" customFormat="1" ht="12.75" hidden="1" customHeight="1" outlineLevel="4">
      <c r="A357" s="104" t="s">
        <v>57</v>
      </c>
      <c r="B357" s="93">
        <f>pos_V.y</f>
        <v>0</v>
      </c>
      <c r="C357" s="20"/>
      <c r="D357" s="103" t="str">
        <f t="shared" si="11"/>
        <v>&lt;Tran_Y&gt;0.000000&lt;/Tran_Y&gt;</v>
      </c>
      <c r="E357" s="174" t="str">
        <f t="shared" si="10"/>
        <v>Yes</v>
      </c>
      <c r="F357" s="6" t="s">
        <v>638</v>
      </c>
      <c r="G357" s="6"/>
      <c r="H357" s="17"/>
      <c r="I357" s="17"/>
      <c r="J357" s="17"/>
      <c r="K357" s="17"/>
      <c r="L357" s="17"/>
      <c r="M357" s="6"/>
      <c r="N357" s="17"/>
      <c r="O357" s="17"/>
      <c r="P357" s="17"/>
      <c r="Q357" s="17"/>
      <c r="R357" s="17"/>
      <c r="S357" s="17"/>
      <c r="T357" s="17"/>
      <c r="U357" s="17"/>
      <c r="V357" s="17"/>
      <c r="W357" s="17"/>
      <c r="X357" s="6"/>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row>
    <row r="358" spans="1:108" s="11" customFormat="1" ht="12.75" hidden="1" customHeight="1" outlineLevel="4">
      <c r="A358" s="104" t="s">
        <v>58</v>
      </c>
      <c r="B358" s="93">
        <f>pos_V.z</f>
        <v>1.98</v>
      </c>
      <c r="C358" s="20"/>
      <c r="D358" s="103" t="str">
        <f t="shared" si="11"/>
        <v>&lt;Tran_Z&gt;1.980000&lt;/Tran_Z&gt;</v>
      </c>
      <c r="E358" s="174" t="str">
        <f t="shared" si="10"/>
        <v>Yes</v>
      </c>
      <c r="F358" s="6" t="s">
        <v>722</v>
      </c>
      <c r="G358" s="6"/>
      <c r="H358" s="17"/>
      <c r="I358" s="17"/>
      <c r="J358" s="17"/>
      <c r="K358" s="17"/>
      <c r="L358" s="17"/>
      <c r="M358" s="6"/>
      <c r="N358" s="17"/>
      <c r="O358" s="17"/>
      <c r="P358" s="17"/>
      <c r="Q358" s="17"/>
      <c r="R358" s="17"/>
      <c r="S358" s="17"/>
      <c r="T358" s="17"/>
      <c r="U358" s="17"/>
      <c r="V358" s="17"/>
      <c r="W358" s="17"/>
      <c r="X358" s="6"/>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row>
    <row r="359" spans="1:108" s="11" customFormat="1" ht="12.75" hidden="1" customHeight="1" outlineLevel="4">
      <c r="A359" s="104" t="s">
        <v>59</v>
      </c>
      <c r="B359" s="13">
        <v>0</v>
      </c>
      <c r="C359" s="20"/>
      <c r="D359" s="103" t="str">
        <f t="shared" si="11"/>
        <v>&lt;TranRel_X&gt;0.000000&lt;/TranRel_X&gt;</v>
      </c>
      <c r="E359" s="174" t="str">
        <f t="shared" si="10"/>
        <v>Yes</v>
      </c>
      <c r="F359" s="6" t="s">
        <v>639</v>
      </c>
      <c r="G359" s="6"/>
      <c r="H359" s="17"/>
      <c r="I359" s="17"/>
      <c r="J359" s="17"/>
      <c r="K359" s="17"/>
      <c r="L359" s="17"/>
      <c r="M359" s="6"/>
      <c r="N359" s="17"/>
      <c r="O359" s="17"/>
      <c r="P359" s="17"/>
      <c r="Q359" s="17"/>
      <c r="R359" s="17"/>
      <c r="S359" s="17"/>
      <c r="T359" s="17"/>
      <c r="U359" s="17"/>
      <c r="V359" s="17"/>
      <c r="W359" s="17"/>
      <c r="X359" s="6"/>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row>
    <row r="360" spans="1:108" s="11" customFormat="1" ht="12.75" hidden="1" customHeight="1" outlineLevel="4">
      <c r="A360" s="104" t="s">
        <v>60</v>
      </c>
      <c r="B360" s="13">
        <v>0</v>
      </c>
      <c r="C360" s="20"/>
      <c r="D360" s="103" t="str">
        <f t="shared" si="11"/>
        <v>&lt;TranRel_Y&gt;0.000000&lt;/TranRel_Y&gt;</v>
      </c>
      <c r="E360" s="174" t="str">
        <f t="shared" si="10"/>
        <v>Yes</v>
      </c>
      <c r="F360" s="6" t="s">
        <v>640</v>
      </c>
      <c r="G360" s="6"/>
      <c r="H360" s="17"/>
      <c r="I360" s="17"/>
      <c r="J360" s="17"/>
      <c r="K360" s="17"/>
      <c r="L360" s="17"/>
      <c r="M360" s="6"/>
      <c r="N360" s="17"/>
      <c r="O360" s="17"/>
      <c r="P360" s="17"/>
      <c r="Q360" s="17"/>
      <c r="R360" s="17"/>
      <c r="S360" s="17"/>
      <c r="T360" s="17"/>
      <c r="U360" s="17"/>
      <c r="V360" s="17"/>
      <c r="W360" s="17"/>
      <c r="X360" s="6"/>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row>
    <row r="361" spans="1:108" s="11" customFormat="1" ht="12.75" hidden="1" customHeight="1" outlineLevel="4">
      <c r="A361" s="104" t="s">
        <v>61</v>
      </c>
      <c r="B361" s="13">
        <v>0</v>
      </c>
      <c r="C361" s="20"/>
      <c r="D361" s="103" t="str">
        <f t="shared" si="11"/>
        <v>&lt;TranRel_Z&gt;0.000000&lt;/TranRel_Z&gt;</v>
      </c>
      <c r="E361" s="174" t="str">
        <f t="shared" si="10"/>
        <v>Yes</v>
      </c>
      <c r="F361" s="6" t="s">
        <v>641</v>
      </c>
      <c r="G361" s="6"/>
      <c r="H361" s="17"/>
      <c r="I361" s="17"/>
      <c r="J361" s="17"/>
      <c r="K361" s="17"/>
      <c r="L361" s="17"/>
      <c r="M361" s="6"/>
      <c r="N361" s="17"/>
      <c r="O361" s="17"/>
      <c r="P361" s="17"/>
      <c r="Q361" s="17"/>
      <c r="R361" s="17"/>
      <c r="S361" s="17"/>
      <c r="T361" s="17"/>
      <c r="U361" s="17"/>
      <c r="V361" s="17"/>
      <c r="W361" s="17"/>
      <c r="X361" s="6"/>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row>
    <row r="362" spans="1:108" s="11" customFormat="1" ht="12.75" hidden="1" customHeight="1" outlineLevel="4">
      <c r="A362" s="104" t="s">
        <v>62</v>
      </c>
      <c r="B362" s="13">
        <v>90</v>
      </c>
      <c r="C362" s="20"/>
      <c r="D362" s="103" t="str">
        <f t="shared" si="11"/>
        <v>&lt;Rot_X&gt;90.000000&lt;/Rot_X&gt;</v>
      </c>
      <c r="E362" s="174" t="str">
        <f t="shared" si="10"/>
        <v>Yes</v>
      </c>
      <c r="F362" s="6" t="s">
        <v>723</v>
      </c>
      <c r="G362" s="6"/>
      <c r="H362" s="17"/>
      <c r="I362" s="17"/>
      <c r="J362" s="17"/>
      <c r="K362" s="17"/>
      <c r="L362" s="17"/>
      <c r="M362" s="6"/>
      <c r="N362" s="17"/>
      <c r="O362" s="17"/>
      <c r="P362" s="17"/>
      <c r="Q362" s="17"/>
      <c r="R362" s="17"/>
      <c r="S362" s="17"/>
      <c r="T362" s="17"/>
      <c r="U362" s="17"/>
      <c r="V362" s="17"/>
      <c r="W362" s="17"/>
      <c r="X362" s="6"/>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row>
    <row r="363" spans="1:108" s="11" customFormat="1" ht="12.75" hidden="1" customHeight="1" outlineLevel="4">
      <c r="A363" s="104" t="s">
        <v>63</v>
      </c>
      <c r="B363" s="13">
        <v>0</v>
      </c>
      <c r="C363" s="20"/>
      <c r="D363" s="103" t="str">
        <f t="shared" si="11"/>
        <v>&lt;Rot_Y&gt;0.000000&lt;/Rot_Y&gt;</v>
      </c>
      <c r="E363" s="174" t="str">
        <f t="shared" si="10"/>
        <v>Yes</v>
      </c>
      <c r="F363" s="6" t="s">
        <v>643</v>
      </c>
      <c r="G363" s="6"/>
      <c r="H363" s="17"/>
      <c r="I363" s="17"/>
      <c r="J363" s="17"/>
      <c r="K363" s="17"/>
      <c r="L363" s="17"/>
      <c r="M363" s="6"/>
      <c r="N363" s="17"/>
      <c r="O363" s="17"/>
      <c r="P363" s="17"/>
      <c r="Q363" s="17"/>
      <c r="R363" s="17"/>
      <c r="S363" s="17"/>
      <c r="T363" s="17"/>
      <c r="U363" s="17"/>
      <c r="V363" s="17"/>
      <c r="W363" s="17"/>
      <c r="X363" s="6"/>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row>
    <row r="364" spans="1:108" s="11" customFormat="1" ht="12.75" hidden="1" customHeight="1" outlineLevel="4">
      <c r="A364" s="104" t="s">
        <v>64</v>
      </c>
      <c r="B364" s="13">
        <v>0</v>
      </c>
      <c r="C364" s="20"/>
      <c r="D364" s="103" t="str">
        <f t="shared" si="11"/>
        <v>&lt;Rot_Z&gt;0.000000&lt;/Rot_Z&gt;</v>
      </c>
      <c r="E364" s="174" t="str">
        <f t="shared" si="10"/>
        <v>Yes</v>
      </c>
      <c r="F364" s="6" t="s">
        <v>644</v>
      </c>
      <c r="G364" s="6"/>
      <c r="H364" s="17"/>
      <c r="I364" s="17"/>
      <c r="J364" s="17"/>
      <c r="K364" s="17"/>
      <c r="L364" s="17"/>
      <c r="M364" s="6"/>
      <c r="N364" s="17"/>
      <c r="O364" s="17"/>
      <c r="P364" s="17"/>
      <c r="Q364" s="17"/>
      <c r="R364" s="17"/>
      <c r="S364" s="17"/>
      <c r="T364" s="17"/>
      <c r="U364" s="17"/>
      <c r="V364" s="17"/>
      <c r="W364" s="17"/>
      <c r="X364" s="6"/>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row>
    <row r="365" spans="1:108" s="11" customFormat="1" ht="12.75" hidden="1" customHeight="1" outlineLevel="4">
      <c r="A365" s="104" t="s">
        <v>65</v>
      </c>
      <c r="B365" s="13">
        <v>0</v>
      </c>
      <c r="C365" s="20"/>
      <c r="D365" s="103" t="str">
        <f t="shared" si="11"/>
        <v>&lt;RotRel_X&gt;0.000000&lt;/RotRel_X&gt;</v>
      </c>
      <c r="E365" s="174" t="str">
        <f t="shared" si="10"/>
        <v>Yes</v>
      </c>
      <c r="F365" s="6" t="s">
        <v>645</v>
      </c>
      <c r="G365" s="6"/>
      <c r="H365" s="17"/>
      <c r="I365" s="17"/>
      <c r="J365" s="17"/>
      <c r="K365" s="17"/>
      <c r="L365" s="17"/>
      <c r="M365" s="6"/>
      <c r="N365" s="17"/>
      <c r="O365" s="17"/>
      <c r="P365" s="17"/>
      <c r="Q365" s="17"/>
      <c r="R365" s="17"/>
      <c r="S365" s="17"/>
      <c r="T365" s="17"/>
      <c r="U365" s="17"/>
      <c r="V365" s="17"/>
      <c r="W365" s="17"/>
      <c r="X365" s="6"/>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row>
    <row r="366" spans="1:108" s="11" customFormat="1" ht="12.75" hidden="1" customHeight="1" outlineLevel="4">
      <c r="A366" s="104" t="s">
        <v>66</v>
      </c>
      <c r="B366" s="13">
        <v>0</v>
      </c>
      <c r="C366" s="20"/>
      <c r="D366" s="103" t="str">
        <f t="shared" si="11"/>
        <v>&lt;RotRel_Y&gt;0.000000&lt;/RotRel_Y&gt;</v>
      </c>
      <c r="E366" s="174" t="str">
        <f t="shared" si="10"/>
        <v>Yes</v>
      </c>
      <c r="F366" s="6" t="s">
        <v>646</v>
      </c>
      <c r="G366" s="6"/>
      <c r="H366" s="17"/>
      <c r="I366" s="17"/>
      <c r="J366" s="17"/>
      <c r="K366" s="17"/>
      <c r="L366" s="17"/>
      <c r="M366" s="6"/>
      <c r="N366" s="17"/>
      <c r="O366" s="17"/>
      <c r="P366" s="17"/>
      <c r="Q366" s="17"/>
      <c r="R366" s="17"/>
      <c r="S366" s="17"/>
      <c r="T366" s="17"/>
      <c r="U366" s="17"/>
      <c r="V366" s="17"/>
      <c r="W366" s="17"/>
      <c r="X366" s="6"/>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row>
    <row r="367" spans="1:108" s="11" customFormat="1" ht="12.75" hidden="1" customHeight="1" outlineLevel="4">
      <c r="A367" s="104" t="s">
        <v>67</v>
      </c>
      <c r="B367" s="13">
        <v>0</v>
      </c>
      <c r="C367" s="20"/>
      <c r="D367" s="103" t="str">
        <f t="shared" si="11"/>
        <v>&lt;RotRel_Z&gt;0.000000&lt;/RotRel_Z&gt;</v>
      </c>
      <c r="E367" s="174" t="str">
        <f t="shared" si="10"/>
        <v>Yes</v>
      </c>
      <c r="F367" s="6" t="s">
        <v>647</v>
      </c>
      <c r="G367" s="6"/>
      <c r="H367" s="17"/>
      <c r="I367" s="17"/>
      <c r="J367" s="17"/>
      <c r="K367" s="17"/>
      <c r="L367" s="17"/>
      <c r="M367" s="6"/>
      <c r="N367" s="17"/>
      <c r="O367" s="17"/>
      <c r="P367" s="17"/>
      <c r="Q367" s="17"/>
      <c r="R367" s="17"/>
      <c r="S367" s="17"/>
      <c r="T367" s="17"/>
      <c r="U367" s="17"/>
      <c r="V367" s="17"/>
      <c r="W367" s="17"/>
      <c r="X367" s="6"/>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row>
    <row r="368" spans="1:108" s="11" customFormat="1" ht="12.75" hidden="1" customHeight="1" outlineLevel="4">
      <c r="A368" s="104" t="s">
        <v>68</v>
      </c>
      <c r="B368" s="101">
        <v>0</v>
      </c>
      <c r="C368" s="20"/>
      <c r="D368" s="103" t="str">
        <f t="shared" si="11"/>
        <v>&lt;Origin&gt;0.000000&lt;/Origin&gt;</v>
      </c>
      <c r="E368" s="174" t="str">
        <f t="shared" si="10"/>
        <v>Yes</v>
      </c>
      <c r="F368" s="6" t="s">
        <v>648</v>
      </c>
      <c r="G368" s="6"/>
      <c r="H368" s="17"/>
      <c r="I368" s="17"/>
      <c r="J368" s="17"/>
      <c r="K368" s="17"/>
      <c r="L368" s="17"/>
      <c r="M368" s="6"/>
      <c r="N368" s="17"/>
      <c r="O368" s="17"/>
      <c r="P368" s="17"/>
      <c r="Q368" s="17"/>
      <c r="R368" s="17"/>
      <c r="S368" s="17"/>
      <c r="T368" s="17"/>
      <c r="U368" s="17"/>
      <c r="V368" s="17"/>
      <c r="W368" s="17"/>
      <c r="X368" s="6"/>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row>
    <row r="369" spans="1:108" s="11" customFormat="1" ht="12.75" hidden="1" customHeight="1" outlineLevel="4">
      <c r="A369" s="104" t="s">
        <v>69</v>
      </c>
      <c r="B369" s="101">
        <v>1</v>
      </c>
      <c r="C369" s="20"/>
      <c r="D369" s="103" t="str">
        <f t="shared" si="11"/>
        <v>&lt;Density&gt;1.000000&lt;/Density&gt;</v>
      </c>
      <c r="E369" s="174" t="str">
        <f t="shared" si="10"/>
        <v>Yes</v>
      </c>
      <c r="F369" s="6" t="s">
        <v>649</v>
      </c>
      <c r="G369" s="6"/>
      <c r="H369" s="17"/>
      <c r="I369" s="17"/>
      <c r="J369" s="17"/>
      <c r="K369" s="17"/>
      <c r="L369" s="17"/>
      <c r="M369" s="6"/>
      <c r="N369" s="17"/>
      <c r="O369" s="17"/>
      <c r="P369" s="17"/>
      <c r="Q369" s="17"/>
      <c r="R369" s="17"/>
      <c r="S369" s="17"/>
      <c r="T369" s="17"/>
      <c r="U369" s="17"/>
      <c r="V369" s="17"/>
      <c r="W369" s="17"/>
      <c r="X369" s="6"/>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row>
    <row r="370" spans="1:108" s="11" customFormat="1" ht="12.75" hidden="1" customHeight="1" outlineLevel="4">
      <c r="A370" s="104" t="s">
        <v>70</v>
      </c>
      <c r="B370" s="101">
        <v>1</v>
      </c>
      <c r="C370" s="20"/>
      <c r="D370" s="103" t="str">
        <f t="shared" si="11"/>
        <v>&lt;ShellMassArea&gt;1.000000&lt;/ShellMassArea&gt;</v>
      </c>
      <c r="E370" s="174" t="str">
        <f t="shared" si="10"/>
        <v>Yes</v>
      </c>
      <c r="F370" s="6" t="s">
        <v>650</v>
      </c>
      <c r="G370" s="6"/>
      <c r="H370" s="17"/>
      <c r="I370" s="17"/>
      <c r="J370" s="17"/>
      <c r="K370" s="17"/>
      <c r="L370" s="17"/>
      <c r="M370" s="6"/>
      <c r="N370" s="17"/>
      <c r="O370" s="17"/>
      <c r="P370" s="17"/>
      <c r="Q370" s="17"/>
      <c r="R370" s="17"/>
      <c r="S370" s="17"/>
      <c r="T370" s="17"/>
      <c r="U370" s="17"/>
      <c r="V370" s="17"/>
      <c r="W370" s="17"/>
      <c r="X370" s="6"/>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row>
    <row r="371" spans="1:108" s="11" customFormat="1" ht="12.75" hidden="1" customHeight="1" outlineLevel="4">
      <c r="A371" s="104" t="s">
        <v>71</v>
      </c>
      <c r="B371" s="100" t="s">
        <v>12</v>
      </c>
      <c r="C371" s="20"/>
      <c r="D371" s="134" t="str">
        <f>"&lt;" &amp; A371 &amp; "&gt;" &amp;IF(B371="Yes",1,0) &amp;"&lt;/" &amp;A371&amp;"&gt;"</f>
        <v>&lt;RefFlag&gt;0&lt;/RefFlag&gt;</v>
      </c>
      <c r="E371" s="174" t="str">
        <f t="shared" si="10"/>
        <v>Yes</v>
      </c>
      <c r="F371" s="6" t="s">
        <v>651</v>
      </c>
      <c r="G371" s="6"/>
      <c r="H371" s="17"/>
      <c r="I371" s="17"/>
      <c r="J371" s="17"/>
      <c r="K371" s="17"/>
      <c r="L371" s="17"/>
      <c r="M371" s="6"/>
      <c r="N371" s="17"/>
      <c r="O371" s="17"/>
      <c r="P371" s="17"/>
      <c r="Q371" s="17"/>
      <c r="R371" s="17"/>
      <c r="S371" s="17"/>
      <c r="T371" s="17"/>
      <c r="U371" s="17"/>
      <c r="V371" s="17"/>
      <c r="W371" s="17"/>
      <c r="X371" s="6"/>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row>
    <row r="372" spans="1:108" s="11" customFormat="1" ht="12.75" hidden="1" customHeight="1" outlineLevel="4">
      <c r="A372" s="104" t="s">
        <v>72</v>
      </c>
      <c r="B372" s="101">
        <v>100</v>
      </c>
      <c r="C372" s="20"/>
      <c r="D372" s="103" t="str">
        <f>"&lt;" &amp; A372 &amp; "&gt;" &amp; TEXT(B372,"0.000000") &amp; "&lt;/" &amp; A372 &amp; "&gt;"</f>
        <v>&lt;RefArea&gt;100.000000&lt;/RefArea&gt;</v>
      </c>
      <c r="E372" s="174" t="str">
        <f t="shared" si="10"/>
        <v>Yes</v>
      </c>
      <c r="F372" s="6" t="s">
        <v>724</v>
      </c>
      <c r="G372" s="6"/>
      <c r="H372" s="17"/>
      <c r="I372" s="17"/>
      <c r="J372" s="17"/>
      <c r="K372" s="17"/>
      <c r="L372" s="17"/>
      <c r="M372" s="6"/>
      <c r="N372" s="17"/>
      <c r="O372" s="17"/>
      <c r="P372" s="17"/>
      <c r="Q372" s="17"/>
      <c r="R372" s="17"/>
      <c r="S372" s="17"/>
      <c r="T372" s="17"/>
      <c r="U372" s="17"/>
      <c r="V372" s="17"/>
      <c r="W372" s="17"/>
      <c r="X372" s="6"/>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row>
    <row r="373" spans="1:108" s="11" customFormat="1" ht="12.75" hidden="1" customHeight="1" outlineLevel="4">
      <c r="A373" s="104" t="s">
        <v>73</v>
      </c>
      <c r="B373" s="101">
        <v>10</v>
      </c>
      <c r="C373" s="20"/>
      <c r="D373" s="103" t="str">
        <f>"&lt;" &amp; A373 &amp; "&gt;" &amp; TEXT(B373,"0.000000") &amp; "&lt;/" &amp; A373 &amp; "&gt;"</f>
        <v>&lt;RefSpan&gt;10.000000&lt;/RefSpan&gt;</v>
      </c>
      <c r="E373" s="174" t="str">
        <f t="shared" si="10"/>
        <v>Yes</v>
      </c>
      <c r="F373" s="6" t="s">
        <v>653</v>
      </c>
      <c r="G373" s="6"/>
      <c r="H373" s="17"/>
      <c r="I373" s="17"/>
      <c r="J373" s="17"/>
      <c r="K373" s="17"/>
      <c r="L373" s="17"/>
      <c r="M373" s="6"/>
      <c r="N373" s="17"/>
      <c r="O373" s="17"/>
      <c r="P373" s="17"/>
      <c r="Q373" s="17"/>
      <c r="R373" s="17"/>
      <c r="S373" s="17"/>
      <c r="T373" s="17"/>
      <c r="U373" s="17"/>
      <c r="V373" s="17"/>
      <c r="W373" s="17"/>
      <c r="X373" s="6"/>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row>
    <row r="374" spans="1:108" s="11" customFormat="1" ht="12.75" hidden="1" customHeight="1" outlineLevel="4">
      <c r="A374" s="104" t="s">
        <v>74</v>
      </c>
      <c r="B374" s="101">
        <v>1</v>
      </c>
      <c r="C374" s="20"/>
      <c r="D374" s="103" t="str">
        <f>"&lt;" &amp; A374 &amp; "&gt;" &amp; TEXT(B374,"0.000000") &amp; "&lt;/" &amp; A374 &amp; "&gt;"</f>
        <v>&lt;RefCbar&gt;1.000000&lt;/RefCbar&gt;</v>
      </c>
      <c r="E374" s="174" t="str">
        <f t="shared" si="10"/>
        <v>Yes</v>
      </c>
      <c r="F374" s="6" t="s">
        <v>654</v>
      </c>
      <c r="G374" s="6"/>
      <c r="H374" s="17"/>
      <c r="I374" s="17"/>
      <c r="J374" s="17"/>
      <c r="K374" s="17"/>
      <c r="L374" s="17"/>
      <c r="M374" s="6"/>
      <c r="N374" s="17"/>
      <c r="O374" s="17"/>
      <c r="P374" s="17"/>
      <c r="Q374" s="17"/>
      <c r="R374" s="17"/>
      <c r="S374" s="17"/>
      <c r="T374" s="17"/>
      <c r="U374" s="17"/>
      <c r="V374" s="17"/>
      <c r="W374" s="17"/>
      <c r="X374" s="6"/>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row>
    <row r="375" spans="1:108" s="11" customFormat="1" ht="12.75" hidden="1" customHeight="1" outlineLevel="4">
      <c r="A375" s="104" t="s">
        <v>75</v>
      </c>
      <c r="B375" s="100" t="s">
        <v>11</v>
      </c>
      <c r="C375" s="20"/>
      <c r="D375" s="134" t="str">
        <f>"&lt;" &amp; A375 &amp; "&gt;" &amp;IF(B375="Yes",1,0) &amp;"&lt;/" &amp;A375&amp;"&gt;"</f>
        <v>&lt;AutoRefAreaFlag&gt;1&lt;/AutoRefAreaFlag&gt;</v>
      </c>
      <c r="E375" s="174" t="str">
        <f t="shared" si="10"/>
        <v>Yes</v>
      </c>
      <c r="F375" s="6" t="s">
        <v>655</v>
      </c>
      <c r="G375" s="6"/>
      <c r="H375" s="17"/>
      <c r="I375" s="17"/>
      <c r="J375" s="17"/>
      <c r="K375" s="17"/>
      <c r="L375" s="17"/>
      <c r="M375" s="6"/>
      <c r="N375" s="17"/>
      <c r="O375" s="17"/>
      <c r="P375" s="17"/>
      <c r="Q375" s="17"/>
      <c r="R375" s="17"/>
      <c r="S375" s="17"/>
      <c r="T375" s="17"/>
      <c r="U375" s="17"/>
      <c r="V375" s="17"/>
      <c r="W375" s="17"/>
      <c r="X375" s="6"/>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row>
    <row r="376" spans="1:108" s="11" customFormat="1" ht="12.75" hidden="1" customHeight="1" outlineLevel="4">
      <c r="A376" s="104" t="s">
        <v>76</v>
      </c>
      <c r="B376" s="100" t="s">
        <v>11</v>
      </c>
      <c r="C376" s="20"/>
      <c r="D376" s="134" t="str">
        <f>"&lt;" &amp; A376 &amp; "&gt;" &amp;IF(B376="Yes",1,0) &amp;"&lt;/" &amp;A376&amp;"&gt;"</f>
        <v>&lt;AutoRefSpanFlag&gt;1&lt;/AutoRefSpanFlag&gt;</v>
      </c>
      <c r="E376" s="174" t="str">
        <f t="shared" si="10"/>
        <v>Yes</v>
      </c>
      <c r="F376" s="6" t="s">
        <v>656</v>
      </c>
      <c r="G376" s="6"/>
      <c r="H376" s="17"/>
      <c r="I376" s="17"/>
      <c r="J376" s="17"/>
      <c r="K376" s="17"/>
      <c r="L376" s="17"/>
      <c r="M376" s="6"/>
      <c r="N376" s="17"/>
      <c r="O376" s="17"/>
      <c r="P376" s="17"/>
      <c r="Q376" s="17"/>
      <c r="R376" s="17"/>
      <c r="S376" s="17"/>
      <c r="T376" s="17"/>
      <c r="U376" s="17"/>
      <c r="V376" s="17"/>
      <c r="W376" s="17"/>
      <c r="X376" s="6"/>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row>
    <row r="377" spans="1:108" s="11" customFormat="1" ht="12.75" hidden="1" customHeight="1" outlineLevel="4">
      <c r="A377" s="104" t="s">
        <v>77</v>
      </c>
      <c r="B377" s="100" t="s">
        <v>11</v>
      </c>
      <c r="C377" s="20"/>
      <c r="D377" s="134" t="str">
        <f>"&lt;" &amp; A377 &amp; "&gt;" &amp;IF(B377="Yes",1,0) &amp;"&lt;/" &amp;A377&amp;"&gt;"</f>
        <v>&lt;AutoRefCbarFlag&gt;1&lt;/AutoRefCbarFlag&gt;</v>
      </c>
      <c r="E377" s="174" t="str">
        <f t="shared" si="10"/>
        <v>Yes</v>
      </c>
      <c r="F377" s="6" t="s">
        <v>657</v>
      </c>
      <c r="G377" s="6"/>
      <c r="H377" s="17"/>
      <c r="I377" s="17"/>
      <c r="J377" s="17"/>
      <c r="K377" s="17"/>
      <c r="L377" s="17"/>
      <c r="M377" s="6"/>
      <c r="N377" s="17"/>
      <c r="O377" s="17"/>
      <c r="P377" s="17"/>
      <c r="Q377" s="17"/>
      <c r="R377" s="17"/>
      <c r="S377" s="17"/>
      <c r="T377" s="17"/>
      <c r="U377" s="17"/>
      <c r="V377" s="17"/>
      <c r="W377" s="17"/>
      <c r="X377" s="6"/>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row>
    <row r="378" spans="1:108" s="11" customFormat="1" ht="12.75" hidden="1" customHeight="1" outlineLevel="4">
      <c r="A378" s="104" t="s">
        <v>78</v>
      </c>
      <c r="B378" s="101">
        <v>0</v>
      </c>
      <c r="C378" s="20"/>
      <c r="D378" s="103" t="str">
        <f>"&lt;" &amp; A378 &amp; "&gt;" &amp; TEXT(B378,"0.000000") &amp; "&lt;/" &amp; A378 &amp; "&gt;"</f>
        <v>&lt;AeroCenter_X&gt;0.000000&lt;/AeroCenter_X&gt;</v>
      </c>
      <c r="E378" s="174" t="str">
        <f t="shared" si="10"/>
        <v>Yes</v>
      </c>
      <c r="F378" s="6" t="s">
        <v>658</v>
      </c>
      <c r="G378" s="6"/>
      <c r="H378" s="17"/>
      <c r="I378" s="17"/>
      <c r="J378" s="17"/>
      <c r="K378" s="17"/>
      <c r="L378" s="17"/>
      <c r="M378" s="6"/>
      <c r="N378" s="17"/>
      <c r="O378" s="17"/>
      <c r="P378" s="17"/>
      <c r="Q378" s="17"/>
      <c r="R378" s="17"/>
      <c r="S378" s="17"/>
      <c r="T378" s="17"/>
      <c r="U378" s="17"/>
      <c r="V378" s="17"/>
      <c r="W378" s="17"/>
      <c r="X378" s="6"/>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row>
    <row r="379" spans="1:108" s="11" customFormat="1" ht="12.75" hidden="1" customHeight="1" outlineLevel="4">
      <c r="A379" s="104" t="s">
        <v>79</v>
      </c>
      <c r="B379" s="101">
        <v>0</v>
      </c>
      <c r="C379" s="20"/>
      <c r="D379" s="103" t="str">
        <f>"&lt;" &amp; A379 &amp; "&gt;" &amp; TEXT(B379,"0.000000") &amp; "&lt;/" &amp; A379 &amp; "&gt;"</f>
        <v>&lt;AeroCenter_Y&gt;0.000000&lt;/AeroCenter_Y&gt;</v>
      </c>
      <c r="E379" s="174" t="str">
        <f t="shared" si="10"/>
        <v>Yes</v>
      </c>
      <c r="F379" s="6" t="s">
        <v>659</v>
      </c>
      <c r="G379" s="6"/>
      <c r="H379" s="17"/>
      <c r="I379" s="17"/>
      <c r="J379" s="17"/>
      <c r="K379" s="17"/>
      <c r="L379" s="17"/>
      <c r="M379" s="6"/>
      <c r="N379" s="17"/>
      <c r="O379" s="17"/>
      <c r="P379" s="17"/>
      <c r="Q379" s="17"/>
      <c r="R379" s="17"/>
      <c r="S379" s="17"/>
      <c r="T379" s="17"/>
      <c r="U379" s="17"/>
      <c r="V379" s="17"/>
      <c r="W379" s="17"/>
      <c r="X379" s="6"/>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row>
    <row r="380" spans="1:108" s="11" customFormat="1" ht="12.75" hidden="1" customHeight="1" outlineLevel="4">
      <c r="A380" s="104" t="s">
        <v>80</v>
      </c>
      <c r="B380" s="101">
        <v>0</v>
      </c>
      <c r="C380" s="20"/>
      <c r="D380" s="103" t="str">
        <f>"&lt;" &amp; A380 &amp; "&gt;" &amp; TEXT(B380,"0.000000") &amp; "&lt;/" &amp; A380 &amp; "&gt;"</f>
        <v>&lt;AeroCenter_Z&gt;0.000000&lt;/AeroCenter_Z&gt;</v>
      </c>
      <c r="E380" s="174" t="str">
        <f t="shared" si="10"/>
        <v>Yes</v>
      </c>
      <c r="F380" s="6" t="s">
        <v>660</v>
      </c>
      <c r="G380" s="6"/>
      <c r="H380" s="17"/>
      <c r="I380" s="17"/>
      <c r="J380" s="17"/>
      <c r="K380" s="17"/>
      <c r="L380" s="17"/>
      <c r="M380" s="6"/>
      <c r="N380" s="17"/>
      <c r="O380" s="17"/>
      <c r="P380" s="17"/>
      <c r="Q380" s="17"/>
      <c r="R380" s="17"/>
      <c r="S380" s="17"/>
      <c r="T380" s="17"/>
      <c r="U380" s="17"/>
      <c r="V380" s="17"/>
      <c r="W380" s="17"/>
      <c r="X380" s="6"/>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row>
    <row r="381" spans="1:108" s="11" customFormat="1" ht="12.75" hidden="1" customHeight="1" outlineLevel="4">
      <c r="A381" s="104" t="s">
        <v>81</v>
      </c>
      <c r="B381" s="100" t="s">
        <v>11</v>
      </c>
      <c r="C381" s="20"/>
      <c r="D381" s="134" t="str">
        <f>"&lt;" &amp; A381 &amp; "&gt;" &amp;IF(B381="Yes",1,0) &amp;"&lt;/" &amp;A381&amp;"&gt;"</f>
        <v>&lt;AutoAeroCenterFlag&gt;1&lt;/AutoAeroCenterFlag&gt;</v>
      </c>
      <c r="E381" s="174" t="str">
        <f t="shared" si="10"/>
        <v>Yes</v>
      </c>
      <c r="F381" s="6" t="s">
        <v>661</v>
      </c>
      <c r="G381" s="6"/>
      <c r="H381" s="17"/>
      <c r="I381" s="17"/>
      <c r="J381" s="17"/>
      <c r="K381" s="17"/>
      <c r="L381" s="17"/>
      <c r="M381" s="6"/>
      <c r="N381" s="17"/>
      <c r="O381" s="17"/>
      <c r="P381" s="17"/>
      <c r="Q381" s="17"/>
      <c r="R381" s="17"/>
      <c r="S381" s="17"/>
      <c r="T381" s="17"/>
      <c r="U381" s="17"/>
      <c r="V381" s="17"/>
      <c r="W381" s="17"/>
      <c r="X381" s="6"/>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row>
    <row r="382" spans="1:108" s="11" customFormat="1" ht="12.75" hidden="1" customHeight="1" outlineLevel="4">
      <c r="A382" s="104" t="s">
        <v>82</v>
      </c>
      <c r="B382" s="100" t="s">
        <v>12</v>
      </c>
      <c r="C382" s="20"/>
      <c r="D382" s="134" t="str">
        <f>"&lt;" &amp; A382 &amp; "&gt;" &amp;IF(B382="Yes",1,0) &amp;"&lt;/" &amp;A382&amp;"&gt;"</f>
        <v>&lt;WakeActiveFlag&gt;0&lt;/WakeActiveFlag&gt;</v>
      </c>
      <c r="E382" s="174" t="str">
        <f t="shared" si="10"/>
        <v>Yes</v>
      </c>
      <c r="F382" s="6" t="s">
        <v>662</v>
      </c>
      <c r="G382" s="6"/>
      <c r="H382" s="17"/>
      <c r="I382" s="17"/>
      <c r="J382" s="17"/>
      <c r="K382" s="17"/>
      <c r="L382" s="17"/>
      <c r="M382" s="6"/>
      <c r="N382" s="17"/>
      <c r="O382" s="17"/>
      <c r="P382" s="17"/>
      <c r="Q382" s="17"/>
      <c r="R382" s="17"/>
      <c r="S382" s="17"/>
      <c r="T382" s="17"/>
      <c r="U382" s="17"/>
      <c r="V382" s="17"/>
      <c r="W382" s="17"/>
      <c r="X382" s="6"/>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row>
    <row r="383" spans="1:108" s="11" customFormat="1" ht="12.75" hidden="1" customHeight="1" outlineLevel="4">
      <c r="A383" s="104" t="s">
        <v>83</v>
      </c>
      <c r="B383" s="100" t="s">
        <v>12</v>
      </c>
      <c r="C383" s="20"/>
      <c r="D383" s="134" t="str">
        <f>"&lt;" &amp; A383 &amp; "&gt;" &amp;IF(B383="Yes",1,0) &amp;"&lt;/" &amp;A383&amp;"&gt;"</f>
        <v>&lt;PosAttachFlag&gt;0&lt;/PosAttachFlag&gt;</v>
      </c>
      <c r="E383" s="174" t="str">
        <f t="shared" si="10"/>
        <v>Yes</v>
      </c>
      <c r="F383" s="6" t="s">
        <v>663</v>
      </c>
      <c r="G383" s="6"/>
      <c r="H383" s="17"/>
      <c r="I383" s="17"/>
      <c r="J383" s="17"/>
      <c r="K383" s="17"/>
      <c r="L383" s="17"/>
      <c r="M383" s="6"/>
      <c r="N383" s="17"/>
      <c r="O383" s="17"/>
      <c r="P383" s="17"/>
      <c r="Q383" s="17"/>
      <c r="R383" s="17"/>
      <c r="S383" s="17"/>
      <c r="T383" s="17"/>
      <c r="U383" s="17"/>
      <c r="V383" s="17"/>
      <c r="W383" s="17"/>
      <c r="X383" s="6"/>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row>
    <row r="384" spans="1:108" s="11" customFormat="1" ht="12.75" hidden="1" customHeight="1" outlineLevel="4">
      <c r="A384" s="104" t="s">
        <v>84</v>
      </c>
      <c r="B384" s="101">
        <v>0</v>
      </c>
      <c r="C384" s="20"/>
      <c r="D384" s="103" t="str">
        <f>"&lt;" &amp; A384 &amp; "&gt;" &amp; TEXT(B384,"0.000000") &amp; "&lt;/" &amp; A384 &amp; "&gt;"</f>
        <v>&lt;U_Attach&gt;0.000000&lt;/U_Attach&gt;</v>
      </c>
      <c r="E384" s="174" t="str">
        <f t="shared" si="10"/>
        <v>Yes</v>
      </c>
      <c r="F384" s="6" t="s">
        <v>664</v>
      </c>
      <c r="G384" s="6"/>
      <c r="H384" s="17"/>
      <c r="I384" s="17"/>
      <c r="J384" s="17"/>
      <c r="K384" s="17"/>
      <c r="L384" s="17"/>
      <c r="M384" s="6"/>
      <c r="N384" s="17"/>
      <c r="O384" s="17"/>
      <c r="P384" s="17"/>
      <c r="Q384" s="17"/>
      <c r="R384" s="17"/>
      <c r="S384" s="17"/>
      <c r="T384" s="17"/>
      <c r="U384" s="17"/>
      <c r="V384" s="17"/>
      <c r="W384" s="17"/>
      <c r="X384" s="6"/>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row>
    <row r="385" spans="1:108" s="11" customFormat="1" ht="12.75" hidden="1" customHeight="1" outlineLevel="4">
      <c r="A385" s="104" t="s">
        <v>85</v>
      </c>
      <c r="B385" s="101">
        <v>0</v>
      </c>
      <c r="C385" s="20"/>
      <c r="D385" s="103" t="str">
        <f>"&lt;" &amp; A385 &amp; "&gt;" &amp; TEXT(B385,"0.000000") &amp; "&lt;/" &amp; A385 &amp; "&gt;"</f>
        <v>&lt;V_Attach&gt;0.000000&lt;/V_Attach&gt;</v>
      </c>
      <c r="E385" s="174" t="str">
        <f t="shared" si="10"/>
        <v>Yes</v>
      </c>
      <c r="F385" s="6" t="s">
        <v>665</v>
      </c>
      <c r="G385" s="6"/>
      <c r="H385" s="17"/>
      <c r="I385" s="17"/>
      <c r="J385" s="17"/>
      <c r="K385" s="17"/>
      <c r="L385" s="17"/>
      <c r="M385" s="6"/>
      <c r="N385" s="17"/>
      <c r="O385" s="17"/>
      <c r="P385" s="17"/>
      <c r="Q385" s="17"/>
      <c r="R385" s="17"/>
      <c r="S385" s="17"/>
      <c r="T385" s="17"/>
      <c r="U385" s="17"/>
      <c r="V385" s="17"/>
      <c r="W385" s="17"/>
      <c r="X385" s="6"/>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row>
    <row r="386" spans="1:108" s="11" customFormat="1" ht="12.75" hidden="1" customHeight="1" outlineLevel="4">
      <c r="A386" s="104" t="s">
        <v>86</v>
      </c>
      <c r="B386" s="28">
        <v>148251000</v>
      </c>
      <c r="C386" s="20"/>
      <c r="D386" s="103" t="str">
        <f>"&lt;" &amp; A386 &amp; "&gt;" &amp; TEXT(B386,0) &amp; "&lt;/" &amp; A386 &amp; "&gt;"</f>
        <v>&lt;PtrID&gt;148251000&lt;/PtrID&gt;</v>
      </c>
      <c r="E386" s="174" t="str">
        <f t="shared" si="10"/>
        <v>Yes</v>
      </c>
      <c r="F386" s="6" t="s">
        <v>725</v>
      </c>
      <c r="G386" s="6"/>
      <c r="H386" s="17"/>
      <c r="I386" s="17"/>
      <c r="J386" s="17"/>
      <c r="K386" s="17"/>
      <c r="L386" s="17"/>
      <c r="M386" s="6"/>
      <c r="N386" s="17"/>
      <c r="O386" s="17"/>
      <c r="P386" s="17"/>
      <c r="Q386" s="17"/>
      <c r="R386" s="17"/>
      <c r="S386" s="17"/>
      <c r="T386" s="17"/>
      <c r="U386" s="17"/>
      <c r="V386" s="17"/>
      <c r="W386" s="17"/>
      <c r="X386" s="6"/>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row>
    <row r="387" spans="1:108" s="11" customFormat="1" ht="12.75" hidden="1" customHeight="1" outlineLevel="4">
      <c r="A387" s="104" t="s">
        <v>87</v>
      </c>
      <c r="B387" s="28">
        <v>0</v>
      </c>
      <c r="C387" s="20"/>
      <c r="D387" s="103" t="str">
        <f>"&lt;" &amp; A387 &amp; "&gt;" &amp; TEXT(B387,0) &amp; "&lt;/" &amp; A387 &amp; "&gt;"</f>
        <v>&lt;Parent_PtrID&gt;0&lt;/Parent_PtrID&gt;</v>
      </c>
      <c r="E387" s="174" t="str">
        <f t="shared" si="10"/>
        <v>Yes</v>
      </c>
      <c r="F387" s="6" t="s">
        <v>666</v>
      </c>
      <c r="G387" s="6"/>
      <c r="H387" s="17"/>
      <c r="I387" s="17"/>
      <c r="J387" s="17"/>
      <c r="K387" s="17"/>
      <c r="L387" s="17"/>
      <c r="M387" s="6"/>
      <c r="N387" s="17"/>
      <c r="O387" s="17"/>
      <c r="P387" s="17"/>
      <c r="Q387" s="17"/>
      <c r="R387" s="17"/>
      <c r="S387" s="17"/>
      <c r="T387" s="17"/>
      <c r="U387" s="17"/>
      <c r="V387" s="17"/>
      <c r="W387" s="17"/>
      <c r="X387" s="6"/>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row>
    <row r="388" spans="1:108" s="11" customFormat="1" ht="12.75" hidden="1" customHeight="1" outlineLevel="4">
      <c r="A388" s="104" t="s">
        <v>88</v>
      </c>
      <c r="B388" s="100"/>
      <c r="C388" s="20"/>
      <c r="D388" s="17" t="str">
        <f>"&lt;" &amp; A388 &amp; "&gt;"</f>
        <v>&lt;/General_Parms&gt;</v>
      </c>
      <c r="E388" s="174" t="str">
        <f t="shared" si="10"/>
        <v>Yes</v>
      </c>
      <c r="F388" s="6" t="s">
        <v>667</v>
      </c>
      <c r="G388" s="6"/>
      <c r="H388" s="17"/>
      <c r="I388" s="17"/>
      <c r="J388" s="17"/>
      <c r="K388" s="17"/>
      <c r="L388" s="17"/>
      <c r="M388" s="6"/>
      <c r="N388" s="17"/>
      <c r="O388" s="17"/>
      <c r="P388" s="17"/>
      <c r="Q388" s="17"/>
      <c r="R388" s="17"/>
      <c r="S388" s="17"/>
      <c r="T388" s="17"/>
      <c r="U388" s="17"/>
      <c r="V388" s="17"/>
      <c r="W388" s="17"/>
      <c r="X388" s="6"/>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row>
    <row r="389" spans="1:108" s="11" customFormat="1" ht="12.75" customHeight="1" outlineLevel="3">
      <c r="A389" s="104" t="s">
        <v>89</v>
      </c>
      <c r="B389" s="100"/>
      <c r="C389" s="20"/>
      <c r="D389" s="17" t="str">
        <f>"&lt;" &amp; A389 &amp; "&gt;"</f>
        <v>&lt;Mswing_Parms&gt;</v>
      </c>
      <c r="E389" s="174" t="str">
        <f t="shared" si="10"/>
        <v>Yes</v>
      </c>
      <c r="F389" s="6" t="s">
        <v>668</v>
      </c>
      <c r="G389" s="6"/>
      <c r="H389" s="17"/>
      <c r="I389" s="17"/>
      <c r="J389" s="17"/>
      <c r="K389" s="17"/>
      <c r="L389" s="17"/>
      <c r="M389" s="6"/>
      <c r="N389" s="17"/>
      <c r="O389" s="17"/>
      <c r="P389" s="17"/>
      <c r="Q389" s="17"/>
      <c r="R389" s="17"/>
      <c r="S389" s="17"/>
      <c r="T389" s="17"/>
      <c r="U389" s="17"/>
      <c r="V389" s="17"/>
      <c r="W389" s="17"/>
      <c r="X389" s="6"/>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row>
    <row r="390" spans="1:108" s="11" customFormat="1" ht="12.75" customHeight="1" outlineLevel="4">
      <c r="A390" s="104" t="s">
        <v>90</v>
      </c>
      <c r="B390" s="29">
        <f>B492+B471</f>
        <v>21.510000000000005</v>
      </c>
      <c r="C390" s="20"/>
      <c r="D390" s="103" t="str">
        <f>"&lt;" &amp; A390 &amp; "&gt;" &amp; TEXT(B390,"0.000000") &amp; "&lt;/" &amp; A390 &amp; "&gt;"</f>
        <v>&lt;Total_Area&gt;21.510000&lt;/Total_Area&gt;</v>
      </c>
      <c r="E390" s="174" t="str">
        <f t="shared" si="10"/>
        <v>Yes</v>
      </c>
      <c r="F390" s="6" t="s">
        <v>973</v>
      </c>
      <c r="G390" s="6"/>
      <c r="H390" s="17"/>
      <c r="I390" s="17"/>
      <c r="J390" s="17"/>
      <c r="K390" s="17"/>
      <c r="L390" s="17"/>
      <c r="M390" s="6"/>
      <c r="N390" s="17"/>
      <c r="O390" s="17"/>
      <c r="P390" s="17"/>
      <c r="Q390" s="17"/>
      <c r="R390" s="17"/>
      <c r="S390" s="17"/>
      <c r="T390" s="17"/>
      <c r="U390" s="17"/>
      <c r="V390" s="17"/>
      <c r="W390" s="17"/>
      <c r="X390" s="6"/>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row>
    <row r="391" spans="1:108" s="11" customFormat="1" ht="12.75" customHeight="1" outlineLevel="4">
      <c r="A391" s="104" t="s">
        <v>91</v>
      </c>
      <c r="B391" s="29">
        <f>B493+B472</f>
        <v>5.8701805764388544</v>
      </c>
      <c r="C391" s="20"/>
      <c r="D391" s="103" t="str">
        <f>"&lt;" &amp; A391 &amp; "&gt;" &amp; TEXT(B391,"0.000000") &amp; "&lt;/" &amp; A391 &amp; "&gt;"</f>
        <v>&lt;Total_Span&gt;5.870181&lt;/Total_Span&gt;</v>
      </c>
      <c r="E391" s="174" t="str">
        <f t="shared" ref="E391:E454" si="12">IF(D391=F391,"Yes","No")</f>
        <v>Yes</v>
      </c>
      <c r="F391" s="6" t="s">
        <v>974</v>
      </c>
      <c r="G391" s="6"/>
      <c r="H391" s="17"/>
      <c r="I391" s="17"/>
      <c r="J391" s="17"/>
      <c r="K391" s="17"/>
      <c r="L391" s="17"/>
      <c r="M391" s="6"/>
      <c r="N391" s="17"/>
      <c r="O391" s="17"/>
      <c r="P391" s="17"/>
      <c r="Q391" s="17"/>
      <c r="R391" s="17"/>
      <c r="S391" s="17"/>
      <c r="T391" s="17"/>
      <c r="U391" s="17"/>
      <c r="V391" s="17"/>
      <c r="W391" s="17"/>
      <c r="X391" s="6"/>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row>
    <row r="392" spans="1:108" s="11" customFormat="1" ht="12.75" customHeight="1" outlineLevel="4">
      <c r="A392" s="104" t="s">
        <v>92</v>
      </c>
      <c r="B392" s="29">
        <f>B472*COS(B479*PI()/180) + B493*COS(B500*PI()/180)</f>
        <v>5.8701805764388544</v>
      </c>
      <c r="C392" s="20"/>
      <c r="D392" s="103" t="str">
        <f>"&lt;" &amp; A392 &amp; "&gt;" &amp; TEXT(B392,"0.000000") &amp; "&lt;/" &amp; A392 &amp; "&gt;"</f>
        <v>&lt;Total_Proj_Span&gt;5.870181&lt;/Total_Proj_Span&gt;</v>
      </c>
      <c r="E392" s="174" t="str">
        <f t="shared" si="12"/>
        <v>Yes</v>
      </c>
      <c r="F392" s="6" t="s">
        <v>975</v>
      </c>
      <c r="G392" s="6"/>
      <c r="H392" s="17"/>
      <c r="I392" s="17"/>
      <c r="J392" s="17"/>
      <c r="K392" s="17"/>
      <c r="L392" s="17"/>
      <c r="M392" s="6"/>
      <c r="N392" s="17"/>
      <c r="O392" s="17"/>
      <c r="P392" s="17"/>
      <c r="Q392" s="17"/>
      <c r="R392" s="17"/>
      <c r="S392" s="17"/>
      <c r="T392" s="17"/>
      <c r="U392" s="17"/>
      <c r="V392" s="17"/>
      <c r="W392" s="17"/>
      <c r="X392" s="6"/>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row>
    <row r="393" spans="1:108" s="11" customFormat="1" ht="12.75" customHeight="1" outlineLevel="4">
      <c r="A393" s="104" t="s">
        <v>93</v>
      </c>
      <c r="B393" s="29">
        <f>(B471/B472 + B492/B493)/2</f>
        <v>3.6642825071403595</v>
      </c>
      <c r="C393" s="20"/>
      <c r="D393" s="103" t="str">
        <f>"&lt;" &amp; A393 &amp; "&gt;" &amp; TEXT(B393,"0.000000") &amp; "&lt;/" &amp; A393 &amp; "&gt;"</f>
        <v>&lt;Avg_Chord&gt;3.664283&lt;/Avg_Chord&gt;</v>
      </c>
      <c r="E393" s="174" t="str">
        <f t="shared" si="12"/>
        <v>Yes</v>
      </c>
      <c r="F393" s="6" t="s">
        <v>976</v>
      </c>
      <c r="G393" s="6"/>
      <c r="H393" s="17"/>
      <c r="I393" s="17"/>
      <c r="J393" s="17"/>
      <c r="K393" s="17"/>
      <c r="L393" s="17"/>
      <c r="M393" s="6"/>
      <c r="N393" s="17"/>
      <c r="O393" s="17"/>
      <c r="P393" s="17"/>
      <c r="Q393" s="17"/>
      <c r="R393" s="17"/>
      <c r="S393" s="17"/>
      <c r="T393" s="17"/>
      <c r="U393" s="17"/>
      <c r="V393" s="17"/>
      <c r="W393" s="17"/>
      <c r="X393" s="6"/>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row>
    <row r="394" spans="1:108" s="11" customFormat="1" ht="12.75" customHeight="1" outlineLevel="4">
      <c r="A394" s="104" t="s">
        <v>94</v>
      </c>
      <c r="B394" s="13">
        <v>0</v>
      </c>
      <c r="C394" s="20"/>
      <c r="D394" s="103" t="str">
        <f>"&lt;" &amp; A394 &amp; "&gt;" &amp; TEXT(B394,"0.000000") &amp; "&lt;/" &amp; A394 &amp; "&gt;"</f>
        <v>&lt;Sweep_Off&gt;0.000000&lt;/Sweep_Off&gt;</v>
      </c>
      <c r="E394" s="174" t="str">
        <f t="shared" si="12"/>
        <v>Yes</v>
      </c>
      <c r="F394" s="6" t="s">
        <v>670</v>
      </c>
      <c r="G394" s="6"/>
      <c r="H394" s="17"/>
      <c r="I394" s="17"/>
      <c r="J394" s="17"/>
      <c r="K394" s="17"/>
      <c r="L394" s="17"/>
      <c r="M394" s="6"/>
      <c r="N394" s="17"/>
      <c r="O394" s="17"/>
      <c r="P394" s="17"/>
      <c r="Q394" s="17"/>
      <c r="R394" s="17"/>
      <c r="S394" s="17"/>
      <c r="T394" s="17"/>
      <c r="U394" s="17"/>
      <c r="V394" s="17"/>
      <c r="W394" s="17"/>
      <c r="X394" s="6"/>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row>
    <row r="395" spans="1:108" s="11" customFormat="1" ht="12.75" customHeight="1" outlineLevel="4">
      <c r="A395" s="104" t="s">
        <v>95</v>
      </c>
      <c r="B395" s="28">
        <v>9</v>
      </c>
      <c r="C395" s="20"/>
      <c r="D395" s="103" t="str">
        <f>"&lt;" &amp; A395 &amp; "&gt;" &amp; TEXT(B395,0) &amp; "&lt;/" &amp; A395 &amp; "&gt;"</f>
        <v>&lt;Deg_Per_Seg&gt;9&lt;/Deg_Per_Seg&gt;</v>
      </c>
      <c r="E395" s="174" t="str">
        <f t="shared" si="12"/>
        <v>Yes</v>
      </c>
      <c r="F395" s="6" t="s">
        <v>671</v>
      </c>
      <c r="G395" s="6"/>
      <c r="H395" s="17"/>
      <c r="I395" s="17"/>
      <c r="J395" s="17"/>
      <c r="K395" s="17"/>
      <c r="L395" s="17"/>
      <c r="M395" s="6"/>
      <c r="N395" s="17"/>
      <c r="O395" s="17"/>
      <c r="P395" s="17"/>
      <c r="Q395" s="17"/>
      <c r="R395" s="17"/>
      <c r="S395" s="17"/>
      <c r="T395" s="17"/>
      <c r="U395" s="17"/>
      <c r="V395" s="17"/>
      <c r="W395" s="17"/>
      <c r="X395" s="6"/>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row>
    <row r="396" spans="1:108" s="11" customFormat="1" ht="12.75" customHeight="1" outlineLevel="4">
      <c r="A396" s="104" t="s">
        <v>96</v>
      </c>
      <c r="B396" s="28">
        <v>9</v>
      </c>
      <c r="C396" s="20"/>
      <c r="D396" s="103" t="str">
        <f>"&lt;" &amp; A396 &amp; "&gt;" &amp; TEXT(B396,0) &amp; "&lt;/" &amp; A396 &amp; "&gt;"</f>
        <v>&lt;Max_Num_Seg&gt;9&lt;/Max_Num_Seg&gt;</v>
      </c>
      <c r="E396" s="174" t="str">
        <f t="shared" si="12"/>
        <v>Yes</v>
      </c>
      <c r="F396" s="6" t="s">
        <v>672</v>
      </c>
      <c r="G396" s="6"/>
      <c r="H396" s="17"/>
      <c r="I396" s="17"/>
      <c r="J396" s="17"/>
      <c r="K396" s="17"/>
      <c r="L396" s="17"/>
      <c r="M396" s="6"/>
      <c r="N396" s="17"/>
      <c r="O396" s="17"/>
      <c r="P396" s="17"/>
      <c r="Q396" s="17"/>
      <c r="R396" s="17"/>
      <c r="S396" s="17"/>
      <c r="T396" s="17"/>
      <c r="U396" s="17"/>
      <c r="V396" s="17"/>
      <c r="W396" s="17"/>
      <c r="X396" s="6"/>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row>
    <row r="397" spans="1:108" s="11" customFormat="1" ht="12.75" customHeight="1" outlineLevel="4">
      <c r="A397" s="104" t="s">
        <v>97</v>
      </c>
      <c r="B397" s="100" t="s">
        <v>12</v>
      </c>
      <c r="C397" s="20"/>
      <c r="D397" s="134" t="str">
        <f>"&lt;" &amp; A397 &amp; "&gt;" &amp;IF(B397="Yes",1,0) &amp;"&lt;/" &amp;A397&amp;"&gt;"</f>
        <v>&lt;Rel_Dihedral_Flag&gt;0&lt;/Rel_Dihedral_Flag&gt;</v>
      </c>
      <c r="E397" s="174" t="str">
        <f t="shared" si="12"/>
        <v>Yes</v>
      </c>
      <c r="F397" s="6" t="s">
        <v>673</v>
      </c>
      <c r="G397" s="6"/>
      <c r="H397" s="17"/>
      <c r="I397" s="17"/>
      <c r="J397" s="17"/>
      <c r="K397" s="17"/>
      <c r="L397" s="17"/>
      <c r="M397" s="6"/>
      <c r="N397" s="17"/>
      <c r="O397" s="17"/>
      <c r="P397" s="17"/>
      <c r="Q397" s="17"/>
      <c r="R397" s="17"/>
      <c r="S397" s="17"/>
      <c r="T397" s="17"/>
      <c r="U397" s="17"/>
      <c r="V397" s="17"/>
      <c r="W397" s="17"/>
      <c r="X397" s="6"/>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row>
    <row r="398" spans="1:108" s="11" customFormat="1" ht="12.75" customHeight="1" outlineLevel="4">
      <c r="A398" s="104" t="s">
        <v>98</v>
      </c>
      <c r="B398" s="100" t="s">
        <v>12</v>
      </c>
      <c r="C398" s="20"/>
      <c r="D398" s="134" t="str">
        <f>"&lt;" &amp; A398 &amp; "&gt;" &amp;IF(B398="Yes",1,0) &amp;"&lt;/" &amp;A398&amp;"&gt;"</f>
        <v>&lt;Rel_Twist_Flag&gt;0&lt;/Rel_Twist_Flag&gt;</v>
      </c>
      <c r="E398" s="174" t="str">
        <f t="shared" si="12"/>
        <v>Yes</v>
      </c>
      <c r="F398" s="6" t="s">
        <v>674</v>
      </c>
      <c r="G398" s="6"/>
      <c r="H398" s="17"/>
      <c r="I398" s="17"/>
      <c r="J398" s="17"/>
      <c r="K398" s="17"/>
      <c r="L398" s="17"/>
      <c r="M398" s="6"/>
      <c r="N398" s="17"/>
      <c r="O398" s="17"/>
      <c r="P398" s="17"/>
      <c r="Q398" s="17"/>
      <c r="R398" s="17"/>
      <c r="S398" s="17"/>
      <c r="T398" s="17"/>
      <c r="U398" s="17"/>
      <c r="V398" s="17"/>
      <c r="W398" s="17"/>
      <c r="X398" s="6"/>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row>
    <row r="399" spans="1:108" s="11" customFormat="1" ht="12.75" customHeight="1" outlineLevel="4">
      <c r="A399" s="104" t="s">
        <v>99</v>
      </c>
      <c r="B399" s="100" t="s">
        <v>12</v>
      </c>
      <c r="C399" s="20"/>
      <c r="D399" s="134" t="str">
        <f>"&lt;" &amp; A399 &amp; "&gt;" &amp;IF(B399="Yes",1,0) &amp;"&lt;/" &amp;A399&amp;"&gt;"</f>
        <v>&lt;Round_End_Cap_Flag&gt;0&lt;/Round_End_Cap_Flag&gt;</v>
      </c>
      <c r="E399" s="174" t="str">
        <f t="shared" si="12"/>
        <v>Yes</v>
      </c>
      <c r="F399" s="6" t="s">
        <v>726</v>
      </c>
      <c r="G399" s="6"/>
      <c r="H399" s="17"/>
      <c r="I399" s="17"/>
      <c r="J399" s="17"/>
      <c r="K399" s="17"/>
      <c r="L399" s="17"/>
      <c r="M399" s="6"/>
      <c r="N399" s="17"/>
      <c r="O399" s="17"/>
      <c r="P399" s="17"/>
      <c r="Q399" s="17"/>
      <c r="R399" s="17"/>
      <c r="S399" s="17"/>
      <c r="T399" s="17"/>
      <c r="U399" s="17"/>
      <c r="V399" s="17"/>
      <c r="W399" s="17"/>
      <c r="X399" s="6"/>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row>
    <row r="400" spans="1:108" s="11" customFormat="1" ht="12.75" customHeight="1" outlineLevel="4">
      <c r="A400" s="104" t="s">
        <v>100</v>
      </c>
      <c r="B400" s="17"/>
      <c r="C400" s="20"/>
      <c r="D400" s="17" t="str">
        <f>"&lt;" &amp; A400 &amp; "&gt;"</f>
        <v>&lt;/Mswing_Parms&gt;</v>
      </c>
      <c r="E400" s="174" t="str">
        <f t="shared" si="12"/>
        <v>Yes</v>
      </c>
      <c r="F400" s="6" t="s">
        <v>676</v>
      </c>
      <c r="G400" s="6"/>
      <c r="H400" s="17"/>
      <c r="I400" s="17"/>
      <c r="J400" s="17"/>
      <c r="K400" s="17"/>
      <c r="L400" s="17"/>
      <c r="M400" s="6"/>
      <c r="N400" s="17"/>
      <c r="O400" s="17"/>
      <c r="P400" s="17"/>
      <c r="Q400" s="17"/>
      <c r="R400" s="17"/>
      <c r="S400" s="17"/>
      <c r="T400" s="17"/>
      <c r="U400" s="17"/>
      <c r="V400" s="17"/>
      <c r="W400" s="17"/>
      <c r="X400" s="6"/>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row>
    <row r="401" spans="1:108" s="11" customFormat="1" ht="12.75" customHeight="1" outlineLevel="3" collapsed="1">
      <c r="A401" s="104" t="s">
        <v>101</v>
      </c>
      <c r="B401" s="17"/>
      <c r="C401" s="20"/>
      <c r="D401" s="17" t="str">
        <f>"&lt;" &amp; A401 &amp; "&gt;"</f>
        <v>&lt;Airfoil_List&gt;</v>
      </c>
      <c r="E401" s="174" t="str">
        <f t="shared" si="12"/>
        <v>Yes</v>
      </c>
      <c r="F401" s="6" t="s">
        <v>677</v>
      </c>
      <c r="G401" s="6"/>
      <c r="H401" s="17"/>
      <c r="I401" s="17"/>
      <c r="J401" s="17"/>
      <c r="K401" s="17"/>
      <c r="L401" s="17"/>
      <c r="M401" s="6"/>
      <c r="N401" s="17"/>
      <c r="O401" s="17"/>
      <c r="P401" s="17"/>
      <c r="Q401" s="17"/>
      <c r="R401" s="17"/>
      <c r="S401" s="17"/>
      <c r="T401" s="17"/>
      <c r="U401" s="17"/>
      <c r="V401" s="17"/>
      <c r="W401" s="17"/>
      <c r="X401" s="6"/>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row>
    <row r="402" spans="1:108" s="11" customFormat="1" ht="12.75" hidden="1" customHeight="1" outlineLevel="4" collapsed="1">
      <c r="A402" s="104" t="s">
        <v>2</v>
      </c>
      <c r="B402" s="99" t="s">
        <v>399</v>
      </c>
      <c r="C402" s="20"/>
      <c r="D402" s="17" t="str">
        <f>"&lt;" &amp; A402 &amp; "&gt;"</f>
        <v>&lt;Airfoil&gt;</v>
      </c>
      <c r="E402" s="174" t="str">
        <f t="shared" si="12"/>
        <v>Yes</v>
      </c>
      <c r="F402" s="6" t="s">
        <v>678</v>
      </c>
      <c r="G402" s="6"/>
      <c r="H402" s="17"/>
      <c r="I402" s="17"/>
      <c r="J402" s="17"/>
      <c r="K402" s="17"/>
      <c r="L402" s="17"/>
      <c r="M402" s="6"/>
      <c r="N402" s="17"/>
      <c r="O402" s="17"/>
      <c r="P402" s="17"/>
      <c r="Q402" s="17"/>
      <c r="R402" s="17"/>
      <c r="S402" s="17"/>
      <c r="T402" s="17"/>
      <c r="U402" s="17"/>
      <c r="V402" s="17"/>
      <c r="W402" s="17"/>
      <c r="X402" s="6"/>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row>
    <row r="403" spans="1:108" s="11" customFormat="1" ht="12.75" hidden="1" customHeight="1" outlineLevel="5">
      <c r="A403" s="104" t="s">
        <v>14</v>
      </c>
      <c r="B403" s="28">
        <v>1</v>
      </c>
      <c r="C403" s="20"/>
      <c r="D403" s="103" t="str">
        <f>"&lt;" &amp; A403 &amp; "&gt;" &amp; TEXT(B403,0) &amp; "&lt;/" &amp; A403 &amp; "&gt;"</f>
        <v>&lt;Type&gt;1&lt;/Type&gt;</v>
      </c>
      <c r="E403" s="174" t="str">
        <f t="shared" si="12"/>
        <v>Yes</v>
      </c>
      <c r="F403" s="6" t="s">
        <v>679</v>
      </c>
      <c r="G403" s="6"/>
      <c r="H403" s="17"/>
      <c r="I403" s="17"/>
      <c r="J403" s="17"/>
      <c r="K403" s="17"/>
      <c r="L403" s="17"/>
      <c r="M403" s="6"/>
      <c r="N403" s="17"/>
      <c r="O403" s="17"/>
      <c r="P403" s="17"/>
      <c r="Q403" s="17"/>
      <c r="R403" s="17"/>
      <c r="S403" s="17"/>
      <c r="T403" s="17"/>
      <c r="U403" s="17"/>
      <c r="V403" s="17"/>
      <c r="W403" s="17"/>
      <c r="X403" s="6"/>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row>
    <row r="404" spans="1:108" s="11" customFormat="1" ht="12.75" hidden="1" customHeight="1" outlineLevel="5">
      <c r="A404" s="104" t="s">
        <v>102</v>
      </c>
      <c r="B404" s="100" t="s">
        <v>12</v>
      </c>
      <c r="C404" s="20"/>
      <c r="D404" s="134" t="str">
        <f>"&lt;" &amp; A404 &amp; "&gt;" &amp;IF(B404="Yes",1,0) &amp;"&lt;/" &amp;A404&amp;"&gt;"</f>
        <v>&lt;Inverted_Flag&gt;0&lt;/Inverted_Flag&gt;</v>
      </c>
      <c r="E404" s="174" t="str">
        <f t="shared" si="12"/>
        <v>Yes</v>
      </c>
      <c r="F404" s="6" t="s">
        <v>680</v>
      </c>
      <c r="G404" s="6"/>
      <c r="H404" s="17"/>
      <c r="I404" s="17"/>
      <c r="J404" s="17"/>
      <c r="K404" s="17"/>
      <c r="L404" s="17"/>
      <c r="M404" s="6"/>
      <c r="N404" s="17"/>
      <c r="O404" s="17"/>
      <c r="P404" s="17"/>
      <c r="Q404" s="17"/>
      <c r="R404" s="17"/>
      <c r="S404" s="17"/>
      <c r="T404" s="17"/>
      <c r="U404" s="17"/>
      <c r="V404" s="17"/>
      <c r="W404" s="17"/>
      <c r="X404" s="6"/>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row>
    <row r="405" spans="1:108" s="11" customFormat="1" ht="12.75" hidden="1" customHeight="1" outlineLevel="5">
      <c r="A405" s="104" t="s">
        <v>4</v>
      </c>
      <c r="B405" s="101">
        <v>0</v>
      </c>
      <c r="C405" s="20"/>
      <c r="D405" s="103" t="str">
        <f t="shared" ref="D405:D410" si="13">"&lt;" &amp; A405 &amp; "&gt;" &amp; TEXT(B405,"0.000000") &amp; "&lt;/" &amp; A405 &amp; "&gt;"</f>
        <v>&lt;Camber&gt;0.000000&lt;/Camber&gt;</v>
      </c>
      <c r="E405" s="174" t="str">
        <f t="shared" si="12"/>
        <v>Yes</v>
      </c>
      <c r="F405" s="6" t="s">
        <v>681</v>
      </c>
      <c r="G405" s="6"/>
      <c r="H405" s="17"/>
      <c r="I405" s="17"/>
      <c r="J405" s="17"/>
      <c r="K405" s="17"/>
      <c r="L405" s="17"/>
      <c r="M405" s="6"/>
      <c r="N405" s="17"/>
      <c r="O405" s="17"/>
      <c r="P405" s="17"/>
      <c r="Q405" s="17"/>
      <c r="R405" s="17"/>
      <c r="S405" s="17"/>
      <c r="T405" s="17"/>
      <c r="U405" s="17"/>
      <c r="V405" s="17"/>
      <c r="W405" s="17"/>
      <c r="X405" s="6"/>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row>
    <row r="406" spans="1:108" s="11" customFormat="1" ht="12.75" hidden="1" customHeight="1" outlineLevel="5">
      <c r="A406" s="104" t="s">
        <v>103</v>
      </c>
      <c r="B406" s="101">
        <v>0.1</v>
      </c>
      <c r="C406" s="20"/>
      <c r="D406" s="103" t="str">
        <f t="shared" si="13"/>
        <v>&lt;Camber_Loc&gt;0.100000&lt;/Camber_Loc&gt;</v>
      </c>
      <c r="E406" s="174" t="str">
        <f t="shared" si="12"/>
        <v>Yes</v>
      </c>
      <c r="F406" s="6" t="s">
        <v>682</v>
      </c>
      <c r="G406" s="6"/>
      <c r="H406" s="17"/>
      <c r="I406" s="17"/>
      <c r="J406" s="17"/>
      <c r="K406" s="17"/>
      <c r="L406" s="17"/>
      <c r="M406" s="6"/>
      <c r="N406" s="17"/>
      <c r="O406" s="17"/>
      <c r="P406" s="17"/>
      <c r="Q406" s="17"/>
      <c r="R406" s="17"/>
      <c r="S406" s="17"/>
      <c r="T406" s="17"/>
      <c r="U406" s="17"/>
      <c r="V406" s="17"/>
      <c r="W406" s="17"/>
      <c r="X406" s="6"/>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row>
    <row r="407" spans="1:108" s="11" customFormat="1" ht="12.75" hidden="1" customHeight="1" outlineLevel="5">
      <c r="A407" s="104" t="s">
        <v>5</v>
      </c>
      <c r="B407" s="101">
        <v>0.1</v>
      </c>
      <c r="C407" s="20"/>
      <c r="D407" s="103" t="str">
        <f t="shared" si="13"/>
        <v>&lt;Thickness&gt;0.100000&lt;/Thickness&gt;</v>
      </c>
      <c r="E407" s="174" t="str">
        <f t="shared" si="12"/>
        <v>Yes</v>
      </c>
      <c r="F407" s="6" t="s">
        <v>683</v>
      </c>
      <c r="G407" s="6"/>
      <c r="H407" s="17"/>
      <c r="I407" s="17"/>
      <c r="J407" s="17"/>
      <c r="K407" s="17"/>
      <c r="L407" s="17"/>
      <c r="M407" s="6"/>
      <c r="N407" s="17"/>
      <c r="O407" s="17"/>
      <c r="P407" s="17"/>
      <c r="Q407" s="17"/>
      <c r="R407" s="17"/>
      <c r="S407" s="17"/>
      <c r="T407" s="17"/>
      <c r="U407" s="17"/>
      <c r="V407" s="17"/>
      <c r="W407" s="17"/>
      <c r="X407" s="6"/>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row>
    <row r="408" spans="1:108" s="11" customFormat="1" ht="12.75" hidden="1" customHeight="1" outlineLevel="5">
      <c r="A408" s="104" t="s">
        <v>104</v>
      </c>
      <c r="B408" s="101">
        <v>0.3</v>
      </c>
      <c r="C408" s="20"/>
      <c r="D408" s="103" t="str">
        <f t="shared" si="13"/>
        <v>&lt;Thickness_Loc&gt;0.300000&lt;/Thickness_Loc&gt;</v>
      </c>
      <c r="E408" s="174" t="str">
        <f t="shared" si="12"/>
        <v>Yes</v>
      </c>
      <c r="F408" s="6" t="s">
        <v>684</v>
      </c>
      <c r="G408" s="6"/>
      <c r="H408" s="17"/>
      <c r="I408" s="17"/>
      <c r="J408" s="17"/>
      <c r="K408" s="17"/>
      <c r="L408" s="17"/>
      <c r="M408" s="6"/>
      <c r="N408" s="17"/>
      <c r="O408" s="17"/>
      <c r="P408" s="17"/>
      <c r="Q408" s="17"/>
      <c r="R408" s="17"/>
      <c r="S408" s="17"/>
      <c r="T408" s="17"/>
      <c r="U408" s="17"/>
      <c r="V408" s="17"/>
      <c r="W408" s="17"/>
      <c r="X408" s="6"/>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row>
    <row r="409" spans="1:108" s="11" customFormat="1" ht="12.75" hidden="1" customHeight="1" outlineLevel="5">
      <c r="A409" s="104" t="s">
        <v>105</v>
      </c>
      <c r="B409" s="101">
        <v>1.1018999999999999E-2</v>
      </c>
      <c r="C409" s="20"/>
      <c r="D409" s="103" t="str">
        <f t="shared" si="13"/>
        <v>&lt;Radius_Le&gt;0.011019&lt;/Radius_Le&gt;</v>
      </c>
      <c r="E409" s="174" t="str">
        <f t="shared" si="12"/>
        <v>Yes</v>
      </c>
      <c r="F409" s="6" t="s">
        <v>685</v>
      </c>
      <c r="G409" s="6"/>
      <c r="H409" s="17"/>
      <c r="I409" s="17"/>
      <c r="J409" s="17"/>
      <c r="K409" s="17"/>
      <c r="L409" s="17"/>
      <c r="M409" s="6"/>
      <c r="N409" s="17"/>
      <c r="O409" s="17"/>
      <c r="P409" s="17"/>
      <c r="Q409" s="17"/>
      <c r="R409" s="17"/>
      <c r="S409" s="17"/>
      <c r="T409" s="17"/>
      <c r="U409" s="17"/>
      <c r="V409" s="17"/>
      <c r="W409" s="17"/>
      <c r="X409" s="6"/>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row>
    <row r="410" spans="1:108" s="11" customFormat="1" ht="12.75" hidden="1" customHeight="1" outlineLevel="5">
      <c r="A410" s="104" t="s">
        <v>106</v>
      </c>
      <c r="B410" s="101">
        <v>0</v>
      </c>
      <c r="C410" s="20"/>
      <c r="D410" s="103" t="str">
        <f t="shared" si="13"/>
        <v>&lt;Radius_Te&gt;0.000000&lt;/Radius_Te&gt;</v>
      </c>
      <c r="E410" s="174" t="str">
        <f t="shared" si="12"/>
        <v>Yes</v>
      </c>
      <c r="F410" s="6" t="s">
        <v>686</v>
      </c>
      <c r="G410" s="6"/>
      <c r="H410" s="17"/>
      <c r="I410" s="17"/>
      <c r="J410" s="17"/>
      <c r="K410" s="17"/>
      <c r="L410" s="17"/>
      <c r="M410" s="6"/>
      <c r="N410" s="17"/>
      <c r="O410" s="17"/>
      <c r="P410" s="17"/>
      <c r="Q410" s="17"/>
      <c r="R410" s="17"/>
      <c r="S410" s="17"/>
      <c r="T410" s="17"/>
      <c r="U410" s="17"/>
      <c r="V410" s="17"/>
      <c r="W410" s="17"/>
      <c r="X410" s="6"/>
      <c r="Y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c r="AZ410" s="17"/>
      <c r="BA410" s="17"/>
      <c r="BB410" s="17"/>
      <c r="BC410" s="17"/>
      <c r="BD410" s="17"/>
      <c r="BE410" s="17"/>
      <c r="BF410" s="17"/>
      <c r="BG410" s="17"/>
      <c r="BH410" s="17"/>
      <c r="BI410" s="17"/>
      <c r="BJ410" s="17"/>
      <c r="BK410" s="17"/>
      <c r="BL410" s="17"/>
      <c r="BM410" s="17"/>
      <c r="BN410" s="17"/>
      <c r="BO410" s="17"/>
      <c r="BP410" s="17"/>
      <c r="BQ410" s="17"/>
      <c r="BR410" s="17"/>
      <c r="BS410" s="17"/>
      <c r="BT410" s="17"/>
      <c r="BU410" s="17"/>
      <c r="BV410" s="17"/>
      <c r="BW410" s="17"/>
      <c r="BX410" s="17"/>
      <c r="BY410" s="17"/>
      <c r="BZ410" s="17"/>
      <c r="CA410" s="17"/>
      <c r="CB410" s="17"/>
      <c r="CC410" s="17"/>
      <c r="CD410" s="17"/>
      <c r="CE410" s="17"/>
      <c r="CF410" s="17"/>
      <c r="CG410" s="17"/>
      <c r="CH410" s="17"/>
      <c r="CI410" s="17"/>
      <c r="CJ410" s="17"/>
      <c r="CK410" s="17"/>
      <c r="CL410" s="17"/>
      <c r="CM410" s="17"/>
      <c r="CN410" s="17"/>
      <c r="CO410" s="17"/>
      <c r="CP410" s="17"/>
      <c r="CQ410" s="17"/>
      <c r="CR410" s="17"/>
      <c r="CS410" s="17"/>
      <c r="CT410" s="17"/>
      <c r="CU410" s="17"/>
      <c r="CV410" s="17"/>
      <c r="CW410" s="17"/>
      <c r="CX410" s="17"/>
      <c r="CY410" s="17"/>
      <c r="CZ410" s="17"/>
      <c r="DA410" s="17"/>
      <c r="DB410" s="17"/>
      <c r="DC410" s="17"/>
      <c r="DD410" s="17"/>
    </row>
    <row r="411" spans="1:108" s="11" customFormat="1" ht="12.75" hidden="1" customHeight="1" outlineLevel="5">
      <c r="A411" s="104" t="s">
        <v>107</v>
      </c>
      <c r="B411" s="102">
        <v>63</v>
      </c>
      <c r="C411" s="20"/>
      <c r="D411" s="103" t="str">
        <f>"&lt;" &amp; A411 &amp; "&gt;" &amp; TEXT(B411,0) &amp; "&lt;/" &amp; A411 &amp; "&gt;"</f>
        <v>&lt;Six_Series&gt;63&lt;/Six_Series&gt;</v>
      </c>
      <c r="E411" s="174" t="str">
        <f t="shared" si="12"/>
        <v>Yes</v>
      </c>
      <c r="F411" s="6" t="s">
        <v>687</v>
      </c>
      <c r="G411" s="6"/>
      <c r="H411" s="17"/>
      <c r="I411" s="17"/>
      <c r="J411" s="17"/>
      <c r="K411" s="17"/>
      <c r="L411" s="17"/>
      <c r="M411" s="6"/>
      <c r="N411" s="17"/>
      <c r="O411" s="17"/>
      <c r="P411" s="17"/>
      <c r="Q411" s="17"/>
      <c r="R411" s="17"/>
      <c r="S411" s="17"/>
      <c r="T411" s="17"/>
      <c r="U411" s="17"/>
      <c r="V411" s="17"/>
      <c r="W411" s="17"/>
      <c r="X411" s="6"/>
      <c r="Y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c r="AZ411" s="17"/>
      <c r="BA411" s="17"/>
      <c r="BB411" s="17"/>
      <c r="BC411" s="17"/>
      <c r="BD411" s="17"/>
      <c r="BE411" s="17"/>
      <c r="BF411" s="17"/>
      <c r="BG411" s="17"/>
      <c r="BH411" s="17"/>
      <c r="BI411" s="17"/>
      <c r="BJ411" s="17"/>
      <c r="BK411" s="17"/>
      <c r="BL411" s="17"/>
      <c r="BM411" s="17"/>
      <c r="BN411" s="17"/>
      <c r="BO411" s="17"/>
      <c r="BP411" s="17"/>
      <c r="BQ411" s="17"/>
      <c r="BR411" s="17"/>
      <c r="BS411" s="17"/>
      <c r="BT411" s="17"/>
      <c r="BU411" s="17"/>
      <c r="BV411" s="17"/>
      <c r="BW411" s="17"/>
      <c r="BX411" s="17"/>
      <c r="BY411" s="17"/>
      <c r="BZ411" s="17"/>
      <c r="CA411" s="17"/>
      <c r="CB411" s="17"/>
      <c r="CC411" s="17"/>
      <c r="CD411" s="17"/>
      <c r="CE411" s="17"/>
      <c r="CF411" s="17"/>
      <c r="CG411" s="17"/>
      <c r="CH411" s="17"/>
      <c r="CI411" s="17"/>
      <c r="CJ411" s="17"/>
      <c r="CK411" s="17"/>
      <c r="CL411" s="17"/>
      <c r="CM411" s="17"/>
      <c r="CN411" s="17"/>
      <c r="CO411" s="17"/>
      <c r="CP411" s="17"/>
      <c r="CQ411" s="17"/>
      <c r="CR411" s="17"/>
      <c r="CS411" s="17"/>
      <c r="CT411" s="17"/>
      <c r="CU411" s="17"/>
      <c r="CV411" s="17"/>
      <c r="CW411" s="17"/>
      <c r="CX411" s="17"/>
      <c r="CY411" s="17"/>
      <c r="CZ411" s="17"/>
      <c r="DA411" s="17"/>
      <c r="DB411" s="17"/>
      <c r="DC411" s="17"/>
      <c r="DD411" s="17"/>
    </row>
    <row r="412" spans="1:108" s="11" customFormat="1" ht="12.75" hidden="1" customHeight="1" outlineLevel="5">
      <c r="A412" s="104" t="s">
        <v>108</v>
      </c>
      <c r="B412" s="101">
        <v>0</v>
      </c>
      <c r="C412" s="20"/>
      <c r="D412" s="103" t="str">
        <f>"&lt;" &amp; A412 &amp; "&gt;" &amp; TEXT(B412,"0.000000") &amp; "&lt;/" &amp; A412 &amp; "&gt;"</f>
        <v>&lt;Ideal_Cl&gt;0.000000&lt;/Ideal_Cl&gt;</v>
      </c>
      <c r="E412" s="174" t="str">
        <f t="shared" si="12"/>
        <v>Yes</v>
      </c>
      <c r="F412" s="6" t="s">
        <v>688</v>
      </c>
      <c r="G412" s="6"/>
      <c r="H412" s="17"/>
      <c r="I412" s="17"/>
      <c r="J412" s="17"/>
      <c r="K412" s="17"/>
      <c r="L412" s="17"/>
      <c r="M412" s="6"/>
      <c r="N412" s="17"/>
      <c r="O412" s="17"/>
      <c r="P412" s="17"/>
      <c r="Q412" s="17"/>
      <c r="R412" s="17"/>
      <c r="S412" s="17"/>
      <c r="T412" s="17"/>
      <c r="U412" s="17"/>
      <c r="V412" s="17"/>
      <c r="W412" s="17"/>
      <c r="X412" s="6"/>
      <c r="Y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c r="AZ412" s="17"/>
      <c r="BA412" s="17"/>
      <c r="BB412" s="17"/>
      <c r="BC412" s="17"/>
      <c r="BD412" s="17"/>
      <c r="BE412" s="17"/>
      <c r="BF412" s="17"/>
      <c r="BG412" s="17"/>
      <c r="BH412" s="17"/>
      <c r="BI412" s="17"/>
      <c r="BJ412" s="17"/>
      <c r="BK412" s="17"/>
      <c r="BL412" s="17"/>
      <c r="BM412" s="17"/>
      <c r="BN412" s="17"/>
      <c r="BO412" s="17"/>
      <c r="BP412" s="17"/>
      <c r="BQ412" s="17"/>
      <c r="BR412" s="17"/>
      <c r="BS412" s="17"/>
      <c r="BT412" s="17"/>
      <c r="BU412" s="17"/>
      <c r="BV412" s="17"/>
      <c r="BW412" s="17"/>
      <c r="BX412" s="17"/>
      <c r="BY412" s="17"/>
      <c r="BZ412" s="17"/>
      <c r="CA412" s="17"/>
      <c r="CB412" s="17"/>
      <c r="CC412" s="17"/>
      <c r="CD412" s="17"/>
      <c r="CE412" s="17"/>
      <c r="CF412" s="17"/>
      <c r="CG412" s="17"/>
      <c r="CH412" s="17"/>
      <c r="CI412" s="17"/>
      <c r="CJ412" s="17"/>
      <c r="CK412" s="17"/>
      <c r="CL412" s="17"/>
      <c r="CM412" s="17"/>
      <c r="CN412" s="17"/>
      <c r="CO412" s="17"/>
      <c r="CP412" s="17"/>
      <c r="CQ412" s="17"/>
      <c r="CR412" s="17"/>
      <c r="CS412" s="17"/>
      <c r="CT412" s="17"/>
      <c r="CU412" s="17"/>
      <c r="CV412" s="17"/>
      <c r="CW412" s="17"/>
      <c r="CX412" s="17"/>
      <c r="CY412" s="17"/>
      <c r="CZ412" s="17"/>
      <c r="DA412" s="17"/>
      <c r="DB412" s="17"/>
      <c r="DC412" s="17"/>
      <c r="DD412" s="17"/>
    </row>
    <row r="413" spans="1:108" s="11" customFormat="1" ht="12.75" hidden="1" customHeight="1" outlineLevel="5">
      <c r="A413" s="104" t="s">
        <v>109</v>
      </c>
      <c r="B413" s="101">
        <v>0</v>
      </c>
      <c r="C413" s="20"/>
      <c r="D413" s="103" t="str">
        <f>"&lt;" &amp; A413 &amp; "&gt;" &amp; TEXT(B413,"0.000000") &amp; "&lt;/" &amp; A413 &amp; "&gt;"</f>
        <v>&lt;A&gt;0.000000&lt;/A&gt;</v>
      </c>
      <c r="E413" s="174" t="str">
        <f t="shared" si="12"/>
        <v>Yes</v>
      </c>
      <c r="F413" s="6" t="s">
        <v>689</v>
      </c>
      <c r="G413" s="6"/>
      <c r="H413" s="17"/>
      <c r="I413" s="17"/>
      <c r="J413" s="17"/>
      <c r="K413" s="17"/>
      <c r="L413" s="17"/>
      <c r="M413" s="6"/>
      <c r="N413" s="17"/>
      <c r="O413" s="17"/>
      <c r="P413" s="17"/>
      <c r="Q413" s="17"/>
      <c r="R413" s="17"/>
      <c r="S413" s="17"/>
      <c r="T413" s="17"/>
      <c r="U413" s="17"/>
      <c r="V413" s="17"/>
      <c r="W413" s="17"/>
      <c r="X413" s="6"/>
      <c r="Y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c r="AZ413" s="17"/>
      <c r="BA413" s="17"/>
      <c r="BB413" s="17"/>
      <c r="BC413" s="17"/>
      <c r="BD413" s="17"/>
      <c r="BE413" s="17"/>
      <c r="BF413" s="17"/>
      <c r="BG413" s="17"/>
      <c r="BH413" s="17"/>
      <c r="BI413" s="17"/>
      <c r="BJ413" s="17"/>
      <c r="BK413" s="17"/>
      <c r="BL413" s="17"/>
      <c r="BM413" s="17"/>
      <c r="BN413" s="17"/>
      <c r="BO413" s="17"/>
      <c r="BP413" s="17"/>
      <c r="BQ413" s="17"/>
      <c r="BR413" s="17"/>
      <c r="BS413" s="17"/>
      <c r="BT413" s="17"/>
      <c r="BU413" s="17"/>
      <c r="BV413" s="17"/>
      <c r="BW413" s="17"/>
      <c r="BX413" s="17"/>
      <c r="BY413" s="17"/>
      <c r="BZ413" s="17"/>
      <c r="CA413" s="17"/>
      <c r="CB413" s="17"/>
      <c r="CC413" s="17"/>
      <c r="CD413" s="17"/>
      <c r="CE413" s="17"/>
      <c r="CF413" s="17"/>
      <c r="CG413" s="17"/>
      <c r="CH413" s="17"/>
      <c r="CI413" s="17"/>
      <c r="CJ413" s="17"/>
      <c r="CK413" s="17"/>
      <c r="CL413" s="17"/>
      <c r="CM413" s="17"/>
      <c r="CN413" s="17"/>
      <c r="CO413" s="17"/>
      <c r="CP413" s="17"/>
      <c r="CQ413" s="17"/>
      <c r="CR413" s="17"/>
      <c r="CS413" s="17"/>
      <c r="CT413" s="17"/>
      <c r="CU413" s="17"/>
      <c r="CV413" s="17"/>
      <c r="CW413" s="17"/>
      <c r="CX413" s="17"/>
      <c r="CY413" s="17"/>
      <c r="CZ413" s="17"/>
      <c r="DA413" s="17"/>
      <c r="DB413" s="17"/>
      <c r="DC413" s="17"/>
      <c r="DD413" s="17"/>
    </row>
    <row r="414" spans="1:108" s="11" customFormat="1" ht="12.75" hidden="1" customHeight="1" outlineLevel="5">
      <c r="A414" s="104" t="s">
        <v>110</v>
      </c>
      <c r="B414" s="100" t="s">
        <v>12</v>
      </c>
      <c r="C414" s="20"/>
      <c r="D414" s="134" t="str">
        <f>"&lt;" &amp; A414 &amp; "&gt;" &amp;IF(B414="Yes",1,0) &amp;"&lt;/" &amp;A414&amp;"&gt;"</f>
        <v>&lt;Slat_Flag&gt;0&lt;/Slat_Flag&gt;</v>
      </c>
      <c r="E414" s="174" t="str">
        <f t="shared" si="12"/>
        <v>Yes</v>
      </c>
      <c r="F414" s="6" t="s">
        <v>690</v>
      </c>
      <c r="G414" s="6"/>
      <c r="H414" s="17"/>
      <c r="I414" s="17"/>
      <c r="J414" s="17"/>
      <c r="K414" s="17"/>
      <c r="L414" s="17"/>
      <c r="M414" s="6"/>
      <c r="N414" s="17"/>
      <c r="O414" s="17"/>
      <c r="P414" s="17"/>
      <c r="Q414" s="17"/>
      <c r="R414" s="17"/>
      <c r="S414" s="17"/>
      <c r="T414" s="17"/>
      <c r="U414" s="17"/>
      <c r="V414" s="17"/>
      <c r="W414" s="17"/>
      <c r="X414" s="6"/>
      <c r="Y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c r="AZ414" s="17"/>
      <c r="BA414" s="17"/>
      <c r="BB414" s="17"/>
      <c r="BC414" s="17"/>
      <c r="BD414" s="17"/>
      <c r="BE414" s="17"/>
      <c r="BF414" s="17"/>
      <c r="BG414" s="17"/>
      <c r="BH414" s="17"/>
      <c r="BI414" s="17"/>
      <c r="BJ414" s="17"/>
      <c r="BK414" s="17"/>
      <c r="BL414" s="17"/>
      <c r="BM414" s="17"/>
      <c r="BN414" s="17"/>
      <c r="BO414" s="17"/>
      <c r="BP414" s="17"/>
      <c r="BQ414" s="17"/>
      <c r="BR414" s="17"/>
      <c r="BS414" s="17"/>
      <c r="BT414" s="17"/>
      <c r="BU414" s="17"/>
      <c r="BV414" s="17"/>
      <c r="BW414" s="17"/>
      <c r="BX414" s="17"/>
      <c r="BY414" s="17"/>
      <c r="BZ414" s="17"/>
      <c r="CA414" s="17"/>
      <c r="CB414" s="17"/>
      <c r="CC414" s="17"/>
      <c r="CD414" s="17"/>
      <c r="CE414" s="17"/>
      <c r="CF414" s="17"/>
      <c r="CG414" s="17"/>
      <c r="CH414" s="17"/>
      <c r="CI414" s="17"/>
      <c r="CJ414" s="17"/>
      <c r="CK414" s="17"/>
      <c r="CL414" s="17"/>
      <c r="CM414" s="17"/>
      <c r="CN414" s="17"/>
      <c r="CO414" s="17"/>
      <c r="CP414" s="17"/>
      <c r="CQ414" s="17"/>
      <c r="CR414" s="17"/>
      <c r="CS414" s="17"/>
      <c r="CT414" s="17"/>
      <c r="CU414" s="17"/>
      <c r="CV414" s="17"/>
      <c r="CW414" s="17"/>
      <c r="CX414" s="17"/>
      <c r="CY414" s="17"/>
      <c r="CZ414" s="17"/>
      <c r="DA414" s="17"/>
      <c r="DB414" s="17"/>
      <c r="DC414" s="17"/>
      <c r="DD414" s="17"/>
    </row>
    <row r="415" spans="1:108" s="11" customFormat="1" ht="12.75" hidden="1" customHeight="1" outlineLevel="5">
      <c r="A415" s="104" t="s">
        <v>111</v>
      </c>
      <c r="B415" s="100" t="s">
        <v>12</v>
      </c>
      <c r="C415" s="20"/>
      <c r="D415" s="134" t="str">
        <f>"&lt;" &amp; A415 &amp; "&gt;" &amp;IF(B415="Yes",1,0) &amp;"&lt;/" &amp;A415&amp;"&gt;"</f>
        <v>&lt;Slat_Shear_Flag&gt;0&lt;/Slat_Shear_Flag&gt;</v>
      </c>
      <c r="E415" s="174" t="str">
        <f t="shared" si="12"/>
        <v>Yes</v>
      </c>
      <c r="F415" s="6" t="s">
        <v>691</v>
      </c>
      <c r="G415" s="6"/>
      <c r="H415" s="17"/>
      <c r="I415" s="17"/>
      <c r="J415" s="17"/>
      <c r="K415" s="17"/>
      <c r="L415" s="17"/>
      <c r="M415" s="6"/>
      <c r="N415" s="17"/>
      <c r="O415" s="17"/>
      <c r="P415" s="17"/>
      <c r="Q415" s="17"/>
      <c r="R415" s="17"/>
      <c r="S415" s="17"/>
      <c r="T415" s="17"/>
      <c r="U415" s="17"/>
      <c r="V415" s="17"/>
      <c r="W415" s="17"/>
      <c r="X415" s="6"/>
      <c r="Y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c r="AZ415" s="17"/>
      <c r="BA415" s="17"/>
      <c r="BB415" s="17"/>
      <c r="BC415" s="17"/>
      <c r="BD415" s="17"/>
      <c r="BE415" s="17"/>
      <c r="BF415" s="17"/>
      <c r="BG415" s="17"/>
      <c r="BH415" s="17"/>
      <c r="BI415" s="17"/>
      <c r="BJ415" s="17"/>
      <c r="BK415" s="17"/>
      <c r="BL415" s="17"/>
      <c r="BM415" s="17"/>
      <c r="BN415" s="17"/>
      <c r="BO415" s="17"/>
      <c r="BP415" s="17"/>
      <c r="BQ415" s="17"/>
      <c r="BR415" s="17"/>
      <c r="BS415" s="17"/>
      <c r="BT415" s="17"/>
      <c r="BU415" s="17"/>
      <c r="BV415" s="17"/>
      <c r="BW415" s="17"/>
      <c r="BX415" s="17"/>
      <c r="BY415" s="17"/>
      <c r="BZ415" s="17"/>
      <c r="CA415" s="17"/>
      <c r="CB415" s="17"/>
      <c r="CC415" s="17"/>
      <c r="CD415" s="17"/>
      <c r="CE415" s="17"/>
      <c r="CF415" s="17"/>
      <c r="CG415" s="17"/>
      <c r="CH415" s="17"/>
      <c r="CI415" s="17"/>
      <c r="CJ415" s="17"/>
      <c r="CK415" s="17"/>
      <c r="CL415" s="17"/>
      <c r="CM415" s="17"/>
      <c r="CN415" s="17"/>
      <c r="CO415" s="17"/>
      <c r="CP415" s="17"/>
      <c r="CQ415" s="17"/>
      <c r="CR415" s="17"/>
      <c r="CS415" s="17"/>
      <c r="CT415" s="17"/>
      <c r="CU415" s="17"/>
      <c r="CV415" s="17"/>
      <c r="CW415" s="17"/>
      <c r="CX415" s="17"/>
      <c r="CY415" s="17"/>
      <c r="CZ415" s="17"/>
      <c r="DA415" s="17"/>
      <c r="DB415" s="17"/>
      <c r="DC415" s="17"/>
      <c r="DD415" s="17"/>
    </row>
    <row r="416" spans="1:108" s="11" customFormat="1" ht="12.75" hidden="1" customHeight="1" outlineLevel="5">
      <c r="A416" s="104" t="s">
        <v>112</v>
      </c>
      <c r="B416" s="101">
        <v>0.25</v>
      </c>
      <c r="C416" s="20"/>
      <c r="D416" s="103" t="str">
        <f>"&lt;" &amp; A416 &amp; "&gt;" &amp; TEXT(B416,"0.000000") &amp; "&lt;/" &amp; A416 &amp; "&gt;"</f>
        <v>&lt;Slat_Chord&gt;0.250000&lt;/Slat_Chord&gt;</v>
      </c>
      <c r="E416" s="174" t="str">
        <f t="shared" si="12"/>
        <v>Yes</v>
      </c>
      <c r="F416" s="6" t="s">
        <v>692</v>
      </c>
      <c r="G416" s="6"/>
      <c r="H416" s="17"/>
      <c r="I416" s="17"/>
      <c r="J416" s="17"/>
      <c r="K416" s="17"/>
      <c r="L416" s="17"/>
      <c r="M416" s="6"/>
      <c r="N416" s="17"/>
      <c r="O416" s="17"/>
      <c r="P416" s="17"/>
      <c r="Q416" s="17"/>
      <c r="R416" s="17"/>
      <c r="S416" s="17"/>
      <c r="T416" s="17"/>
      <c r="U416" s="17"/>
      <c r="V416" s="17"/>
      <c r="W416" s="17"/>
      <c r="X416" s="6"/>
      <c r="Y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c r="AZ416" s="17"/>
      <c r="BA416" s="17"/>
      <c r="BB416" s="17"/>
      <c r="BC416" s="17"/>
      <c r="BD416" s="17"/>
      <c r="BE416" s="17"/>
      <c r="BF416" s="17"/>
      <c r="BG416" s="17"/>
      <c r="BH416" s="17"/>
      <c r="BI416" s="17"/>
      <c r="BJ416" s="17"/>
      <c r="BK416" s="17"/>
      <c r="BL416" s="17"/>
      <c r="BM416" s="17"/>
      <c r="BN416" s="17"/>
      <c r="BO416" s="17"/>
      <c r="BP416" s="17"/>
      <c r="BQ416" s="17"/>
      <c r="BR416" s="17"/>
      <c r="BS416" s="17"/>
      <c r="BT416" s="17"/>
      <c r="BU416" s="17"/>
      <c r="BV416" s="17"/>
      <c r="BW416" s="17"/>
      <c r="BX416" s="17"/>
      <c r="BY416" s="17"/>
      <c r="BZ416" s="17"/>
      <c r="CA416" s="17"/>
      <c r="CB416" s="17"/>
      <c r="CC416" s="17"/>
      <c r="CD416" s="17"/>
      <c r="CE416" s="17"/>
      <c r="CF416" s="17"/>
      <c r="CG416" s="17"/>
      <c r="CH416" s="17"/>
      <c r="CI416" s="17"/>
      <c r="CJ416" s="17"/>
      <c r="CK416" s="17"/>
      <c r="CL416" s="17"/>
      <c r="CM416" s="17"/>
      <c r="CN416" s="17"/>
      <c r="CO416" s="17"/>
      <c r="CP416" s="17"/>
      <c r="CQ416" s="17"/>
      <c r="CR416" s="17"/>
      <c r="CS416" s="17"/>
      <c r="CT416" s="17"/>
      <c r="CU416" s="17"/>
      <c r="CV416" s="17"/>
      <c r="CW416" s="17"/>
      <c r="CX416" s="17"/>
      <c r="CY416" s="17"/>
      <c r="CZ416" s="17"/>
      <c r="DA416" s="17"/>
      <c r="DB416" s="17"/>
      <c r="DC416" s="17"/>
      <c r="DD416" s="17"/>
    </row>
    <row r="417" spans="1:108" s="11" customFormat="1" ht="12.75" hidden="1" customHeight="1" outlineLevel="5">
      <c r="A417" s="104" t="s">
        <v>113</v>
      </c>
      <c r="B417" s="101">
        <v>10</v>
      </c>
      <c r="C417" s="20"/>
      <c r="D417" s="103" t="str">
        <f>"&lt;" &amp; A417 &amp; "&gt;" &amp; TEXT(B417,"0.000000") &amp; "&lt;/" &amp; A417 &amp; "&gt;"</f>
        <v>&lt;Slat_Angle&gt;10.000000&lt;/Slat_Angle&gt;</v>
      </c>
      <c r="E417" s="174" t="str">
        <f t="shared" si="12"/>
        <v>Yes</v>
      </c>
      <c r="F417" s="6" t="s">
        <v>693</v>
      </c>
      <c r="G417" s="6"/>
      <c r="H417" s="17"/>
      <c r="I417" s="17"/>
      <c r="J417" s="17"/>
      <c r="K417" s="17"/>
      <c r="L417" s="17"/>
      <c r="M417" s="6"/>
      <c r="N417" s="17"/>
      <c r="O417" s="17"/>
      <c r="P417" s="17"/>
      <c r="Q417" s="17"/>
      <c r="R417" s="17"/>
      <c r="S417" s="17"/>
      <c r="T417" s="17"/>
      <c r="U417" s="17"/>
      <c r="V417" s="17"/>
      <c r="W417" s="17"/>
      <c r="X417" s="6"/>
      <c r="Y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c r="AZ417" s="17"/>
      <c r="BA417" s="17"/>
      <c r="BB417" s="17"/>
      <c r="BC417" s="17"/>
      <c r="BD417" s="17"/>
      <c r="BE417" s="17"/>
      <c r="BF417" s="17"/>
      <c r="BG417" s="17"/>
      <c r="BH417" s="17"/>
      <c r="BI417" s="17"/>
      <c r="BJ417" s="17"/>
      <c r="BK417" s="17"/>
      <c r="BL417" s="17"/>
      <c r="BM417" s="17"/>
      <c r="BN417" s="17"/>
      <c r="BO417" s="17"/>
      <c r="BP417" s="17"/>
      <c r="BQ417" s="17"/>
      <c r="BR417" s="17"/>
      <c r="BS417" s="17"/>
      <c r="BT417" s="17"/>
      <c r="BU417" s="17"/>
      <c r="BV417" s="17"/>
      <c r="BW417" s="17"/>
      <c r="BX417" s="17"/>
      <c r="BY417" s="17"/>
      <c r="BZ417" s="17"/>
      <c r="CA417" s="17"/>
      <c r="CB417" s="17"/>
      <c r="CC417" s="17"/>
      <c r="CD417" s="17"/>
      <c r="CE417" s="17"/>
      <c r="CF417" s="17"/>
      <c r="CG417" s="17"/>
      <c r="CH417" s="17"/>
      <c r="CI417" s="17"/>
      <c r="CJ417" s="17"/>
      <c r="CK417" s="17"/>
      <c r="CL417" s="17"/>
      <c r="CM417" s="17"/>
      <c r="CN417" s="17"/>
      <c r="CO417" s="17"/>
      <c r="CP417" s="17"/>
      <c r="CQ417" s="17"/>
      <c r="CR417" s="17"/>
      <c r="CS417" s="17"/>
      <c r="CT417" s="17"/>
      <c r="CU417" s="17"/>
      <c r="CV417" s="17"/>
      <c r="CW417" s="17"/>
      <c r="CX417" s="17"/>
      <c r="CY417" s="17"/>
      <c r="CZ417" s="17"/>
      <c r="DA417" s="17"/>
      <c r="DB417" s="17"/>
      <c r="DC417" s="17"/>
      <c r="DD417" s="17"/>
    </row>
    <row r="418" spans="1:108" s="11" customFormat="1" ht="12.75" hidden="1" customHeight="1" outlineLevel="5">
      <c r="A418" s="104" t="s">
        <v>114</v>
      </c>
      <c r="B418" s="100" t="s">
        <v>11</v>
      </c>
      <c r="C418" s="20"/>
      <c r="D418" s="134" t="str">
        <f>"&lt;" &amp; A418 &amp; "&gt;" &amp;IF(B418="Yes",1,0) &amp;"&lt;/" &amp;A418&amp;"&gt;"</f>
        <v>&lt;Flap_Flag&gt;1&lt;/Flap_Flag&gt;</v>
      </c>
      <c r="E418" s="174" t="str">
        <f t="shared" si="12"/>
        <v>Yes</v>
      </c>
      <c r="F418" s="6" t="s">
        <v>694</v>
      </c>
      <c r="G418" s="6"/>
      <c r="H418" s="17"/>
      <c r="I418" s="17"/>
      <c r="J418" s="17"/>
      <c r="K418" s="17"/>
      <c r="L418" s="17"/>
      <c r="M418" s="6"/>
      <c r="N418" s="17"/>
      <c r="O418" s="17"/>
      <c r="P418" s="17"/>
      <c r="Q418" s="17"/>
      <c r="R418" s="17"/>
      <c r="S418" s="17"/>
      <c r="T418" s="17"/>
      <c r="U418" s="17"/>
      <c r="V418" s="17"/>
      <c r="W418" s="17"/>
      <c r="X418" s="6"/>
      <c r="Y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c r="AZ418" s="17"/>
      <c r="BA418" s="17"/>
      <c r="BB418" s="17"/>
      <c r="BC418" s="17"/>
      <c r="BD418" s="17"/>
      <c r="BE418" s="17"/>
      <c r="BF418" s="17"/>
      <c r="BG418" s="17"/>
      <c r="BH418" s="17"/>
      <c r="BI418" s="17"/>
      <c r="BJ418" s="17"/>
      <c r="BK418" s="17"/>
      <c r="BL418" s="17"/>
      <c r="BM418" s="17"/>
      <c r="BN418" s="17"/>
      <c r="BO418" s="17"/>
      <c r="BP418" s="17"/>
      <c r="BQ418" s="17"/>
      <c r="BR418" s="17"/>
      <c r="BS418" s="17"/>
      <c r="BT418" s="17"/>
      <c r="BU418" s="17"/>
      <c r="BV418" s="17"/>
      <c r="BW418" s="17"/>
      <c r="BX418" s="17"/>
      <c r="BY418" s="17"/>
      <c r="BZ418" s="17"/>
      <c r="CA418" s="17"/>
      <c r="CB418" s="17"/>
      <c r="CC418" s="17"/>
      <c r="CD418" s="17"/>
      <c r="CE418" s="17"/>
      <c r="CF418" s="17"/>
      <c r="CG418" s="17"/>
      <c r="CH418" s="17"/>
      <c r="CI418" s="17"/>
      <c r="CJ418" s="17"/>
      <c r="CK418" s="17"/>
      <c r="CL418" s="17"/>
      <c r="CM418" s="17"/>
      <c r="CN418" s="17"/>
      <c r="CO418" s="17"/>
      <c r="CP418" s="17"/>
      <c r="CQ418" s="17"/>
      <c r="CR418" s="17"/>
      <c r="CS418" s="17"/>
      <c r="CT418" s="17"/>
      <c r="CU418" s="17"/>
      <c r="CV418" s="17"/>
      <c r="CW418" s="17"/>
      <c r="CX418" s="17"/>
      <c r="CY418" s="17"/>
      <c r="CZ418" s="17"/>
      <c r="DA418" s="17"/>
      <c r="DB418" s="17"/>
      <c r="DC418" s="17"/>
      <c r="DD418" s="17"/>
    </row>
    <row r="419" spans="1:108" s="11" customFormat="1" ht="12.75" hidden="1" customHeight="1" outlineLevel="5">
      <c r="A419" s="104" t="s">
        <v>115</v>
      </c>
      <c r="B419" s="100" t="s">
        <v>12</v>
      </c>
      <c r="C419" s="20"/>
      <c r="D419" s="134" t="str">
        <f>"&lt;" &amp; A419 &amp; "&gt;" &amp;IF(B419="Yes",1,0) &amp;"&lt;/" &amp;A419&amp;"&gt;"</f>
        <v>&lt;Flap_Shear_Flag&gt;0&lt;/Flap_Shear_Flag&gt;</v>
      </c>
      <c r="E419" s="174" t="str">
        <f t="shared" si="12"/>
        <v>Yes</v>
      </c>
      <c r="F419" s="6" t="s">
        <v>695</v>
      </c>
      <c r="G419" s="6"/>
      <c r="H419" s="17"/>
      <c r="I419" s="17"/>
      <c r="J419" s="17"/>
      <c r="K419" s="17"/>
      <c r="L419" s="17"/>
      <c r="M419" s="6"/>
      <c r="N419" s="17"/>
      <c r="O419" s="17"/>
      <c r="P419" s="17"/>
      <c r="Q419" s="17"/>
      <c r="R419" s="17"/>
      <c r="S419" s="17"/>
      <c r="T419" s="17"/>
      <c r="U419" s="17"/>
      <c r="V419" s="17"/>
      <c r="W419" s="17"/>
      <c r="X419" s="6"/>
      <c r="Y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c r="AZ419" s="17"/>
      <c r="BA419" s="17"/>
      <c r="BB419" s="17"/>
      <c r="BC419" s="17"/>
      <c r="BD419" s="17"/>
      <c r="BE419" s="17"/>
      <c r="BF419" s="17"/>
      <c r="BG419" s="17"/>
      <c r="BH419" s="17"/>
      <c r="BI419" s="17"/>
      <c r="BJ419" s="17"/>
      <c r="BK419" s="17"/>
      <c r="BL419" s="17"/>
      <c r="BM419" s="17"/>
      <c r="BN419" s="17"/>
      <c r="BO419" s="17"/>
      <c r="BP419" s="17"/>
      <c r="BQ419" s="17"/>
      <c r="BR419" s="17"/>
      <c r="BS419" s="17"/>
      <c r="BT419" s="17"/>
      <c r="BU419" s="17"/>
      <c r="BV419" s="17"/>
      <c r="BW419" s="17"/>
      <c r="BX419" s="17"/>
      <c r="BY419" s="17"/>
      <c r="BZ419" s="17"/>
      <c r="CA419" s="17"/>
      <c r="CB419" s="17"/>
      <c r="CC419" s="17"/>
      <c r="CD419" s="17"/>
      <c r="CE419" s="17"/>
      <c r="CF419" s="17"/>
      <c r="CG419" s="17"/>
      <c r="CH419" s="17"/>
      <c r="CI419" s="17"/>
      <c r="CJ419" s="17"/>
      <c r="CK419" s="17"/>
      <c r="CL419" s="17"/>
      <c r="CM419" s="17"/>
      <c r="CN419" s="17"/>
      <c r="CO419" s="17"/>
      <c r="CP419" s="17"/>
      <c r="CQ419" s="17"/>
      <c r="CR419" s="17"/>
      <c r="CS419" s="17"/>
      <c r="CT419" s="17"/>
      <c r="CU419" s="17"/>
      <c r="CV419" s="17"/>
      <c r="CW419" s="17"/>
      <c r="CX419" s="17"/>
      <c r="CY419" s="17"/>
      <c r="CZ419" s="17"/>
      <c r="DA419" s="17"/>
      <c r="DB419" s="17"/>
      <c r="DC419" s="17"/>
      <c r="DD419" s="17"/>
    </row>
    <row r="420" spans="1:108" s="11" customFormat="1" ht="12.75" hidden="1" customHeight="1" outlineLevel="5">
      <c r="A420" s="104" t="s">
        <v>116</v>
      </c>
      <c r="B420" s="13">
        <v>0.31</v>
      </c>
      <c r="C420" s="20"/>
      <c r="D420" s="103" t="str">
        <f>"&lt;" &amp; A420 &amp; "&gt;" &amp; TEXT(B420,"0.000000") &amp; "&lt;/" &amp; A420 &amp; "&gt;"</f>
        <v>&lt;Flap_Chord&gt;0.310000&lt;/Flap_Chord&gt;</v>
      </c>
      <c r="E420" s="174" t="str">
        <f t="shared" si="12"/>
        <v>Yes</v>
      </c>
      <c r="F420" s="6" t="s">
        <v>727</v>
      </c>
      <c r="G420" s="6"/>
      <c r="H420" s="17"/>
      <c r="I420" s="17"/>
      <c r="J420" s="17"/>
      <c r="K420" s="17"/>
      <c r="L420" s="17"/>
      <c r="M420" s="6"/>
      <c r="N420" s="17"/>
      <c r="O420" s="17"/>
      <c r="P420" s="17"/>
      <c r="Q420" s="17"/>
      <c r="R420" s="17"/>
      <c r="S420" s="17"/>
      <c r="T420" s="17"/>
      <c r="U420" s="17"/>
      <c r="V420" s="17"/>
      <c r="W420" s="17"/>
      <c r="X420" s="6"/>
      <c r="Y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c r="AZ420" s="17"/>
      <c r="BA420" s="17"/>
      <c r="BB420" s="17"/>
      <c r="BC420" s="17"/>
      <c r="BD420" s="17"/>
      <c r="BE420" s="17"/>
      <c r="BF420" s="17"/>
      <c r="BG420" s="17"/>
      <c r="BH420" s="17"/>
      <c r="BI420" s="17"/>
      <c r="BJ420" s="17"/>
      <c r="BK420" s="17"/>
      <c r="BL420" s="17"/>
      <c r="BM420" s="17"/>
      <c r="BN420" s="17"/>
      <c r="BO420" s="17"/>
      <c r="BP420" s="17"/>
      <c r="BQ420" s="17"/>
      <c r="BR420" s="17"/>
      <c r="BS420" s="17"/>
      <c r="BT420" s="17"/>
      <c r="BU420" s="17"/>
      <c r="BV420" s="17"/>
      <c r="BW420" s="17"/>
      <c r="BX420" s="17"/>
      <c r="BY420" s="17"/>
      <c r="BZ420" s="17"/>
      <c r="CA420" s="17"/>
      <c r="CB420" s="17"/>
      <c r="CC420" s="17"/>
      <c r="CD420" s="17"/>
      <c r="CE420" s="17"/>
      <c r="CF420" s="17"/>
      <c r="CG420" s="17"/>
      <c r="CH420" s="17"/>
      <c r="CI420" s="17"/>
      <c r="CJ420" s="17"/>
      <c r="CK420" s="17"/>
      <c r="CL420" s="17"/>
      <c r="CM420" s="17"/>
      <c r="CN420" s="17"/>
      <c r="CO420" s="17"/>
      <c r="CP420" s="17"/>
      <c r="CQ420" s="17"/>
      <c r="CR420" s="17"/>
      <c r="CS420" s="17"/>
      <c r="CT420" s="17"/>
      <c r="CU420" s="17"/>
      <c r="CV420" s="17"/>
      <c r="CW420" s="17"/>
      <c r="CX420" s="17"/>
      <c r="CY420" s="17"/>
      <c r="CZ420" s="17"/>
      <c r="DA420" s="17"/>
      <c r="DB420" s="17"/>
      <c r="DC420" s="17"/>
      <c r="DD420" s="17"/>
    </row>
    <row r="421" spans="1:108" s="11" customFormat="1" ht="12.75" hidden="1" customHeight="1" outlineLevel="5">
      <c r="A421" s="104" t="s">
        <v>117</v>
      </c>
      <c r="B421" s="13">
        <v>10</v>
      </c>
      <c r="C421" s="20"/>
      <c r="D421" s="103" t="str">
        <f>"&lt;" &amp; A421 &amp; "&gt;" &amp; TEXT(B421,"0.000000") &amp; "&lt;/" &amp; A421 &amp; "&gt;"</f>
        <v>&lt;Flap_Angle&gt;10.000000&lt;/Flap_Angle&gt;</v>
      </c>
      <c r="E421" s="174" t="str">
        <f t="shared" si="12"/>
        <v>Yes</v>
      </c>
      <c r="F421" s="6" t="s">
        <v>697</v>
      </c>
      <c r="G421" s="6"/>
      <c r="H421" s="17"/>
      <c r="I421" s="17"/>
      <c r="J421" s="17"/>
      <c r="K421" s="17"/>
      <c r="L421" s="17"/>
      <c r="M421" s="6"/>
      <c r="N421" s="17"/>
      <c r="O421" s="17"/>
      <c r="P421" s="17"/>
      <c r="Q421" s="17"/>
      <c r="R421" s="17"/>
      <c r="S421" s="17"/>
      <c r="T421" s="17"/>
      <c r="U421" s="17"/>
      <c r="V421" s="17"/>
      <c r="W421" s="17"/>
      <c r="X421" s="6"/>
      <c r="Y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c r="AZ421" s="17"/>
      <c r="BA421" s="17"/>
      <c r="BB421" s="17"/>
      <c r="BC421" s="17"/>
      <c r="BD421" s="17"/>
      <c r="BE421" s="17"/>
      <c r="BF421" s="17"/>
      <c r="BG421" s="17"/>
      <c r="BH421" s="17"/>
      <c r="BI421" s="17"/>
      <c r="BJ421" s="17"/>
      <c r="BK421" s="17"/>
      <c r="BL421" s="17"/>
      <c r="BM421" s="17"/>
      <c r="BN421" s="17"/>
      <c r="BO421" s="17"/>
      <c r="BP421" s="17"/>
      <c r="BQ421" s="17"/>
      <c r="BR421" s="17"/>
      <c r="BS421" s="17"/>
      <c r="BT421" s="17"/>
      <c r="BU421" s="17"/>
      <c r="BV421" s="17"/>
      <c r="BW421" s="17"/>
      <c r="BX421" s="17"/>
      <c r="BY421" s="17"/>
      <c r="BZ421" s="17"/>
      <c r="CA421" s="17"/>
      <c r="CB421" s="17"/>
      <c r="CC421" s="17"/>
      <c r="CD421" s="17"/>
      <c r="CE421" s="17"/>
      <c r="CF421" s="17"/>
      <c r="CG421" s="17"/>
      <c r="CH421" s="17"/>
      <c r="CI421" s="17"/>
      <c r="CJ421" s="17"/>
      <c r="CK421" s="17"/>
      <c r="CL421" s="17"/>
      <c r="CM421" s="17"/>
      <c r="CN421" s="17"/>
      <c r="CO421" s="17"/>
      <c r="CP421" s="17"/>
      <c r="CQ421" s="17"/>
      <c r="CR421" s="17"/>
      <c r="CS421" s="17"/>
      <c r="CT421" s="17"/>
      <c r="CU421" s="17"/>
      <c r="CV421" s="17"/>
      <c r="CW421" s="17"/>
      <c r="CX421" s="17"/>
      <c r="CY421" s="17"/>
      <c r="CZ421" s="17"/>
      <c r="DA421" s="17"/>
      <c r="DB421" s="17"/>
      <c r="DC421" s="17"/>
      <c r="DD421" s="17"/>
    </row>
    <row r="422" spans="1:108" s="11" customFormat="1" ht="12.75" hidden="1" customHeight="1" outlineLevel="5">
      <c r="A422" s="104" t="s">
        <v>118</v>
      </c>
      <c r="B422" s="17"/>
      <c r="C422" s="20"/>
      <c r="D422" s="17" t="str">
        <f>"&lt;" &amp; A422 &amp; "&gt;"</f>
        <v>&lt;/Airfoil&gt;</v>
      </c>
      <c r="E422" s="174" t="str">
        <f t="shared" si="12"/>
        <v>Yes</v>
      </c>
      <c r="F422" s="6" t="s">
        <v>698</v>
      </c>
      <c r="G422" s="6"/>
      <c r="H422" s="17"/>
      <c r="I422" s="17"/>
      <c r="J422" s="17"/>
      <c r="K422" s="17"/>
      <c r="L422" s="17"/>
      <c r="M422" s="6"/>
      <c r="N422" s="17"/>
      <c r="O422" s="17"/>
      <c r="P422" s="17"/>
      <c r="Q422" s="17"/>
      <c r="R422" s="17"/>
      <c r="S422" s="17"/>
      <c r="T422" s="17"/>
      <c r="U422" s="17"/>
      <c r="V422" s="17"/>
      <c r="W422" s="17"/>
      <c r="X422" s="6"/>
      <c r="Y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c r="AZ422" s="17"/>
      <c r="BA422" s="17"/>
      <c r="BB422" s="17"/>
      <c r="BC422" s="17"/>
      <c r="BD422" s="17"/>
      <c r="BE422" s="17"/>
      <c r="BF422" s="17"/>
      <c r="BG422" s="17"/>
      <c r="BH422" s="17"/>
      <c r="BI422" s="17"/>
      <c r="BJ422" s="17"/>
      <c r="BK422" s="17"/>
      <c r="BL422" s="17"/>
      <c r="BM422" s="17"/>
      <c r="BN422" s="17"/>
      <c r="BO422" s="17"/>
      <c r="BP422" s="17"/>
      <c r="BQ422" s="17"/>
      <c r="BR422" s="17"/>
      <c r="BS422" s="17"/>
      <c r="BT422" s="17"/>
      <c r="BU422" s="17"/>
      <c r="BV422" s="17"/>
      <c r="BW422" s="17"/>
      <c r="BX422" s="17"/>
      <c r="BY422" s="17"/>
      <c r="BZ422" s="17"/>
      <c r="CA422" s="17"/>
      <c r="CB422" s="17"/>
      <c r="CC422" s="17"/>
      <c r="CD422" s="17"/>
      <c r="CE422" s="17"/>
      <c r="CF422" s="17"/>
      <c r="CG422" s="17"/>
      <c r="CH422" s="17"/>
      <c r="CI422" s="17"/>
      <c r="CJ422" s="17"/>
      <c r="CK422" s="17"/>
      <c r="CL422" s="17"/>
      <c r="CM422" s="17"/>
      <c r="CN422" s="17"/>
      <c r="CO422" s="17"/>
      <c r="CP422" s="17"/>
      <c r="CQ422" s="17"/>
      <c r="CR422" s="17"/>
      <c r="CS422" s="17"/>
      <c r="CT422" s="17"/>
      <c r="CU422" s="17"/>
      <c r="CV422" s="17"/>
      <c r="CW422" s="17"/>
      <c r="CX422" s="17"/>
      <c r="CY422" s="17"/>
      <c r="CZ422" s="17"/>
      <c r="DA422" s="17"/>
      <c r="DB422" s="17"/>
      <c r="DC422" s="17"/>
      <c r="DD422" s="17"/>
    </row>
    <row r="423" spans="1:108" s="11" customFormat="1" ht="12.75" hidden="1" customHeight="1" outlineLevel="4" collapsed="1">
      <c r="A423" s="104" t="s">
        <v>2</v>
      </c>
      <c r="B423" s="99" t="s">
        <v>386</v>
      </c>
      <c r="C423" s="20"/>
      <c r="D423" s="17" t="str">
        <f>"&lt;" &amp; A423 &amp; "&gt;"</f>
        <v>&lt;Airfoil&gt;</v>
      </c>
      <c r="E423" s="174" t="str">
        <f t="shared" si="12"/>
        <v>Yes</v>
      </c>
      <c r="F423" s="6" t="s">
        <v>678</v>
      </c>
      <c r="G423" s="6"/>
      <c r="H423" s="17"/>
      <c r="I423" s="17"/>
      <c r="J423" s="17"/>
      <c r="K423" s="17"/>
      <c r="L423" s="17"/>
      <c r="M423" s="6"/>
      <c r="N423" s="17"/>
      <c r="O423" s="17"/>
      <c r="P423" s="17"/>
      <c r="Q423" s="17"/>
      <c r="R423" s="17"/>
      <c r="S423" s="17"/>
      <c r="T423" s="17"/>
      <c r="U423" s="17"/>
      <c r="V423" s="17"/>
      <c r="W423" s="17"/>
      <c r="X423" s="6"/>
      <c r="Y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c r="AZ423" s="17"/>
      <c r="BA423" s="17"/>
      <c r="BB423" s="17"/>
      <c r="BC423" s="17"/>
      <c r="BD423" s="17"/>
      <c r="BE423" s="17"/>
      <c r="BF423" s="17"/>
      <c r="BG423" s="17"/>
      <c r="BH423" s="17"/>
      <c r="BI423" s="17"/>
      <c r="BJ423" s="17"/>
      <c r="BK423" s="17"/>
      <c r="BL423" s="17"/>
      <c r="BM423" s="17"/>
      <c r="BN423" s="17"/>
      <c r="BO423" s="17"/>
      <c r="BP423" s="17"/>
      <c r="BQ423" s="1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row>
    <row r="424" spans="1:108" s="11" customFormat="1" ht="12.75" hidden="1" customHeight="1" outlineLevel="5">
      <c r="A424" s="104" t="s">
        <v>14</v>
      </c>
      <c r="B424" s="28">
        <v>1</v>
      </c>
      <c r="C424" s="20"/>
      <c r="D424" s="103" t="str">
        <f>"&lt;" &amp; A424 &amp; "&gt;" &amp; TEXT(B424,0) &amp; "&lt;/" &amp; A424 &amp; "&gt;"</f>
        <v>&lt;Type&gt;1&lt;/Type&gt;</v>
      </c>
      <c r="E424" s="174" t="str">
        <f t="shared" si="12"/>
        <v>Yes</v>
      </c>
      <c r="F424" s="6" t="s">
        <v>679</v>
      </c>
      <c r="G424" s="6"/>
      <c r="H424" s="17"/>
      <c r="I424" s="17"/>
      <c r="J424" s="17"/>
      <c r="K424" s="17"/>
      <c r="L424" s="17"/>
      <c r="M424" s="6"/>
      <c r="N424" s="17"/>
      <c r="O424" s="17"/>
      <c r="P424" s="17"/>
      <c r="Q424" s="17"/>
      <c r="R424" s="17"/>
      <c r="S424" s="17"/>
      <c r="T424" s="17"/>
      <c r="U424" s="17"/>
      <c r="V424" s="17"/>
      <c r="W424" s="17"/>
      <c r="X424" s="6"/>
      <c r="Y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c r="AZ424" s="17"/>
      <c r="BA424" s="17"/>
      <c r="BB424" s="17"/>
      <c r="BC424" s="17"/>
      <c r="BD424" s="17"/>
      <c r="BE424" s="17"/>
      <c r="BF424" s="17"/>
      <c r="BG424" s="17"/>
      <c r="BH424" s="17"/>
      <c r="BI424" s="17"/>
      <c r="BJ424" s="17"/>
      <c r="BK424" s="17"/>
      <c r="BL424" s="17"/>
      <c r="BM424" s="17"/>
      <c r="BN424" s="17"/>
      <c r="BO424" s="17"/>
      <c r="BP424" s="17"/>
      <c r="BQ424" s="1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row>
    <row r="425" spans="1:108" s="11" customFormat="1" ht="12.75" hidden="1" customHeight="1" outlineLevel="5">
      <c r="A425" s="104" t="s">
        <v>102</v>
      </c>
      <c r="B425" s="100" t="s">
        <v>12</v>
      </c>
      <c r="C425" s="20"/>
      <c r="D425" s="134" t="str">
        <f>"&lt;" &amp; A425 &amp; "&gt;" &amp;IF(B425="Yes",1,0) &amp;"&lt;/" &amp;A425&amp;"&gt;"</f>
        <v>&lt;Inverted_Flag&gt;0&lt;/Inverted_Flag&gt;</v>
      </c>
      <c r="E425" s="174" t="str">
        <f t="shared" si="12"/>
        <v>Yes</v>
      </c>
      <c r="F425" s="6" t="s">
        <v>680</v>
      </c>
      <c r="G425" s="6"/>
      <c r="H425" s="17"/>
      <c r="I425" s="17"/>
      <c r="J425" s="17"/>
      <c r="K425" s="17"/>
      <c r="L425" s="17"/>
      <c r="M425" s="6"/>
      <c r="N425" s="17"/>
      <c r="O425" s="17"/>
      <c r="P425" s="17"/>
      <c r="Q425" s="17"/>
      <c r="R425" s="17"/>
      <c r="S425" s="17"/>
      <c r="T425" s="17"/>
      <c r="U425" s="17"/>
      <c r="V425" s="17"/>
      <c r="W425" s="17"/>
      <c r="X425" s="6"/>
      <c r="Y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c r="AZ425" s="17"/>
      <c r="BA425" s="17"/>
      <c r="BB425" s="17"/>
      <c r="BC425" s="17"/>
      <c r="BD425" s="17"/>
      <c r="BE425" s="17"/>
      <c r="BF425" s="17"/>
      <c r="BG425" s="17"/>
      <c r="BH425" s="17"/>
      <c r="BI425" s="17"/>
      <c r="BJ425" s="17"/>
      <c r="BK425" s="17"/>
      <c r="BL425" s="17"/>
      <c r="BM425" s="17"/>
      <c r="BN425" s="17"/>
      <c r="BO425" s="17"/>
      <c r="BP425" s="17"/>
      <c r="BQ425" s="1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row>
    <row r="426" spans="1:108" s="11" customFormat="1" ht="12.75" hidden="1" customHeight="1" outlineLevel="5">
      <c r="A426" s="104" t="s">
        <v>4</v>
      </c>
      <c r="B426" s="101">
        <v>0</v>
      </c>
      <c r="C426" s="20"/>
      <c r="D426" s="103" t="str">
        <f t="shared" ref="D426:D431" si="14">"&lt;" &amp; A426 &amp; "&gt;" &amp; TEXT(B426,"0.000000") &amp; "&lt;/" &amp; A426 &amp; "&gt;"</f>
        <v>&lt;Camber&gt;0.000000&lt;/Camber&gt;</v>
      </c>
      <c r="E426" s="174" t="str">
        <f t="shared" si="12"/>
        <v>Yes</v>
      </c>
      <c r="F426" s="6" t="s">
        <v>681</v>
      </c>
      <c r="G426" s="6"/>
      <c r="H426" s="17"/>
      <c r="I426" s="17"/>
      <c r="J426" s="17"/>
      <c r="K426" s="17"/>
      <c r="L426" s="17"/>
      <c r="M426" s="6"/>
      <c r="N426" s="17"/>
      <c r="O426" s="17"/>
      <c r="P426" s="17"/>
      <c r="Q426" s="17"/>
      <c r="R426" s="17"/>
      <c r="S426" s="17"/>
      <c r="T426" s="17"/>
      <c r="U426" s="17"/>
      <c r="V426" s="17"/>
      <c r="W426" s="17"/>
      <c r="X426" s="6"/>
      <c r="Y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c r="AZ426" s="17"/>
      <c r="BA426" s="17"/>
      <c r="BB426" s="17"/>
      <c r="BC426" s="17"/>
      <c r="BD426" s="17"/>
      <c r="BE426" s="17"/>
      <c r="BF426" s="17"/>
      <c r="BG426" s="17"/>
      <c r="BH426" s="17"/>
      <c r="BI426" s="17"/>
      <c r="BJ426" s="17"/>
      <c r="BK426" s="17"/>
      <c r="BL426" s="17"/>
      <c r="BM426" s="17"/>
      <c r="BN426" s="17"/>
      <c r="BO426" s="17"/>
      <c r="BP426" s="17"/>
      <c r="BQ426" s="17"/>
      <c r="BR426" s="17"/>
      <c r="BS426" s="17"/>
      <c r="BT426" s="17"/>
      <c r="BU426" s="17"/>
      <c r="BV426" s="17"/>
      <c r="BW426" s="17"/>
      <c r="BX426" s="17"/>
      <c r="BY426" s="17"/>
      <c r="BZ426" s="17"/>
      <c r="CA426" s="17"/>
      <c r="CB426" s="17"/>
      <c r="CC426" s="17"/>
      <c r="CD426" s="17"/>
      <c r="CE426" s="17"/>
      <c r="CF426" s="17"/>
      <c r="CG426" s="17"/>
      <c r="CH426" s="17"/>
      <c r="CI426" s="17"/>
      <c r="CJ426" s="17"/>
      <c r="CK426" s="17"/>
      <c r="CL426" s="17"/>
      <c r="CM426" s="17"/>
      <c r="CN426" s="17"/>
      <c r="CO426" s="17"/>
      <c r="CP426" s="17"/>
      <c r="CQ426" s="17"/>
      <c r="CR426" s="17"/>
      <c r="CS426" s="17"/>
      <c r="CT426" s="17"/>
      <c r="CU426" s="17"/>
      <c r="CV426" s="17"/>
      <c r="CW426" s="17"/>
      <c r="CX426" s="17"/>
      <c r="CY426" s="17"/>
      <c r="CZ426" s="17"/>
      <c r="DA426" s="17"/>
      <c r="DB426" s="17"/>
      <c r="DC426" s="17"/>
      <c r="DD426" s="17"/>
    </row>
    <row r="427" spans="1:108" s="11" customFormat="1" ht="12.75" hidden="1" customHeight="1" outlineLevel="5">
      <c r="A427" s="104" t="s">
        <v>103</v>
      </c>
      <c r="B427" s="101">
        <v>0.1</v>
      </c>
      <c r="C427" s="20"/>
      <c r="D427" s="103" t="str">
        <f t="shared" si="14"/>
        <v>&lt;Camber_Loc&gt;0.100000&lt;/Camber_Loc&gt;</v>
      </c>
      <c r="E427" s="174" t="str">
        <f t="shared" si="12"/>
        <v>Yes</v>
      </c>
      <c r="F427" s="6" t="s">
        <v>682</v>
      </c>
      <c r="G427" s="6"/>
      <c r="H427" s="17"/>
      <c r="I427" s="17"/>
      <c r="J427" s="17"/>
      <c r="K427" s="17"/>
      <c r="L427" s="17"/>
      <c r="M427" s="6"/>
      <c r="N427" s="17"/>
      <c r="O427" s="17"/>
      <c r="P427" s="17"/>
      <c r="Q427" s="17"/>
      <c r="R427" s="17"/>
      <c r="S427" s="17"/>
      <c r="T427" s="17"/>
      <c r="U427" s="17"/>
      <c r="V427" s="17"/>
      <c r="W427" s="17"/>
      <c r="X427" s="6"/>
      <c r="Y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c r="AZ427" s="17"/>
      <c r="BA427" s="17"/>
      <c r="BB427" s="17"/>
      <c r="BC427" s="17"/>
      <c r="BD427" s="17"/>
      <c r="BE427" s="17"/>
      <c r="BF427" s="17"/>
      <c r="BG427" s="17"/>
      <c r="BH427" s="17"/>
      <c r="BI427" s="17"/>
      <c r="BJ427" s="17"/>
      <c r="BK427" s="17"/>
      <c r="BL427" s="17"/>
      <c r="BM427" s="17"/>
      <c r="BN427" s="17"/>
      <c r="BO427" s="17"/>
      <c r="BP427" s="17"/>
      <c r="BQ427" s="17"/>
      <c r="BR427" s="17"/>
      <c r="BS427" s="17"/>
      <c r="BT427" s="17"/>
      <c r="BU427" s="17"/>
      <c r="BV427" s="17"/>
      <c r="BW427" s="17"/>
      <c r="BX427" s="17"/>
      <c r="BY427" s="17"/>
      <c r="BZ427" s="17"/>
      <c r="CA427" s="17"/>
      <c r="CB427" s="17"/>
      <c r="CC427" s="17"/>
      <c r="CD427" s="17"/>
      <c r="CE427" s="17"/>
      <c r="CF427" s="17"/>
      <c r="CG427" s="17"/>
      <c r="CH427" s="17"/>
      <c r="CI427" s="17"/>
      <c r="CJ427" s="17"/>
      <c r="CK427" s="17"/>
      <c r="CL427" s="17"/>
      <c r="CM427" s="17"/>
      <c r="CN427" s="17"/>
      <c r="CO427" s="17"/>
      <c r="CP427" s="17"/>
      <c r="CQ427" s="17"/>
      <c r="CR427" s="17"/>
      <c r="CS427" s="17"/>
      <c r="CT427" s="17"/>
      <c r="CU427" s="17"/>
      <c r="CV427" s="17"/>
      <c r="CW427" s="17"/>
      <c r="CX427" s="17"/>
      <c r="CY427" s="17"/>
      <c r="CZ427" s="17"/>
      <c r="DA427" s="17"/>
      <c r="DB427" s="17"/>
      <c r="DC427" s="17"/>
      <c r="DD427" s="17"/>
    </row>
    <row r="428" spans="1:108" s="11" customFormat="1" ht="12.75" hidden="1" customHeight="1" outlineLevel="5">
      <c r="A428" s="104" t="s">
        <v>5</v>
      </c>
      <c r="B428" s="101">
        <v>0.1</v>
      </c>
      <c r="C428" s="20"/>
      <c r="D428" s="103" t="str">
        <f t="shared" si="14"/>
        <v>&lt;Thickness&gt;0.100000&lt;/Thickness&gt;</v>
      </c>
      <c r="E428" s="174" t="str">
        <f t="shared" si="12"/>
        <v>Yes</v>
      </c>
      <c r="F428" s="6" t="s">
        <v>683</v>
      </c>
      <c r="G428" s="6"/>
      <c r="H428" s="17"/>
      <c r="I428" s="17"/>
      <c r="J428" s="17"/>
      <c r="K428" s="17"/>
      <c r="L428" s="17"/>
      <c r="M428" s="6"/>
      <c r="N428" s="17"/>
      <c r="O428" s="17"/>
      <c r="P428" s="17"/>
      <c r="Q428" s="17"/>
      <c r="R428" s="17"/>
      <c r="S428" s="17"/>
      <c r="T428" s="17"/>
      <c r="U428" s="17"/>
      <c r="V428" s="17"/>
      <c r="W428" s="17"/>
      <c r="X428" s="6"/>
      <c r="Y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c r="AZ428" s="17"/>
      <c r="BA428" s="17"/>
      <c r="BB428" s="17"/>
      <c r="BC428" s="17"/>
      <c r="BD428" s="17"/>
      <c r="BE428" s="17"/>
      <c r="BF428" s="17"/>
      <c r="BG428" s="17"/>
      <c r="BH428" s="17"/>
      <c r="BI428" s="17"/>
      <c r="BJ428" s="17"/>
      <c r="BK428" s="17"/>
      <c r="BL428" s="17"/>
      <c r="BM428" s="17"/>
      <c r="BN428" s="17"/>
      <c r="BO428" s="17"/>
      <c r="BP428" s="17"/>
      <c r="BQ428" s="17"/>
      <c r="BR428" s="17"/>
      <c r="BS428" s="17"/>
      <c r="BT428" s="17"/>
      <c r="BU428" s="17"/>
      <c r="BV428" s="17"/>
      <c r="BW428" s="17"/>
      <c r="BX428" s="17"/>
      <c r="BY428" s="17"/>
      <c r="BZ428" s="17"/>
      <c r="CA428" s="17"/>
      <c r="CB428" s="17"/>
      <c r="CC428" s="17"/>
      <c r="CD428" s="17"/>
      <c r="CE428" s="17"/>
      <c r="CF428" s="17"/>
      <c r="CG428" s="17"/>
      <c r="CH428" s="17"/>
      <c r="CI428" s="17"/>
      <c r="CJ428" s="17"/>
      <c r="CK428" s="17"/>
      <c r="CL428" s="17"/>
      <c r="CM428" s="17"/>
      <c r="CN428" s="17"/>
      <c r="CO428" s="17"/>
      <c r="CP428" s="17"/>
      <c r="CQ428" s="17"/>
      <c r="CR428" s="17"/>
      <c r="CS428" s="17"/>
      <c r="CT428" s="17"/>
      <c r="CU428" s="17"/>
      <c r="CV428" s="17"/>
      <c r="CW428" s="17"/>
      <c r="CX428" s="17"/>
      <c r="CY428" s="17"/>
      <c r="CZ428" s="17"/>
      <c r="DA428" s="17"/>
      <c r="DB428" s="17"/>
      <c r="DC428" s="17"/>
      <c r="DD428" s="17"/>
    </row>
    <row r="429" spans="1:108" s="11" customFormat="1" ht="12.75" hidden="1" customHeight="1" outlineLevel="5">
      <c r="A429" s="104" t="s">
        <v>104</v>
      </c>
      <c r="B429" s="101">
        <v>0.3</v>
      </c>
      <c r="C429" s="20"/>
      <c r="D429" s="103" t="str">
        <f t="shared" si="14"/>
        <v>&lt;Thickness_Loc&gt;0.300000&lt;/Thickness_Loc&gt;</v>
      </c>
      <c r="E429" s="174" t="str">
        <f t="shared" si="12"/>
        <v>Yes</v>
      </c>
      <c r="F429" s="6" t="s">
        <v>684</v>
      </c>
      <c r="G429" s="6"/>
      <c r="H429" s="17"/>
      <c r="I429" s="17"/>
      <c r="J429" s="17"/>
      <c r="K429" s="17"/>
      <c r="L429" s="17"/>
      <c r="M429" s="6"/>
      <c r="N429" s="17"/>
      <c r="O429" s="17"/>
      <c r="P429" s="17"/>
      <c r="Q429" s="17"/>
      <c r="R429" s="17"/>
      <c r="S429" s="17"/>
      <c r="T429" s="17"/>
      <c r="U429" s="17"/>
      <c r="V429" s="17"/>
      <c r="W429" s="17"/>
      <c r="X429" s="6"/>
      <c r="Y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c r="AZ429" s="17"/>
      <c r="BA429" s="17"/>
      <c r="BB429" s="17"/>
      <c r="BC429" s="17"/>
      <c r="BD429" s="17"/>
      <c r="BE429" s="17"/>
      <c r="BF429" s="17"/>
      <c r="BG429" s="17"/>
      <c r="BH429" s="17"/>
      <c r="BI429" s="17"/>
      <c r="BJ429" s="17"/>
      <c r="BK429" s="17"/>
      <c r="BL429" s="17"/>
      <c r="BM429" s="17"/>
      <c r="BN429" s="17"/>
      <c r="BO429" s="17"/>
      <c r="BP429" s="17"/>
      <c r="BQ429" s="17"/>
      <c r="BR429" s="17"/>
      <c r="BS429" s="17"/>
      <c r="BT429" s="17"/>
      <c r="BU429" s="17"/>
      <c r="BV429" s="17"/>
      <c r="BW429" s="17"/>
      <c r="BX429" s="17"/>
      <c r="BY429" s="17"/>
      <c r="BZ429" s="17"/>
      <c r="CA429" s="17"/>
      <c r="CB429" s="17"/>
      <c r="CC429" s="17"/>
      <c r="CD429" s="17"/>
      <c r="CE429" s="17"/>
      <c r="CF429" s="17"/>
      <c r="CG429" s="17"/>
      <c r="CH429" s="17"/>
      <c r="CI429" s="17"/>
      <c r="CJ429" s="17"/>
      <c r="CK429" s="17"/>
      <c r="CL429" s="17"/>
      <c r="CM429" s="17"/>
      <c r="CN429" s="17"/>
      <c r="CO429" s="17"/>
      <c r="CP429" s="17"/>
      <c r="CQ429" s="17"/>
      <c r="CR429" s="17"/>
      <c r="CS429" s="17"/>
      <c r="CT429" s="17"/>
      <c r="CU429" s="17"/>
      <c r="CV429" s="17"/>
      <c r="CW429" s="17"/>
      <c r="CX429" s="17"/>
      <c r="CY429" s="17"/>
      <c r="CZ429" s="17"/>
      <c r="DA429" s="17"/>
      <c r="DB429" s="17"/>
      <c r="DC429" s="17"/>
      <c r="DD429" s="17"/>
    </row>
    <row r="430" spans="1:108" s="11" customFormat="1" ht="12.75" hidden="1" customHeight="1" outlineLevel="5">
      <c r="A430" s="104" t="s">
        <v>105</v>
      </c>
      <c r="B430" s="101">
        <v>1.1018999999999999E-2</v>
      </c>
      <c r="C430" s="20"/>
      <c r="D430" s="103" t="str">
        <f t="shared" si="14"/>
        <v>&lt;Radius_Le&gt;0.011019&lt;/Radius_Le&gt;</v>
      </c>
      <c r="E430" s="174" t="str">
        <f t="shared" si="12"/>
        <v>Yes</v>
      </c>
      <c r="F430" s="6" t="s">
        <v>685</v>
      </c>
      <c r="G430" s="6"/>
      <c r="H430" s="17"/>
      <c r="I430" s="17"/>
      <c r="J430" s="17"/>
      <c r="K430" s="17"/>
      <c r="L430" s="17"/>
      <c r="M430" s="6"/>
      <c r="N430" s="17"/>
      <c r="O430" s="17"/>
      <c r="P430" s="17"/>
      <c r="Q430" s="17"/>
      <c r="R430" s="17"/>
      <c r="S430" s="17"/>
      <c r="T430" s="17"/>
      <c r="U430" s="17"/>
      <c r="V430" s="17"/>
      <c r="W430" s="17"/>
      <c r="X430" s="6"/>
      <c r="Y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c r="AZ430" s="17"/>
      <c r="BA430" s="17"/>
      <c r="BB430" s="17"/>
      <c r="BC430" s="17"/>
      <c r="BD430" s="17"/>
      <c r="BE430" s="17"/>
      <c r="BF430" s="17"/>
      <c r="BG430" s="17"/>
      <c r="BH430" s="17"/>
      <c r="BI430" s="17"/>
      <c r="BJ430" s="17"/>
      <c r="BK430" s="17"/>
      <c r="BL430" s="17"/>
      <c r="BM430" s="17"/>
      <c r="BN430" s="17"/>
      <c r="BO430" s="17"/>
      <c r="BP430" s="17"/>
      <c r="BQ430" s="17"/>
      <c r="BR430" s="17"/>
      <c r="BS430" s="17"/>
      <c r="BT430" s="17"/>
      <c r="BU430" s="17"/>
      <c r="BV430" s="17"/>
      <c r="BW430" s="17"/>
      <c r="BX430" s="17"/>
      <c r="BY430" s="17"/>
      <c r="BZ430" s="17"/>
      <c r="CA430" s="17"/>
      <c r="CB430" s="17"/>
      <c r="CC430" s="17"/>
      <c r="CD430" s="17"/>
      <c r="CE430" s="17"/>
      <c r="CF430" s="17"/>
      <c r="CG430" s="17"/>
      <c r="CH430" s="17"/>
      <c r="CI430" s="17"/>
      <c r="CJ430" s="17"/>
      <c r="CK430" s="17"/>
      <c r="CL430" s="17"/>
      <c r="CM430" s="17"/>
      <c r="CN430" s="17"/>
      <c r="CO430" s="17"/>
      <c r="CP430" s="17"/>
      <c r="CQ430" s="17"/>
      <c r="CR430" s="17"/>
      <c r="CS430" s="17"/>
      <c r="CT430" s="17"/>
      <c r="CU430" s="17"/>
      <c r="CV430" s="17"/>
      <c r="CW430" s="17"/>
      <c r="CX430" s="17"/>
      <c r="CY430" s="17"/>
      <c r="CZ430" s="17"/>
      <c r="DA430" s="17"/>
      <c r="DB430" s="17"/>
      <c r="DC430" s="17"/>
      <c r="DD430" s="17"/>
    </row>
    <row r="431" spans="1:108" s="11" customFormat="1" ht="12.75" hidden="1" customHeight="1" outlineLevel="5">
      <c r="A431" s="104" t="s">
        <v>106</v>
      </c>
      <c r="B431" s="101">
        <v>0</v>
      </c>
      <c r="C431" s="20"/>
      <c r="D431" s="103" t="str">
        <f t="shared" si="14"/>
        <v>&lt;Radius_Te&gt;0.000000&lt;/Radius_Te&gt;</v>
      </c>
      <c r="E431" s="174" t="str">
        <f t="shared" si="12"/>
        <v>Yes</v>
      </c>
      <c r="F431" s="6" t="s">
        <v>686</v>
      </c>
      <c r="G431" s="6"/>
      <c r="H431" s="17"/>
      <c r="I431" s="17"/>
      <c r="J431" s="17"/>
      <c r="K431" s="17"/>
      <c r="L431" s="17"/>
      <c r="M431" s="6"/>
      <c r="N431" s="17"/>
      <c r="O431" s="17"/>
      <c r="P431" s="17"/>
      <c r="Q431" s="17"/>
      <c r="R431" s="17"/>
      <c r="S431" s="17"/>
      <c r="T431" s="17"/>
      <c r="U431" s="17"/>
      <c r="V431" s="17"/>
      <c r="W431" s="17"/>
      <c r="X431" s="6"/>
      <c r="Y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c r="AZ431" s="17"/>
      <c r="BA431" s="17"/>
      <c r="BB431" s="17"/>
      <c r="BC431" s="17"/>
      <c r="BD431" s="17"/>
      <c r="BE431" s="17"/>
      <c r="BF431" s="17"/>
      <c r="BG431" s="17"/>
      <c r="BH431" s="17"/>
      <c r="BI431" s="17"/>
      <c r="BJ431" s="17"/>
      <c r="BK431" s="17"/>
      <c r="BL431" s="17"/>
      <c r="BM431" s="17"/>
      <c r="BN431" s="17"/>
      <c r="BO431" s="17"/>
      <c r="BP431" s="17"/>
      <c r="BQ431" s="17"/>
      <c r="BR431" s="17"/>
      <c r="BS431" s="17"/>
      <c r="BT431" s="17"/>
      <c r="BU431" s="17"/>
      <c r="BV431" s="17"/>
      <c r="BW431" s="17"/>
      <c r="BX431" s="17"/>
      <c r="BY431" s="17"/>
      <c r="BZ431" s="17"/>
      <c r="CA431" s="17"/>
      <c r="CB431" s="17"/>
      <c r="CC431" s="17"/>
      <c r="CD431" s="17"/>
      <c r="CE431" s="17"/>
      <c r="CF431" s="17"/>
      <c r="CG431" s="17"/>
      <c r="CH431" s="17"/>
      <c r="CI431" s="17"/>
      <c r="CJ431" s="17"/>
      <c r="CK431" s="17"/>
      <c r="CL431" s="17"/>
      <c r="CM431" s="17"/>
      <c r="CN431" s="17"/>
      <c r="CO431" s="17"/>
      <c r="CP431" s="17"/>
      <c r="CQ431" s="17"/>
      <c r="CR431" s="17"/>
      <c r="CS431" s="17"/>
      <c r="CT431" s="17"/>
      <c r="CU431" s="17"/>
      <c r="CV431" s="17"/>
      <c r="CW431" s="17"/>
      <c r="CX431" s="17"/>
      <c r="CY431" s="17"/>
      <c r="CZ431" s="17"/>
      <c r="DA431" s="17"/>
      <c r="DB431" s="17"/>
      <c r="DC431" s="17"/>
      <c r="DD431" s="17"/>
    </row>
    <row r="432" spans="1:108" s="11" customFormat="1" ht="12.75" hidden="1" customHeight="1" outlineLevel="5">
      <c r="A432" s="104" t="s">
        <v>107</v>
      </c>
      <c r="B432" s="102">
        <v>63</v>
      </c>
      <c r="C432" s="20"/>
      <c r="D432" s="103" t="str">
        <f>"&lt;" &amp; A432 &amp; "&gt;" &amp; TEXT(B432,0) &amp; "&lt;/" &amp; A432 &amp; "&gt;"</f>
        <v>&lt;Six_Series&gt;63&lt;/Six_Series&gt;</v>
      </c>
      <c r="E432" s="174" t="str">
        <f t="shared" si="12"/>
        <v>Yes</v>
      </c>
      <c r="F432" s="6" t="s">
        <v>687</v>
      </c>
      <c r="G432" s="6"/>
      <c r="H432" s="17"/>
      <c r="I432" s="17"/>
      <c r="J432" s="17"/>
      <c r="K432" s="17"/>
      <c r="L432" s="17"/>
      <c r="M432" s="6"/>
      <c r="N432" s="17"/>
      <c r="O432" s="17"/>
      <c r="P432" s="17"/>
      <c r="Q432" s="17"/>
      <c r="R432" s="17"/>
      <c r="S432" s="17"/>
      <c r="T432" s="17"/>
      <c r="U432" s="17"/>
      <c r="V432" s="17"/>
      <c r="W432" s="17"/>
      <c r="X432" s="6"/>
      <c r="Y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c r="AZ432" s="17"/>
      <c r="BA432" s="17"/>
      <c r="BB432" s="17"/>
      <c r="BC432" s="17"/>
      <c r="BD432" s="17"/>
      <c r="BE432" s="17"/>
      <c r="BF432" s="17"/>
      <c r="BG432" s="17"/>
      <c r="BH432" s="17"/>
      <c r="BI432" s="17"/>
      <c r="BJ432" s="17"/>
      <c r="BK432" s="17"/>
      <c r="BL432" s="17"/>
      <c r="BM432" s="17"/>
      <c r="BN432" s="17"/>
      <c r="BO432" s="17"/>
      <c r="BP432" s="17"/>
      <c r="BQ432" s="17"/>
      <c r="BR432" s="17"/>
      <c r="BS432" s="17"/>
      <c r="BT432" s="17"/>
      <c r="BU432" s="17"/>
      <c r="BV432" s="17"/>
      <c r="BW432" s="17"/>
      <c r="BX432" s="17"/>
      <c r="BY432" s="17"/>
      <c r="BZ432" s="17"/>
      <c r="CA432" s="17"/>
      <c r="CB432" s="17"/>
      <c r="CC432" s="17"/>
      <c r="CD432" s="17"/>
      <c r="CE432" s="17"/>
      <c r="CF432" s="17"/>
      <c r="CG432" s="17"/>
      <c r="CH432" s="17"/>
      <c r="CI432" s="17"/>
      <c r="CJ432" s="17"/>
      <c r="CK432" s="17"/>
      <c r="CL432" s="17"/>
      <c r="CM432" s="17"/>
      <c r="CN432" s="17"/>
      <c r="CO432" s="17"/>
      <c r="CP432" s="17"/>
      <c r="CQ432" s="17"/>
      <c r="CR432" s="17"/>
      <c r="CS432" s="17"/>
      <c r="CT432" s="17"/>
      <c r="CU432" s="17"/>
      <c r="CV432" s="17"/>
      <c r="CW432" s="17"/>
      <c r="CX432" s="17"/>
      <c r="CY432" s="17"/>
      <c r="CZ432" s="17"/>
      <c r="DA432" s="17"/>
      <c r="DB432" s="17"/>
      <c r="DC432" s="17"/>
      <c r="DD432" s="17"/>
    </row>
    <row r="433" spans="1:108" s="11" customFormat="1" ht="12.75" hidden="1" customHeight="1" outlineLevel="5">
      <c r="A433" s="104" t="s">
        <v>108</v>
      </c>
      <c r="B433" s="101">
        <v>0</v>
      </c>
      <c r="C433" s="20"/>
      <c r="D433" s="103" t="str">
        <f>"&lt;" &amp; A433 &amp; "&gt;" &amp; TEXT(B433,"0.000000") &amp; "&lt;/" &amp; A433 &amp; "&gt;"</f>
        <v>&lt;Ideal_Cl&gt;0.000000&lt;/Ideal_Cl&gt;</v>
      </c>
      <c r="E433" s="174" t="str">
        <f t="shared" si="12"/>
        <v>Yes</v>
      </c>
      <c r="F433" s="6" t="s">
        <v>688</v>
      </c>
      <c r="G433" s="6"/>
      <c r="H433" s="17"/>
      <c r="I433" s="17"/>
      <c r="J433" s="17"/>
      <c r="K433" s="17"/>
      <c r="L433" s="17"/>
      <c r="M433" s="6"/>
      <c r="N433" s="17"/>
      <c r="O433" s="17"/>
      <c r="P433" s="17"/>
      <c r="Q433" s="17"/>
      <c r="R433" s="17"/>
      <c r="S433" s="17"/>
      <c r="T433" s="17"/>
      <c r="U433" s="17"/>
      <c r="V433" s="17"/>
      <c r="W433" s="17"/>
      <c r="X433" s="6"/>
      <c r="Y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c r="AZ433" s="17"/>
      <c r="BA433" s="17"/>
      <c r="BB433" s="17"/>
      <c r="BC433" s="17"/>
      <c r="BD433" s="17"/>
      <c r="BE433" s="17"/>
      <c r="BF433" s="17"/>
      <c r="BG433" s="17"/>
      <c r="BH433" s="17"/>
      <c r="BI433" s="17"/>
      <c r="BJ433" s="17"/>
      <c r="BK433" s="17"/>
      <c r="BL433" s="17"/>
      <c r="BM433" s="17"/>
      <c r="BN433" s="17"/>
      <c r="BO433" s="17"/>
      <c r="BP433" s="17"/>
      <c r="BQ433" s="17"/>
      <c r="BR433" s="17"/>
      <c r="BS433" s="17"/>
      <c r="BT433" s="17"/>
      <c r="BU433" s="17"/>
      <c r="BV433" s="17"/>
      <c r="BW433" s="17"/>
      <c r="BX433" s="17"/>
      <c r="BY433" s="17"/>
      <c r="BZ433" s="17"/>
      <c r="CA433" s="17"/>
      <c r="CB433" s="17"/>
      <c r="CC433" s="17"/>
      <c r="CD433" s="17"/>
      <c r="CE433" s="17"/>
      <c r="CF433" s="17"/>
      <c r="CG433" s="17"/>
      <c r="CH433" s="17"/>
      <c r="CI433" s="17"/>
      <c r="CJ433" s="17"/>
      <c r="CK433" s="17"/>
      <c r="CL433" s="17"/>
      <c r="CM433" s="17"/>
      <c r="CN433" s="17"/>
      <c r="CO433" s="17"/>
      <c r="CP433" s="17"/>
      <c r="CQ433" s="17"/>
      <c r="CR433" s="17"/>
      <c r="CS433" s="17"/>
      <c r="CT433" s="17"/>
      <c r="CU433" s="17"/>
      <c r="CV433" s="17"/>
      <c r="CW433" s="17"/>
      <c r="CX433" s="17"/>
      <c r="CY433" s="17"/>
      <c r="CZ433" s="17"/>
      <c r="DA433" s="17"/>
      <c r="DB433" s="17"/>
      <c r="DC433" s="17"/>
      <c r="DD433" s="17"/>
    </row>
    <row r="434" spans="1:108" s="11" customFormat="1" ht="12.75" hidden="1" customHeight="1" outlineLevel="5">
      <c r="A434" s="104" t="s">
        <v>109</v>
      </c>
      <c r="B434" s="101">
        <v>0</v>
      </c>
      <c r="C434" s="20"/>
      <c r="D434" s="103" t="str">
        <f>"&lt;" &amp; A434 &amp; "&gt;" &amp; TEXT(B434,"0.000000") &amp; "&lt;/" &amp; A434 &amp; "&gt;"</f>
        <v>&lt;A&gt;0.000000&lt;/A&gt;</v>
      </c>
      <c r="E434" s="174" t="str">
        <f t="shared" si="12"/>
        <v>Yes</v>
      </c>
      <c r="F434" s="6" t="s">
        <v>689</v>
      </c>
      <c r="G434" s="6"/>
      <c r="H434" s="17"/>
      <c r="I434" s="17"/>
      <c r="J434" s="17"/>
      <c r="K434" s="17"/>
      <c r="L434" s="17"/>
      <c r="M434" s="6"/>
      <c r="N434" s="17"/>
      <c r="O434" s="17"/>
      <c r="P434" s="17"/>
      <c r="Q434" s="17"/>
      <c r="R434" s="17"/>
      <c r="S434" s="17"/>
      <c r="T434" s="17"/>
      <c r="U434" s="17"/>
      <c r="V434" s="17"/>
      <c r="W434" s="17"/>
      <c r="X434" s="6"/>
      <c r="Y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c r="AZ434" s="17"/>
      <c r="BA434" s="17"/>
      <c r="BB434" s="17"/>
      <c r="BC434" s="17"/>
      <c r="BD434" s="17"/>
      <c r="BE434" s="17"/>
      <c r="BF434" s="17"/>
      <c r="BG434" s="17"/>
      <c r="BH434" s="17"/>
      <c r="BI434" s="17"/>
      <c r="BJ434" s="17"/>
      <c r="BK434" s="17"/>
      <c r="BL434" s="17"/>
      <c r="BM434" s="17"/>
      <c r="BN434" s="17"/>
      <c r="BO434" s="17"/>
      <c r="BP434" s="17"/>
      <c r="BQ434" s="17"/>
      <c r="BR434" s="17"/>
      <c r="BS434" s="17"/>
      <c r="BT434" s="17"/>
      <c r="BU434" s="17"/>
      <c r="BV434" s="17"/>
      <c r="BW434" s="17"/>
      <c r="BX434" s="17"/>
      <c r="BY434" s="17"/>
      <c r="BZ434" s="17"/>
      <c r="CA434" s="17"/>
      <c r="CB434" s="17"/>
      <c r="CC434" s="17"/>
      <c r="CD434" s="17"/>
      <c r="CE434" s="17"/>
      <c r="CF434" s="17"/>
      <c r="CG434" s="17"/>
      <c r="CH434" s="17"/>
      <c r="CI434" s="17"/>
      <c r="CJ434" s="17"/>
      <c r="CK434" s="17"/>
      <c r="CL434" s="17"/>
      <c r="CM434" s="17"/>
      <c r="CN434" s="17"/>
      <c r="CO434" s="17"/>
      <c r="CP434" s="17"/>
      <c r="CQ434" s="17"/>
      <c r="CR434" s="17"/>
      <c r="CS434" s="17"/>
      <c r="CT434" s="17"/>
      <c r="CU434" s="17"/>
      <c r="CV434" s="17"/>
      <c r="CW434" s="17"/>
      <c r="CX434" s="17"/>
      <c r="CY434" s="17"/>
      <c r="CZ434" s="17"/>
      <c r="DA434" s="17"/>
      <c r="DB434" s="17"/>
      <c r="DC434" s="17"/>
      <c r="DD434" s="17"/>
    </row>
    <row r="435" spans="1:108" s="11" customFormat="1" ht="12.75" hidden="1" customHeight="1" outlineLevel="5">
      <c r="A435" s="104" t="s">
        <v>110</v>
      </c>
      <c r="B435" s="100" t="s">
        <v>12</v>
      </c>
      <c r="C435" s="20"/>
      <c r="D435" s="134" t="str">
        <f>"&lt;" &amp; A435 &amp; "&gt;" &amp;IF(B435="Yes",1,0) &amp;"&lt;/" &amp;A435&amp;"&gt;"</f>
        <v>&lt;Slat_Flag&gt;0&lt;/Slat_Flag&gt;</v>
      </c>
      <c r="E435" s="174" t="str">
        <f t="shared" si="12"/>
        <v>Yes</v>
      </c>
      <c r="F435" s="6" t="s">
        <v>690</v>
      </c>
      <c r="G435" s="6"/>
      <c r="H435" s="17"/>
      <c r="I435" s="17"/>
      <c r="J435" s="17"/>
      <c r="K435" s="17"/>
      <c r="L435" s="17"/>
      <c r="M435" s="6"/>
      <c r="N435" s="17"/>
      <c r="O435" s="17"/>
      <c r="P435" s="17"/>
      <c r="Q435" s="17"/>
      <c r="R435" s="17"/>
      <c r="S435" s="17"/>
      <c r="T435" s="17"/>
      <c r="U435" s="17"/>
      <c r="V435" s="17"/>
      <c r="W435" s="17"/>
      <c r="X435" s="6"/>
      <c r="Y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c r="AZ435" s="17"/>
      <c r="BA435" s="17"/>
      <c r="BB435" s="17"/>
      <c r="BC435" s="17"/>
      <c r="BD435" s="17"/>
      <c r="BE435" s="17"/>
      <c r="BF435" s="17"/>
      <c r="BG435" s="17"/>
      <c r="BH435" s="17"/>
      <c r="BI435" s="17"/>
      <c r="BJ435" s="17"/>
      <c r="BK435" s="17"/>
      <c r="BL435" s="17"/>
      <c r="BM435" s="17"/>
      <c r="BN435" s="17"/>
      <c r="BO435" s="17"/>
      <c r="BP435" s="17"/>
      <c r="BQ435" s="17"/>
      <c r="BR435" s="17"/>
      <c r="BS435" s="17"/>
      <c r="BT435" s="17"/>
      <c r="BU435" s="17"/>
      <c r="BV435" s="17"/>
      <c r="BW435" s="17"/>
      <c r="BX435" s="17"/>
      <c r="BY435" s="17"/>
      <c r="BZ435" s="17"/>
      <c r="CA435" s="17"/>
      <c r="CB435" s="17"/>
      <c r="CC435" s="17"/>
      <c r="CD435" s="17"/>
      <c r="CE435" s="17"/>
      <c r="CF435" s="17"/>
      <c r="CG435" s="17"/>
      <c r="CH435" s="17"/>
      <c r="CI435" s="17"/>
      <c r="CJ435" s="17"/>
      <c r="CK435" s="17"/>
      <c r="CL435" s="17"/>
      <c r="CM435" s="17"/>
      <c r="CN435" s="17"/>
      <c r="CO435" s="17"/>
      <c r="CP435" s="17"/>
      <c r="CQ435" s="17"/>
      <c r="CR435" s="17"/>
      <c r="CS435" s="17"/>
      <c r="CT435" s="17"/>
      <c r="CU435" s="17"/>
      <c r="CV435" s="17"/>
      <c r="CW435" s="17"/>
      <c r="CX435" s="17"/>
      <c r="CY435" s="17"/>
      <c r="CZ435" s="17"/>
      <c r="DA435" s="17"/>
      <c r="DB435" s="17"/>
      <c r="DC435" s="17"/>
      <c r="DD435" s="17"/>
    </row>
    <row r="436" spans="1:108" s="11" customFormat="1" ht="12.75" hidden="1" customHeight="1" outlineLevel="5">
      <c r="A436" s="104" t="s">
        <v>111</v>
      </c>
      <c r="B436" s="100" t="s">
        <v>12</v>
      </c>
      <c r="C436" s="20"/>
      <c r="D436" s="134" t="str">
        <f>"&lt;" &amp; A436 &amp; "&gt;" &amp;IF(B436="Yes",1,0) &amp;"&lt;/" &amp;A436&amp;"&gt;"</f>
        <v>&lt;Slat_Shear_Flag&gt;0&lt;/Slat_Shear_Flag&gt;</v>
      </c>
      <c r="E436" s="174" t="str">
        <f t="shared" si="12"/>
        <v>Yes</v>
      </c>
      <c r="F436" s="6" t="s">
        <v>691</v>
      </c>
      <c r="G436" s="6"/>
      <c r="H436" s="17"/>
      <c r="I436" s="17"/>
      <c r="J436" s="17"/>
      <c r="K436" s="17"/>
      <c r="L436" s="17"/>
      <c r="M436" s="6"/>
      <c r="N436" s="17"/>
      <c r="O436" s="17"/>
      <c r="P436" s="17"/>
      <c r="Q436" s="17"/>
      <c r="R436" s="17"/>
      <c r="S436" s="17"/>
      <c r="T436" s="17"/>
      <c r="U436" s="17"/>
      <c r="V436" s="17"/>
      <c r="W436" s="17"/>
      <c r="X436" s="6"/>
      <c r="Y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c r="AZ436" s="17"/>
      <c r="BA436" s="17"/>
      <c r="BB436" s="17"/>
      <c r="BC436" s="17"/>
      <c r="BD436" s="17"/>
      <c r="BE436" s="17"/>
      <c r="BF436" s="17"/>
      <c r="BG436" s="17"/>
      <c r="BH436" s="17"/>
      <c r="BI436" s="17"/>
      <c r="BJ436" s="17"/>
      <c r="BK436" s="17"/>
      <c r="BL436" s="17"/>
      <c r="BM436" s="17"/>
      <c r="BN436" s="17"/>
      <c r="BO436" s="17"/>
      <c r="BP436" s="17"/>
      <c r="BQ436" s="17"/>
      <c r="BR436" s="17"/>
      <c r="BS436" s="17"/>
      <c r="BT436" s="17"/>
      <c r="BU436" s="17"/>
      <c r="BV436" s="17"/>
      <c r="BW436" s="17"/>
      <c r="BX436" s="17"/>
      <c r="BY436" s="17"/>
      <c r="BZ436" s="17"/>
      <c r="CA436" s="17"/>
      <c r="CB436" s="17"/>
      <c r="CC436" s="17"/>
      <c r="CD436" s="17"/>
      <c r="CE436" s="17"/>
      <c r="CF436" s="17"/>
      <c r="CG436" s="17"/>
      <c r="CH436" s="17"/>
      <c r="CI436" s="17"/>
      <c r="CJ436" s="17"/>
      <c r="CK436" s="17"/>
      <c r="CL436" s="17"/>
      <c r="CM436" s="17"/>
      <c r="CN436" s="17"/>
      <c r="CO436" s="17"/>
      <c r="CP436" s="17"/>
      <c r="CQ436" s="17"/>
      <c r="CR436" s="17"/>
      <c r="CS436" s="17"/>
      <c r="CT436" s="17"/>
      <c r="CU436" s="17"/>
      <c r="CV436" s="17"/>
      <c r="CW436" s="17"/>
      <c r="CX436" s="17"/>
      <c r="CY436" s="17"/>
      <c r="CZ436" s="17"/>
      <c r="DA436" s="17"/>
      <c r="DB436" s="17"/>
      <c r="DC436" s="17"/>
      <c r="DD436" s="17"/>
    </row>
    <row r="437" spans="1:108" s="11" customFormat="1" ht="12.75" hidden="1" customHeight="1" outlineLevel="5">
      <c r="A437" s="104" t="s">
        <v>112</v>
      </c>
      <c r="B437" s="101">
        <v>0.25</v>
      </c>
      <c r="C437" s="20"/>
      <c r="D437" s="103" t="str">
        <f>"&lt;" &amp; A437 &amp; "&gt;" &amp; TEXT(B437,"0.000000") &amp; "&lt;/" &amp; A437 &amp; "&gt;"</f>
        <v>&lt;Slat_Chord&gt;0.250000&lt;/Slat_Chord&gt;</v>
      </c>
      <c r="E437" s="174" t="str">
        <f t="shared" si="12"/>
        <v>Yes</v>
      </c>
      <c r="F437" s="6" t="s">
        <v>692</v>
      </c>
      <c r="G437" s="6"/>
      <c r="H437" s="17"/>
      <c r="I437" s="17"/>
      <c r="J437" s="17"/>
      <c r="K437" s="17"/>
      <c r="L437" s="17"/>
      <c r="M437" s="6"/>
      <c r="N437" s="17"/>
      <c r="O437" s="17"/>
      <c r="P437" s="17"/>
      <c r="Q437" s="17"/>
      <c r="R437" s="17"/>
      <c r="S437" s="17"/>
      <c r="T437" s="17"/>
      <c r="U437" s="17"/>
      <c r="V437" s="17"/>
      <c r="W437" s="17"/>
      <c r="X437" s="6"/>
      <c r="Y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c r="AZ437" s="17"/>
      <c r="BA437" s="17"/>
      <c r="BB437" s="17"/>
      <c r="BC437" s="17"/>
      <c r="BD437" s="17"/>
      <c r="BE437" s="17"/>
      <c r="BF437" s="17"/>
      <c r="BG437" s="17"/>
      <c r="BH437" s="17"/>
      <c r="BI437" s="17"/>
      <c r="BJ437" s="17"/>
      <c r="BK437" s="17"/>
      <c r="BL437" s="17"/>
      <c r="BM437" s="17"/>
      <c r="BN437" s="17"/>
      <c r="BO437" s="17"/>
      <c r="BP437" s="17"/>
      <c r="BQ437" s="17"/>
      <c r="BR437" s="17"/>
      <c r="BS437" s="17"/>
      <c r="BT437" s="17"/>
      <c r="BU437" s="17"/>
      <c r="BV437" s="17"/>
      <c r="BW437" s="17"/>
      <c r="BX437" s="17"/>
      <c r="BY437" s="17"/>
      <c r="BZ437" s="17"/>
      <c r="CA437" s="17"/>
      <c r="CB437" s="17"/>
      <c r="CC437" s="17"/>
      <c r="CD437" s="17"/>
      <c r="CE437" s="17"/>
      <c r="CF437" s="17"/>
      <c r="CG437" s="17"/>
      <c r="CH437" s="17"/>
      <c r="CI437" s="17"/>
      <c r="CJ437" s="17"/>
      <c r="CK437" s="17"/>
      <c r="CL437" s="17"/>
      <c r="CM437" s="17"/>
      <c r="CN437" s="17"/>
      <c r="CO437" s="17"/>
      <c r="CP437" s="17"/>
      <c r="CQ437" s="17"/>
      <c r="CR437" s="17"/>
      <c r="CS437" s="17"/>
      <c r="CT437" s="17"/>
      <c r="CU437" s="17"/>
      <c r="CV437" s="17"/>
      <c r="CW437" s="17"/>
      <c r="CX437" s="17"/>
      <c r="CY437" s="17"/>
      <c r="CZ437" s="17"/>
      <c r="DA437" s="17"/>
      <c r="DB437" s="17"/>
      <c r="DC437" s="17"/>
      <c r="DD437" s="17"/>
    </row>
    <row r="438" spans="1:108" s="11" customFormat="1" ht="12.75" hidden="1" customHeight="1" outlineLevel="5">
      <c r="A438" s="104" t="s">
        <v>113</v>
      </c>
      <c r="B438" s="101">
        <v>10</v>
      </c>
      <c r="C438" s="20"/>
      <c r="D438" s="103" t="str">
        <f>"&lt;" &amp; A438 &amp; "&gt;" &amp; TEXT(B438,"0.000000") &amp; "&lt;/" &amp; A438 &amp; "&gt;"</f>
        <v>&lt;Slat_Angle&gt;10.000000&lt;/Slat_Angle&gt;</v>
      </c>
      <c r="E438" s="174" t="str">
        <f t="shared" si="12"/>
        <v>Yes</v>
      </c>
      <c r="F438" s="6" t="s">
        <v>693</v>
      </c>
      <c r="G438" s="6"/>
      <c r="H438" s="17"/>
      <c r="I438" s="17"/>
      <c r="J438" s="17"/>
      <c r="K438" s="17"/>
      <c r="L438" s="17"/>
      <c r="M438" s="6"/>
      <c r="N438" s="17"/>
      <c r="O438" s="17"/>
      <c r="P438" s="17"/>
      <c r="Q438" s="17"/>
      <c r="R438" s="17"/>
      <c r="S438" s="17"/>
      <c r="T438" s="17"/>
      <c r="U438" s="17"/>
      <c r="V438" s="17"/>
      <c r="W438" s="17"/>
      <c r="X438" s="6"/>
      <c r="Y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c r="AZ438" s="17"/>
      <c r="BA438" s="17"/>
      <c r="BB438" s="17"/>
      <c r="BC438" s="17"/>
      <c r="BD438" s="17"/>
      <c r="BE438" s="17"/>
      <c r="BF438" s="17"/>
      <c r="BG438" s="17"/>
      <c r="BH438" s="17"/>
      <c r="BI438" s="17"/>
      <c r="BJ438" s="17"/>
      <c r="BK438" s="17"/>
      <c r="BL438" s="17"/>
      <c r="BM438" s="17"/>
      <c r="BN438" s="17"/>
      <c r="BO438" s="17"/>
      <c r="BP438" s="17"/>
      <c r="BQ438" s="17"/>
      <c r="BR438" s="17"/>
      <c r="BS438" s="17"/>
      <c r="BT438" s="17"/>
      <c r="BU438" s="17"/>
      <c r="BV438" s="17"/>
      <c r="BW438" s="17"/>
      <c r="BX438" s="17"/>
      <c r="BY438" s="17"/>
      <c r="BZ438" s="17"/>
      <c r="CA438" s="17"/>
      <c r="CB438" s="17"/>
      <c r="CC438" s="17"/>
      <c r="CD438" s="17"/>
      <c r="CE438" s="17"/>
      <c r="CF438" s="17"/>
      <c r="CG438" s="17"/>
      <c r="CH438" s="17"/>
      <c r="CI438" s="17"/>
      <c r="CJ438" s="17"/>
      <c r="CK438" s="17"/>
      <c r="CL438" s="17"/>
      <c r="CM438" s="17"/>
      <c r="CN438" s="17"/>
      <c r="CO438" s="17"/>
      <c r="CP438" s="17"/>
      <c r="CQ438" s="17"/>
      <c r="CR438" s="17"/>
      <c r="CS438" s="17"/>
      <c r="CT438" s="17"/>
      <c r="CU438" s="17"/>
      <c r="CV438" s="17"/>
      <c r="CW438" s="17"/>
      <c r="CX438" s="17"/>
      <c r="CY438" s="17"/>
      <c r="CZ438" s="17"/>
      <c r="DA438" s="17"/>
      <c r="DB438" s="17"/>
      <c r="DC438" s="17"/>
      <c r="DD438" s="17"/>
    </row>
    <row r="439" spans="1:108" s="11" customFormat="1" ht="12.75" hidden="1" customHeight="1" outlineLevel="5">
      <c r="A439" s="104" t="s">
        <v>114</v>
      </c>
      <c r="B439" s="100" t="s">
        <v>11</v>
      </c>
      <c r="C439" s="20"/>
      <c r="D439" s="134" t="str">
        <f>"&lt;" &amp; A439 &amp; "&gt;" &amp;IF(B439="Yes",1,0) &amp;"&lt;/" &amp;A439&amp;"&gt;"</f>
        <v>&lt;Flap_Flag&gt;1&lt;/Flap_Flag&gt;</v>
      </c>
      <c r="E439" s="174" t="str">
        <f t="shared" si="12"/>
        <v>Yes</v>
      </c>
      <c r="F439" s="6" t="s">
        <v>694</v>
      </c>
      <c r="G439" s="6"/>
      <c r="H439" s="17"/>
      <c r="I439" s="17"/>
      <c r="J439" s="17"/>
      <c r="K439" s="17"/>
      <c r="L439" s="17"/>
      <c r="M439" s="6"/>
      <c r="N439" s="17"/>
      <c r="O439" s="17"/>
      <c r="P439" s="17"/>
      <c r="Q439" s="17"/>
      <c r="R439" s="17"/>
      <c r="S439" s="17"/>
      <c r="T439" s="17"/>
      <c r="U439" s="17"/>
      <c r="V439" s="17"/>
      <c r="W439" s="17"/>
      <c r="X439" s="6"/>
      <c r="Y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c r="BC439" s="17"/>
      <c r="BD439" s="17"/>
      <c r="BE439" s="17"/>
      <c r="BF439" s="17"/>
      <c r="BG439" s="17"/>
      <c r="BH439" s="17"/>
      <c r="BI439" s="17"/>
      <c r="BJ439" s="17"/>
      <c r="BK439" s="17"/>
      <c r="BL439" s="17"/>
      <c r="BM439" s="17"/>
      <c r="BN439" s="17"/>
      <c r="BO439" s="17"/>
      <c r="BP439" s="17"/>
      <c r="BQ439" s="17"/>
      <c r="BR439" s="17"/>
      <c r="BS439" s="17"/>
      <c r="BT439" s="17"/>
      <c r="BU439" s="17"/>
      <c r="BV439" s="17"/>
      <c r="BW439" s="17"/>
      <c r="BX439" s="17"/>
      <c r="BY439" s="17"/>
      <c r="BZ439" s="17"/>
      <c r="CA439" s="17"/>
      <c r="CB439" s="17"/>
      <c r="CC439" s="17"/>
      <c r="CD439" s="17"/>
      <c r="CE439" s="17"/>
      <c r="CF439" s="17"/>
      <c r="CG439" s="17"/>
      <c r="CH439" s="17"/>
      <c r="CI439" s="17"/>
      <c r="CJ439" s="17"/>
      <c r="CK439" s="17"/>
      <c r="CL439" s="17"/>
      <c r="CM439" s="17"/>
      <c r="CN439" s="17"/>
      <c r="CO439" s="17"/>
      <c r="CP439" s="17"/>
      <c r="CQ439" s="17"/>
      <c r="CR439" s="17"/>
      <c r="CS439" s="17"/>
      <c r="CT439" s="17"/>
      <c r="CU439" s="17"/>
      <c r="CV439" s="17"/>
      <c r="CW439" s="17"/>
      <c r="CX439" s="17"/>
      <c r="CY439" s="17"/>
      <c r="CZ439" s="17"/>
      <c r="DA439" s="17"/>
      <c r="DB439" s="17"/>
      <c r="DC439" s="17"/>
      <c r="DD439" s="17"/>
    </row>
    <row r="440" spans="1:108" s="11" customFormat="1" ht="12.75" hidden="1" customHeight="1" outlineLevel="5">
      <c r="A440" s="104" t="s">
        <v>115</v>
      </c>
      <c r="B440" s="100" t="s">
        <v>12</v>
      </c>
      <c r="C440" s="20"/>
      <c r="D440" s="134" t="str">
        <f>"&lt;" &amp; A440 &amp; "&gt;" &amp;IF(B440="Yes",1,0) &amp;"&lt;/" &amp;A440&amp;"&gt;"</f>
        <v>&lt;Flap_Shear_Flag&gt;0&lt;/Flap_Shear_Flag&gt;</v>
      </c>
      <c r="E440" s="174" t="str">
        <f t="shared" si="12"/>
        <v>Yes</v>
      </c>
      <c r="F440" s="6" t="s">
        <v>695</v>
      </c>
      <c r="G440" s="6"/>
      <c r="H440" s="17"/>
      <c r="I440" s="17"/>
      <c r="J440" s="17"/>
      <c r="K440" s="17"/>
      <c r="L440" s="17"/>
      <c r="M440" s="6"/>
      <c r="N440" s="17"/>
      <c r="O440" s="17"/>
      <c r="P440" s="17"/>
      <c r="Q440" s="17"/>
      <c r="R440" s="17"/>
      <c r="S440" s="17"/>
      <c r="T440" s="17"/>
      <c r="U440" s="17"/>
      <c r="V440" s="17"/>
      <c r="W440" s="17"/>
      <c r="X440" s="6"/>
      <c r="Y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c r="AZ440" s="17"/>
      <c r="BA440" s="17"/>
      <c r="BB440" s="17"/>
      <c r="BC440" s="17"/>
      <c r="BD440" s="17"/>
      <c r="BE440" s="17"/>
      <c r="BF440" s="17"/>
      <c r="BG440" s="17"/>
      <c r="BH440" s="17"/>
      <c r="BI440" s="17"/>
      <c r="BJ440" s="17"/>
      <c r="BK440" s="17"/>
      <c r="BL440" s="17"/>
      <c r="BM440" s="17"/>
      <c r="BN440" s="17"/>
      <c r="BO440" s="17"/>
      <c r="BP440" s="17"/>
      <c r="BQ440" s="17"/>
      <c r="BR440" s="17"/>
      <c r="BS440" s="17"/>
      <c r="BT440" s="17"/>
      <c r="BU440" s="17"/>
      <c r="BV440" s="17"/>
      <c r="BW440" s="17"/>
      <c r="BX440" s="17"/>
      <c r="BY440" s="17"/>
      <c r="BZ440" s="17"/>
      <c r="CA440" s="17"/>
      <c r="CB440" s="17"/>
      <c r="CC440" s="17"/>
      <c r="CD440" s="17"/>
      <c r="CE440" s="17"/>
      <c r="CF440" s="17"/>
      <c r="CG440" s="17"/>
      <c r="CH440" s="17"/>
      <c r="CI440" s="17"/>
      <c r="CJ440" s="17"/>
      <c r="CK440" s="17"/>
      <c r="CL440" s="17"/>
      <c r="CM440" s="17"/>
      <c r="CN440" s="17"/>
      <c r="CO440" s="17"/>
      <c r="CP440" s="17"/>
      <c r="CQ440" s="17"/>
      <c r="CR440" s="17"/>
      <c r="CS440" s="17"/>
      <c r="CT440" s="17"/>
      <c r="CU440" s="17"/>
      <c r="CV440" s="17"/>
      <c r="CW440" s="17"/>
      <c r="CX440" s="17"/>
      <c r="CY440" s="17"/>
      <c r="CZ440" s="17"/>
      <c r="DA440" s="17"/>
      <c r="DB440" s="17"/>
      <c r="DC440" s="17"/>
      <c r="DD440" s="17"/>
    </row>
    <row r="441" spans="1:108" s="11" customFormat="1" ht="12.75" hidden="1" customHeight="1" outlineLevel="5">
      <c r="A441" s="104" t="s">
        <v>116</v>
      </c>
      <c r="B441" s="13">
        <v>0.31</v>
      </c>
      <c r="C441" s="20"/>
      <c r="D441" s="103" t="str">
        <f>"&lt;" &amp; A441 &amp; "&gt;" &amp; TEXT(B441,"0.000000") &amp; "&lt;/" &amp; A441 &amp; "&gt;"</f>
        <v>&lt;Flap_Chord&gt;0.310000&lt;/Flap_Chord&gt;</v>
      </c>
      <c r="E441" s="174" t="str">
        <f t="shared" si="12"/>
        <v>Yes</v>
      </c>
      <c r="F441" s="6" t="s">
        <v>727</v>
      </c>
      <c r="G441" s="6"/>
      <c r="H441" s="17"/>
      <c r="I441" s="17"/>
      <c r="J441" s="17"/>
      <c r="K441" s="17"/>
      <c r="L441" s="17"/>
      <c r="M441" s="6"/>
      <c r="N441" s="17"/>
      <c r="O441" s="17"/>
      <c r="P441" s="17"/>
      <c r="Q441" s="17"/>
      <c r="R441" s="17"/>
      <c r="S441" s="17"/>
      <c r="T441" s="17"/>
      <c r="U441" s="17"/>
      <c r="V441" s="17"/>
      <c r="W441" s="17"/>
      <c r="X441" s="6"/>
      <c r="Y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c r="AZ441" s="17"/>
      <c r="BA441" s="17"/>
      <c r="BB441" s="17"/>
      <c r="BC441" s="17"/>
      <c r="BD441" s="17"/>
      <c r="BE441" s="17"/>
      <c r="BF441" s="17"/>
      <c r="BG441" s="17"/>
      <c r="BH441" s="17"/>
      <c r="BI441" s="17"/>
      <c r="BJ441" s="17"/>
      <c r="BK441" s="17"/>
      <c r="BL441" s="17"/>
      <c r="BM441" s="17"/>
      <c r="BN441" s="17"/>
      <c r="BO441" s="17"/>
      <c r="BP441" s="17"/>
      <c r="BQ441" s="17"/>
      <c r="BR441" s="17"/>
      <c r="BS441" s="17"/>
      <c r="BT441" s="17"/>
      <c r="BU441" s="17"/>
      <c r="BV441" s="17"/>
      <c r="BW441" s="17"/>
      <c r="BX441" s="17"/>
      <c r="BY441" s="17"/>
      <c r="BZ441" s="17"/>
      <c r="CA441" s="17"/>
      <c r="CB441" s="17"/>
      <c r="CC441" s="17"/>
      <c r="CD441" s="17"/>
      <c r="CE441" s="17"/>
      <c r="CF441" s="17"/>
      <c r="CG441" s="17"/>
      <c r="CH441" s="17"/>
      <c r="CI441" s="17"/>
      <c r="CJ441" s="17"/>
      <c r="CK441" s="17"/>
      <c r="CL441" s="17"/>
      <c r="CM441" s="17"/>
      <c r="CN441" s="17"/>
      <c r="CO441" s="17"/>
      <c r="CP441" s="17"/>
      <c r="CQ441" s="17"/>
      <c r="CR441" s="17"/>
      <c r="CS441" s="17"/>
      <c r="CT441" s="17"/>
      <c r="CU441" s="17"/>
      <c r="CV441" s="17"/>
      <c r="CW441" s="17"/>
      <c r="CX441" s="17"/>
      <c r="CY441" s="17"/>
      <c r="CZ441" s="17"/>
      <c r="DA441" s="17"/>
      <c r="DB441" s="17"/>
      <c r="DC441" s="17"/>
      <c r="DD441" s="17"/>
    </row>
    <row r="442" spans="1:108" s="8" customFormat="1" ht="12.75" hidden="1" customHeight="1" outlineLevel="5">
      <c r="A442" s="104" t="s">
        <v>117</v>
      </c>
      <c r="B442" s="13">
        <v>10</v>
      </c>
      <c r="C442" s="20"/>
      <c r="D442" s="103" t="str">
        <f>"&lt;" &amp; A442 &amp; "&gt;" &amp; TEXT(B442,"0.000000") &amp; "&lt;/" &amp; A442 &amp; "&gt;"</f>
        <v>&lt;Flap_Angle&gt;10.000000&lt;/Flap_Angle&gt;</v>
      </c>
      <c r="E442" s="174" t="str">
        <f t="shared" si="12"/>
        <v>Yes</v>
      </c>
      <c r="F442" s="6" t="s">
        <v>697</v>
      </c>
      <c r="G442" s="6"/>
      <c r="H442" s="109"/>
      <c r="I442" s="109"/>
      <c r="J442" s="109"/>
      <c r="K442" s="109"/>
      <c r="L442" s="109"/>
      <c r="M442" s="6"/>
      <c r="N442" s="109"/>
      <c r="O442" s="109"/>
      <c r="P442" s="109"/>
      <c r="Q442" s="109"/>
      <c r="R442" s="109"/>
      <c r="S442" s="109"/>
      <c r="T442" s="109"/>
      <c r="U442" s="109"/>
      <c r="V442" s="109"/>
      <c r="W442" s="109"/>
      <c r="X442" s="6"/>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109"/>
      <c r="CG442" s="109"/>
      <c r="CH442" s="109"/>
      <c r="CI442" s="109"/>
      <c r="CJ442" s="109"/>
      <c r="CK442" s="109"/>
      <c r="CL442" s="109"/>
      <c r="CM442" s="109"/>
      <c r="CN442" s="109"/>
      <c r="CO442" s="109"/>
      <c r="CP442" s="109"/>
      <c r="CQ442" s="109"/>
      <c r="CR442" s="109"/>
      <c r="CS442" s="109"/>
      <c r="CT442" s="109"/>
      <c r="CU442" s="109"/>
      <c r="CV442" s="109"/>
      <c r="CW442" s="109"/>
      <c r="CX442" s="109"/>
      <c r="CY442" s="109"/>
      <c r="CZ442" s="109"/>
      <c r="DA442" s="109"/>
      <c r="DB442" s="109"/>
      <c r="DC442" s="109"/>
      <c r="DD442" s="109"/>
    </row>
    <row r="443" spans="1:108" s="11" customFormat="1" ht="12.75" hidden="1" customHeight="1" outlineLevel="5">
      <c r="A443" s="104" t="s">
        <v>118</v>
      </c>
      <c r="B443" s="17"/>
      <c r="C443" s="20"/>
      <c r="D443" s="17" t="str">
        <f>"&lt;" &amp; A443 &amp; "&gt;"</f>
        <v>&lt;/Airfoil&gt;</v>
      </c>
      <c r="E443" s="174" t="str">
        <f t="shared" si="12"/>
        <v>Yes</v>
      </c>
      <c r="F443" s="6" t="s">
        <v>698</v>
      </c>
      <c r="G443" s="6"/>
      <c r="H443" s="17"/>
      <c r="I443" s="17"/>
      <c r="J443" s="17"/>
      <c r="K443" s="17"/>
      <c r="L443" s="17"/>
      <c r="M443" s="6"/>
      <c r="N443" s="17"/>
      <c r="O443" s="17"/>
      <c r="P443" s="17"/>
      <c r="Q443" s="17"/>
      <c r="R443" s="17"/>
      <c r="S443" s="17"/>
      <c r="T443" s="17"/>
      <c r="U443" s="17"/>
      <c r="V443" s="17"/>
      <c r="W443" s="17"/>
      <c r="X443" s="6"/>
      <c r="Y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c r="AZ443" s="17"/>
      <c r="BA443" s="17"/>
      <c r="BB443" s="17"/>
      <c r="BC443" s="17"/>
      <c r="BD443" s="17"/>
      <c r="BE443" s="17"/>
      <c r="BF443" s="17"/>
      <c r="BG443" s="17"/>
      <c r="BH443" s="17"/>
      <c r="BI443" s="17"/>
      <c r="BJ443" s="17"/>
      <c r="BK443" s="17"/>
      <c r="BL443" s="17"/>
      <c r="BM443" s="17"/>
      <c r="BN443" s="17"/>
      <c r="BO443" s="17"/>
      <c r="BP443" s="17"/>
      <c r="BQ443" s="17"/>
      <c r="BR443" s="17"/>
      <c r="BS443" s="17"/>
      <c r="BT443" s="17"/>
      <c r="BU443" s="17"/>
      <c r="BV443" s="17"/>
      <c r="BW443" s="17"/>
      <c r="BX443" s="17"/>
      <c r="BY443" s="17"/>
      <c r="BZ443" s="17"/>
      <c r="CA443" s="17"/>
      <c r="CB443" s="17"/>
      <c r="CC443" s="17"/>
      <c r="CD443" s="17"/>
      <c r="CE443" s="17"/>
      <c r="CF443" s="17"/>
      <c r="CG443" s="17"/>
      <c r="CH443" s="17"/>
      <c r="CI443" s="17"/>
      <c r="CJ443" s="17"/>
      <c r="CK443" s="17"/>
      <c r="CL443" s="17"/>
      <c r="CM443" s="17"/>
      <c r="CN443" s="17"/>
      <c r="CO443" s="17"/>
      <c r="CP443" s="17"/>
      <c r="CQ443" s="17"/>
      <c r="CR443" s="17"/>
      <c r="CS443" s="17"/>
      <c r="CT443" s="17"/>
      <c r="CU443" s="17"/>
      <c r="CV443" s="17"/>
      <c r="CW443" s="17"/>
      <c r="CX443" s="17"/>
      <c r="CY443" s="17"/>
      <c r="CZ443" s="17"/>
      <c r="DA443" s="17"/>
      <c r="DB443" s="17"/>
      <c r="DC443" s="17"/>
      <c r="DD443" s="17"/>
    </row>
    <row r="444" spans="1:108" s="11" customFormat="1" ht="12.75" hidden="1" customHeight="1" outlineLevel="4" collapsed="1">
      <c r="A444" s="104" t="s">
        <v>2</v>
      </c>
      <c r="B444" s="99" t="s">
        <v>388</v>
      </c>
      <c r="C444" s="20"/>
      <c r="D444" s="17" t="str">
        <f>"&lt;" &amp; A444 &amp; "&gt;"</f>
        <v>&lt;Airfoil&gt;</v>
      </c>
      <c r="E444" s="174" t="str">
        <f t="shared" si="12"/>
        <v>Yes</v>
      </c>
      <c r="F444" s="6" t="s">
        <v>678</v>
      </c>
      <c r="G444" s="6"/>
      <c r="H444" s="17"/>
      <c r="I444" s="17"/>
      <c r="J444" s="17"/>
      <c r="K444" s="17"/>
      <c r="L444" s="17"/>
      <c r="M444" s="6"/>
      <c r="N444" s="17"/>
      <c r="O444" s="17"/>
      <c r="P444" s="17"/>
      <c r="Q444" s="17"/>
      <c r="R444" s="17"/>
      <c r="S444" s="17"/>
      <c r="T444" s="17"/>
      <c r="U444" s="17"/>
      <c r="V444" s="17"/>
      <c r="W444" s="17"/>
      <c r="X444" s="6"/>
      <c r="Y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c r="AZ444" s="17"/>
      <c r="BA444" s="17"/>
      <c r="BB444" s="17"/>
      <c r="BC444" s="17"/>
      <c r="BD444" s="17"/>
      <c r="BE444" s="17"/>
      <c r="BF444" s="17"/>
      <c r="BG444" s="17"/>
      <c r="BH444" s="17"/>
      <c r="BI444" s="17"/>
      <c r="BJ444" s="17"/>
      <c r="BK444" s="17"/>
      <c r="BL444" s="17"/>
      <c r="BM444" s="17"/>
      <c r="BN444" s="17"/>
      <c r="BO444" s="17"/>
      <c r="BP444" s="17"/>
      <c r="BQ444" s="17"/>
      <c r="BR444" s="17"/>
      <c r="BS444" s="17"/>
      <c r="BT444" s="17"/>
      <c r="BU444" s="17"/>
      <c r="BV444" s="17"/>
      <c r="BW444" s="17"/>
      <c r="BX444" s="17"/>
      <c r="BY444" s="17"/>
      <c r="BZ444" s="17"/>
      <c r="CA444" s="17"/>
      <c r="CB444" s="17"/>
      <c r="CC444" s="17"/>
      <c r="CD444" s="17"/>
      <c r="CE444" s="17"/>
      <c r="CF444" s="17"/>
      <c r="CG444" s="17"/>
      <c r="CH444" s="17"/>
      <c r="CI444" s="17"/>
      <c r="CJ444" s="17"/>
      <c r="CK444" s="17"/>
      <c r="CL444" s="17"/>
      <c r="CM444" s="17"/>
      <c r="CN444" s="17"/>
      <c r="CO444" s="17"/>
      <c r="CP444" s="17"/>
      <c r="CQ444" s="17"/>
      <c r="CR444" s="17"/>
      <c r="CS444" s="17"/>
      <c r="CT444" s="17"/>
      <c r="CU444" s="17"/>
      <c r="CV444" s="17"/>
      <c r="CW444" s="17"/>
      <c r="CX444" s="17"/>
      <c r="CY444" s="17"/>
      <c r="CZ444" s="17"/>
      <c r="DA444" s="17"/>
      <c r="DB444" s="17"/>
      <c r="DC444" s="17"/>
      <c r="DD444" s="17"/>
    </row>
    <row r="445" spans="1:108" s="11" customFormat="1" ht="12.75" hidden="1" customHeight="1" outlineLevel="5">
      <c r="A445" s="104" t="s">
        <v>14</v>
      </c>
      <c r="B445" s="28">
        <v>1</v>
      </c>
      <c r="C445" s="20"/>
      <c r="D445" s="103" t="str">
        <f>"&lt;" &amp; A445 &amp; "&gt;" &amp; TEXT(B445,0) &amp; "&lt;/" &amp; A445 &amp; "&gt;"</f>
        <v>&lt;Type&gt;1&lt;/Type&gt;</v>
      </c>
      <c r="E445" s="174" t="str">
        <f t="shared" si="12"/>
        <v>Yes</v>
      </c>
      <c r="F445" s="6" t="s">
        <v>679</v>
      </c>
      <c r="G445" s="6"/>
      <c r="H445" s="17"/>
      <c r="I445" s="17"/>
      <c r="J445" s="17"/>
      <c r="K445" s="17"/>
      <c r="L445" s="17"/>
      <c r="M445" s="6"/>
      <c r="N445" s="17"/>
      <c r="O445" s="17"/>
      <c r="P445" s="17"/>
      <c r="Q445" s="17"/>
      <c r="R445" s="17"/>
      <c r="S445" s="17"/>
      <c r="T445" s="17"/>
      <c r="U445" s="17"/>
      <c r="V445" s="17"/>
      <c r="W445" s="17"/>
      <c r="X445" s="6"/>
      <c r="Y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c r="AZ445" s="17"/>
      <c r="BA445" s="17"/>
      <c r="BB445" s="17"/>
      <c r="BC445" s="17"/>
      <c r="BD445" s="17"/>
      <c r="BE445" s="17"/>
      <c r="BF445" s="17"/>
      <c r="BG445" s="17"/>
      <c r="BH445" s="17"/>
      <c r="BI445" s="17"/>
      <c r="BJ445" s="17"/>
      <c r="BK445" s="17"/>
      <c r="BL445" s="17"/>
      <c r="BM445" s="17"/>
      <c r="BN445" s="17"/>
      <c r="BO445" s="17"/>
      <c r="BP445" s="17"/>
      <c r="BQ445" s="17"/>
      <c r="BR445" s="17"/>
      <c r="BS445" s="17"/>
      <c r="BT445" s="17"/>
      <c r="BU445" s="17"/>
      <c r="BV445" s="17"/>
      <c r="BW445" s="17"/>
      <c r="BX445" s="17"/>
      <c r="BY445" s="17"/>
      <c r="BZ445" s="17"/>
      <c r="CA445" s="17"/>
      <c r="CB445" s="17"/>
      <c r="CC445" s="17"/>
      <c r="CD445" s="17"/>
      <c r="CE445" s="17"/>
      <c r="CF445" s="17"/>
      <c r="CG445" s="17"/>
      <c r="CH445" s="17"/>
      <c r="CI445" s="17"/>
      <c r="CJ445" s="17"/>
      <c r="CK445" s="17"/>
      <c r="CL445" s="17"/>
      <c r="CM445" s="17"/>
      <c r="CN445" s="17"/>
      <c r="CO445" s="17"/>
      <c r="CP445" s="17"/>
      <c r="CQ445" s="17"/>
      <c r="CR445" s="17"/>
      <c r="CS445" s="17"/>
      <c r="CT445" s="17"/>
      <c r="CU445" s="17"/>
      <c r="CV445" s="17"/>
      <c r="CW445" s="17"/>
      <c r="CX445" s="17"/>
      <c r="CY445" s="17"/>
      <c r="CZ445" s="17"/>
      <c r="DA445" s="17"/>
      <c r="DB445" s="17"/>
      <c r="DC445" s="17"/>
      <c r="DD445" s="17"/>
    </row>
    <row r="446" spans="1:108" s="11" customFormat="1" ht="12.75" hidden="1" customHeight="1" outlineLevel="5">
      <c r="A446" s="104" t="s">
        <v>102</v>
      </c>
      <c r="B446" s="100" t="s">
        <v>12</v>
      </c>
      <c r="C446" s="20"/>
      <c r="D446" s="134" t="str">
        <f>"&lt;" &amp; A446 &amp; "&gt;" &amp;IF(B446="Yes",1,0) &amp;"&lt;/" &amp;A446&amp;"&gt;"</f>
        <v>&lt;Inverted_Flag&gt;0&lt;/Inverted_Flag&gt;</v>
      </c>
      <c r="E446" s="174" t="str">
        <f t="shared" si="12"/>
        <v>Yes</v>
      </c>
      <c r="F446" s="6" t="s">
        <v>680</v>
      </c>
      <c r="G446" s="6"/>
      <c r="H446" s="17"/>
      <c r="I446" s="17"/>
      <c r="J446" s="17"/>
      <c r="K446" s="17"/>
      <c r="L446" s="17"/>
      <c r="M446" s="6"/>
      <c r="N446" s="17"/>
      <c r="O446" s="17"/>
      <c r="P446" s="17"/>
      <c r="Q446" s="17"/>
      <c r="R446" s="17"/>
      <c r="S446" s="17"/>
      <c r="T446" s="17"/>
      <c r="U446" s="17"/>
      <c r="V446" s="17"/>
      <c r="W446" s="17"/>
      <c r="X446" s="6"/>
      <c r="Y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c r="AZ446" s="17"/>
      <c r="BA446" s="17"/>
      <c r="BB446" s="17"/>
      <c r="BC446" s="17"/>
      <c r="BD446" s="17"/>
      <c r="BE446" s="17"/>
      <c r="BF446" s="17"/>
      <c r="BG446" s="17"/>
      <c r="BH446" s="17"/>
      <c r="BI446" s="17"/>
      <c r="BJ446" s="17"/>
      <c r="BK446" s="17"/>
      <c r="BL446" s="17"/>
      <c r="BM446" s="17"/>
      <c r="BN446" s="17"/>
      <c r="BO446" s="17"/>
      <c r="BP446" s="17"/>
      <c r="BQ446" s="17"/>
      <c r="BR446" s="17"/>
      <c r="BS446" s="17"/>
      <c r="BT446" s="17"/>
      <c r="BU446" s="17"/>
      <c r="BV446" s="17"/>
      <c r="BW446" s="17"/>
      <c r="BX446" s="17"/>
      <c r="BY446" s="17"/>
      <c r="BZ446" s="17"/>
      <c r="CA446" s="17"/>
      <c r="CB446" s="17"/>
      <c r="CC446" s="17"/>
      <c r="CD446" s="17"/>
      <c r="CE446" s="17"/>
      <c r="CF446" s="17"/>
      <c r="CG446" s="17"/>
      <c r="CH446" s="17"/>
      <c r="CI446" s="17"/>
      <c r="CJ446" s="17"/>
      <c r="CK446" s="17"/>
      <c r="CL446" s="17"/>
      <c r="CM446" s="17"/>
      <c r="CN446" s="17"/>
      <c r="CO446" s="17"/>
      <c r="CP446" s="17"/>
      <c r="CQ446" s="17"/>
      <c r="CR446" s="17"/>
      <c r="CS446" s="17"/>
      <c r="CT446" s="17"/>
      <c r="CU446" s="17"/>
      <c r="CV446" s="17"/>
      <c r="CW446" s="17"/>
      <c r="CX446" s="17"/>
      <c r="CY446" s="17"/>
      <c r="CZ446" s="17"/>
      <c r="DA446" s="17"/>
      <c r="DB446" s="17"/>
      <c r="DC446" s="17"/>
      <c r="DD446" s="17"/>
    </row>
    <row r="447" spans="1:108" s="11" customFormat="1" ht="12.75" hidden="1" customHeight="1" outlineLevel="5">
      <c r="A447" s="104" t="s">
        <v>4</v>
      </c>
      <c r="B447" s="101">
        <v>0</v>
      </c>
      <c r="C447" s="20"/>
      <c r="D447" s="103" t="str">
        <f t="shared" ref="D447:D452" si="15">"&lt;" &amp; A447 &amp; "&gt;" &amp; TEXT(B447,"0.000000") &amp; "&lt;/" &amp; A447 &amp; "&gt;"</f>
        <v>&lt;Camber&gt;0.000000&lt;/Camber&gt;</v>
      </c>
      <c r="E447" s="174" t="str">
        <f t="shared" si="12"/>
        <v>Yes</v>
      </c>
      <c r="F447" s="6" t="s">
        <v>681</v>
      </c>
      <c r="G447" s="6"/>
      <c r="H447" s="17"/>
      <c r="I447" s="17"/>
      <c r="J447" s="17"/>
      <c r="K447" s="17"/>
      <c r="L447" s="17"/>
      <c r="M447" s="6"/>
      <c r="N447" s="17"/>
      <c r="O447" s="17"/>
      <c r="P447" s="17"/>
      <c r="Q447" s="17"/>
      <c r="R447" s="17"/>
      <c r="S447" s="17"/>
      <c r="T447" s="17"/>
      <c r="U447" s="17"/>
      <c r="V447" s="17"/>
      <c r="W447" s="17"/>
      <c r="X447" s="6"/>
      <c r="Y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c r="AZ447" s="17"/>
      <c r="BA447" s="17"/>
      <c r="BB447" s="17"/>
      <c r="BC447" s="17"/>
      <c r="BD447" s="17"/>
      <c r="BE447" s="17"/>
      <c r="BF447" s="17"/>
      <c r="BG447" s="17"/>
      <c r="BH447" s="17"/>
      <c r="BI447" s="17"/>
      <c r="BJ447" s="17"/>
      <c r="BK447" s="17"/>
      <c r="BL447" s="17"/>
      <c r="BM447" s="17"/>
      <c r="BN447" s="17"/>
      <c r="BO447" s="17"/>
      <c r="BP447" s="17"/>
      <c r="BQ447" s="17"/>
      <c r="BR447" s="17"/>
      <c r="BS447" s="17"/>
      <c r="BT447" s="17"/>
      <c r="BU447" s="17"/>
      <c r="BV447" s="17"/>
      <c r="BW447" s="17"/>
      <c r="BX447" s="17"/>
      <c r="BY447" s="17"/>
      <c r="BZ447" s="17"/>
      <c r="CA447" s="17"/>
      <c r="CB447" s="17"/>
      <c r="CC447" s="17"/>
      <c r="CD447" s="17"/>
      <c r="CE447" s="17"/>
      <c r="CF447" s="17"/>
      <c r="CG447" s="17"/>
      <c r="CH447" s="17"/>
      <c r="CI447" s="17"/>
      <c r="CJ447" s="17"/>
      <c r="CK447" s="17"/>
      <c r="CL447" s="17"/>
      <c r="CM447" s="17"/>
      <c r="CN447" s="17"/>
      <c r="CO447" s="17"/>
      <c r="CP447" s="17"/>
      <c r="CQ447" s="17"/>
      <c r="CR447" s="17"/>
      <c r="CS447" s="17"/>
      <c r="CT447" s="17"/>
      <c r="CU447" s="17"/>
      <c r="CV447" s="17"/>
      <c r="CW447" s="17"/>
      <c r="CX447" s="17"/>
      <c r="CY447" s="17"/>
      <c r="CZ447" s="17"/>
      <c r="DA447" s="17"/>
      <c r="DB447" s="17"/>
      <c r="DC447" s="17"/>
      <c r="DD447" s="17"/>
    </row>
    <row r="448" spans="1:108" s="11" customFormat="1" ht="12.75" hidden="1" customHeight="1" outlineLevel="5">
      <c r="A448" s="104" t="s">
        <v>103</v>
      </c>
      <c r="B448" s="101">
        <v>0.1</v>
      </c>
      <c r="C448" s="20"/>
      <c r="D448" s="103" t="str">
        <f t="shared" si="15"/>
        <v>&lt;Camber_Loc&gt;0.100000&lt;/Camber_Loc&gt;</v>
      </c>
      <c r="E448" s="174" t="str">
        <f t="shared" si="12"/>
        <v>Yes</v>
      </c>
      <c r="F448" s="6" t="s">
        <v>682</v>
      </c>
      <c r="G448" s="6"/>
      <c r="H448" s="17"/>
      <c r="I448" s="17"/>
      <c r="J448" s="17"/>
      <c r="K448" s="17"/>
      <c r="L448" s="17"/>
      <c r="M448" s="6"/>
      <c r="N448" s="17"/>
      <c r="O448" s="17"/>
      <c r="P448" s="17"/>
      <c r="Q448" s="17"/>
      <c r="R448" s="17"/>
      <c r="S448" s="17"/>
      <c r="T448" s="17"/>
      <c r="U448" s="17"/>
      <c r="V448" s="17"/>
      <c r="W448" s="17"/>
      <c r="X448" s="6"/>
      <c r="Y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c r="AZ448" s="17"/>
      <c r="BA448" s="17"/>
      <c r="BB448" s="17"/>
      <c r="BC448" s="17"/>
      <c r="BD448" s="17"/>
      <c r="BE448" s="17"/>
      <c r="BF448" s="17"/>
      <c r="BG448" s="17"/>
      <c r="BH448" s="17"/>
      <c r="BI448" s="17"/>
      <c r="BJ448" s="17"/>
      <c r="BK448" s="17"/>
      <c r="BL448" s="17"/>
      <c r="BM448" s="17"/>
      <c r="BN448" s="17"/>
      <c r="BO448" s="17"/>
      <c r="BP448" s="17"/>
      <c r="BQ448" s="17"/>
      <c r="BR448" s="17"/>
      <c r="BS448" s="17"/>
      <c r="BT448" s="17"/>
      <c r="BU448" s="17"/>
      <c r="BV448" s="17"/>
      <c r="BW448" s="17"/>
      <c r="BX448" s="17"/>
      <c r="BY448" s="17"/>
      <c r="BZ448" s="17"/>
      <c r="CA448" s="17"/>
      <c r="CB448" s="17"/>
      <c r="CC448" s="17"/>
      <c r="CD448" s="17"/>
      <c r="CE448" s="17"/>
      <c r="CF448" s="17"/>
      <c r="CG448" s="17"/>
      <c r="CH448" s="17"/>
      <c r="CI448" s="17"/>
      <c r="CJ448" s="17"/>
      <c r="CK448" s="17"/>
      <c r="CL448" s="17"/>
      <c r="CM448" s="17"/>
      <c r="CN448" s="17"/>
      <c r="CO448" s="17"/>
      <c r="CP448" s="17"/>
      <c r="CQ448" s="17"/>
      <c r="CR448" s="17"/>
      <c r="CS448" s="17"/>
      <c r="CT448" s="17"/>
      <c r="CU448" s="17"/>
      <c r="CV448" s="17"/>
      <c r="CW448" s="17"/>
      <c r="CX448" s="17"/>
      <c r="CY448" s="17"/>
      <c r="CZ448" s="17"/>
      <c r="DA448" s="17"/>
      <c r="DB448" s="17"/>
      <c r="DC448" s="17"/>
      <c r="DD448" s="17"/>
    </row>
    <row r="449" spans="1:108" s="11" customFormat="1" ht="12.75" hidden="1" customHeight="1" outlineLevel="5">
      <c r="A449" s="104" t="s">
        <v>5</v>
      </c>
      <c r="B449" s="101">
        <v>0.1</v>
      </c>
      <c r="C449" s="20"/>
      <c r="D449" s="103" t="str">
        <f t="shared" si="15"/>
        <v>&lt;Thickness&gt;0.100000&lt;/Thickness&gt;</v>
      </c>
      <c r="E449" s="174" t="str">
        <f t="shared" si="12"/>
        <v>Yes</v>
      </c>
      <c r="F449" s="6" t="s">
        <v>683</v>
      </c>
      <c r="G449" s="6"/>
      <c r="H449" s="17"/>
      <c r="I449" s="17"/>
      <c r="J449" s="17"/>
      <c r="K449" s="17"/>
      <c r="L449" s="17"/>
      <c r="M449" s="6"/>
      <c r="N449" s="17"/>
      <c r="O449" s="17"/>
      <c r="P449" s="17"/>
      <c r="Q449" s="17"/>
      <c r="R449" s="17"/>
      <c r="S449" s="17"/>
      <c r="T449" s="17"/>
      <c r="U449" s="17"/>
      <c r="V449" s="17"/>
      <c r="W449" s="17"/>
      <c r="X449" s="6"/>
      <c r="Y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c r="AZ449" s="17"/>
      <c r="BA449" s="17"/>
      <c r="BB449" s="17"/>
      <c r="BC449" s="17"/>
      <c r="BD449" s="17"/>
      <c r="BE449" s="17"/>
      <c r="BF449" s="17"/>
      <c r="BG449" s="17"/>
      <c r="BH449" s="17"/>
      <c r="BI449" s="17"/>
      <c r="BJ449" s="17"/>
      <c r="BK449" s="17"/>
      <c r="BL449" s="17"/>
      <c r="BM449" s="17"/>
      <c r="BN449" s="17"/>
      <c r="BO449" s="17"/>
      <c r="BP449" s="17"/>
      <c r="BQ449" s="17"/>
      <c r="BR449" s="17"/>
      <c r="BS449" s="17"/>
      <c r="BT449" s="17"/>
      <c r="BU449" s="17"/>
      <c r="BV449" s="17"/>
      <c r="BW449" s="17"/>
      <c r="BX449" s="17"/>
      <c r="BY449" s="17"/>
      <c r="BZ449" s="17"/>
      <c r="CA449" s="17"/>
      <c r="CB449" s="17"/>
      <c r="CC449" s="17"/>
      <c r="CD449" s="17"/>
      <c r="CE449" s="17"/>
      <c r="CF449" s="17"/>
      <c r="CG449" s="17"/>
      <c r="CH449" s="17"/>
      <c r="CI449" s="17"/>
      <c r="CJ449" s="17"/>
      <c r="CK449" s="17"/>
      <c r="CL449" s="17"/>
      <c r="CM449" s="17"/>
      <c r="CN449" s="17"/>
      <c r="CO449" s="17"/>
      <c r="CP449" s="17"/>
      <c r="CQ449" s="17"/>
      <c r="CR449" s="17"/>
      <c r="CS449" s="17"/>
      <c r="CT449" s="17"/>
      <c r="CU449" s="17"/>
      <c r="CV449" s="17"/>
      <c r="CW449" s="17"/>
      <c r="CX449" s="17"/>
      <c r="CY449" s="17"/>
      <c r="CZ449" s="17"/>
      <c r="DA449" s="17"/>
      <c r="DB449" s="17"/>
      <c r="DC449" s="17"/>
      <c r="DD449" s="17"/>
    </row>
    <row r="450" spans="1:108" s="11" customFormat="1" ht="12.75" hidden="1" customHeight="1" outlineLevel="5">
      <c r="A450" s="104" t="s">
        <v>104</v>
      </c>
      <c r="B450" s="101">
        <v>0.3</v>
      </c>
      <c r="C450" s="20"/>
      <c r="D450" s="103" t="str">
        <f t="shared" si="15"/>
        <v>&lt;Thickness_Loc&gt;0.300000&lt;/Thickness_Loc&gt;</v>
      </c>
      <c r="E450" s="174" t="str">
        <f t="shared" si="12"/>
        <v>Yes</v>
      </c>
      <c r="F450" s="6" t="s">
        <v>684</v>
      </c>
      <c r="G450" s="6"/>
      <c r="H450" s="17"/>
      <c r="I450" s="17"/>
      <c r="J450" s="17"/>
      <c r="K450" s="17"/>
      <c r="L450" s="17"/>
      <c r="M450" s="6"/>
      <c r="N450" s="17"/>
      <c r="O450" s="17"/>
      <c r="P450" s="17"/>
      <c r="Q450" s="17"/>
      <c r="R450" s="17"/>
      <c r="S450" s="17"/>
      <c r="T450" s="17"/>
      <c r="U450" s="17"/>
      <c r="V450" s="17"/>
      <c r="W450" s="17"/>
      <c r="X450" s="6"/>
      <c r="Y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c r="AZ450" s="17"/>
      <c r="BA450" s="17"/>
      <c r="BB450" s="17"/>
      <c r="BC450" s="17"/>
      <c r="BD450" s="17"/>
      <c r="BE450" s="17"/>
      <c r="BF450" s="17"/>
      <c r="BG450" s="17"/>
      <c r="BH450" s="17"/>
      <c r="BI450" s="17"/>
      <c r="BJ450" s="17"/>
      <c r="BK450" s="17"/>
      <c r="BL450" s="17"/>
      <c r="BM450" s="17"/>
      <c r="BN450" s="17"/>
      <c r="BO450" s="17"/>
      <c r="BP450" s="17"/>
      <c r="BQ450" s="17"/>
      <c r="BR450" s="17"/>
      <c r="BS450" s="17"/>
      <c r="BT450" s="17"/>
      <c r="BU450" s="17"/>
      <c r="BV450" s="17"/>
      <c r="BW450" s="17"/>
      <c r="BX450" s="17"/>
      <c r="BY450" s="17"/>
      <c r="BZ450" s="17"/>
      <c r="CA450" s="17"/>
      <c r="CB450" s="17"/>
      <c r="CC450" s="17"/>
      <c r="CD450" s="17"/>
      <c r="CE450" s="17"/>
      <c r="CF450" s="17"/>
      <c r="CG450" s="17"/>
      <c r="CH450" s="17"/>
      <c r="CI450" s="17"/>
      <c r="CJ450" s="17"/>
      <c r="CK450" s="17"/>
      <c r="CL450" s="17"/>
      <c r="CM450" s="17"/>
      <c r="CN450" s="17"/>
      <c r="CO450" s="17"/>
      <c r="CP450" s="17"/>
      <c r="CQ450" s="17"/>
      <c r="CR450" s="17"/>
      <c r="CS450" s="17"/>
      <c r="CT450" s="17"/>
      <c r="CU450" s="17"/>
      <c r="CV450" s="17"/>
      <c r="CW450" s="17"/>
      <c r="CX450" s="17"/>
      <c r="CY450" s="17"/>
      <c r="CZ450" s="17"/>
      <c r="DA450" s="17"/>
      <c r="DB450" s="17"/>
      <c r="DC450" s="17"/>
      <c r="DD450" s="17"/>
    </row>
    <row r="451" spans="1:108" s="11" customFormat="1" ht="12.75" hidden="1" customHeight="1" outlineLevel="5">
      <c r="A451" s="104" t="s">
        <v>105</v>
      </c>
      <c r="B451" s="101">
        <v>1.1018999999999999E-2</v>
      </c>
      <c r="C451" s="20"/>
      <c r="D451" s="103" t="str">
        <f t="shared" si="15"/>
        <v>&lt;Radius_Le&gt;0.011019&lt;/Radius_Le&gt;</v>
      </c>
      <c r="E451" s="174" t="str">
        <f t="shared" si="12"/>
        <v>Yes</v>
      </c>
      <c r="F451" s="6" t="s">
        <v>685</v>
      </c>
      <c r="G451" s="6"/>
      <c r="H451" s="17"/>
      <c r="I451" s="17"/>
      <c r="J451" s="17"/>
      <c r="K451" s="17"/>
      <c r="L451" s="17"/>
      <c r="M451" s="6"/>
      <c r="N451" s="17"/>
      <c r="O451" s="17"/>
      <c r="P451" s="17"/>
      <c r="Q451" s="17"/>
      <c r="R451" s="17"/>
      <c r="S451" s="17"/>
      <c r="T451" s="17"/>
      <c r="U451" s="17"/>
      <c r="V451" s="17"/>
      <c r="W451" s="17"/>
      <c r="X451" s="6"/>
      <c r="Y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c r="AZ451" s="17"/>
      <c r="BA451" s="17"/>
      <c r="BB451" s="17"/>
      <c r="BC451" s="17"/>
      <c r="BD451" s="17"/>
      <c r="BE451" s="17"/>
      <c r="BF451" s="17"/>
      <c r="BG451" s="17"/>
      <c r="BH451" s="17"/>
      <c r="BI451" s="17"/>
      <c r="BJ451" s="17"/>
      <c r="BK451" s="17"/>
      <c r="BL451" s="17"/>
      <c r="BM451" s="17"/>
      <c r="BN451" s="17"/>
      <c r="BO451" s="17"/>
      <c r="BP451" s="17"/>
      <c r="BQ451" s="17"/>
      <c r="BR451" s="17"/>
      <c r="BS451" s="17"/>
      <c r="BT451" s="17"/>
      <c r="BU451" s="17"/>
      <c r="BV451" s="17"/>
      <c r="BW451" s="17"/>
      <c r="BX451" s="17"/>
      <c r="BY451" s="17"/>
      <c r="BZ451" s="17"/>
      <c r="CA451" s="17"/>
      <c r="CB451" s="17"/>
      <c r="CC451" s="17"/>
      <c r="CD451" s="17"/>
      <c r="CE451" s="17"/>
      <c r="CF451" s="17"/>
      <c r="CG451" s="17"/>
      <c r="CH451" s="17"/>
      <c r="CI451" s="17"/>
      <c r="CJ451" s="17"/>
      <c r="CK451" s="17"/>
      <c r="CL451" s="17"/>
      <c r="CM451" s="17"/>
      <c r="CN451" s="17"/>
      <c r="CO451" s="17"/>
      <c r="CP451" s="17"/>
      <c r="CQ451" s="17"/>
      <c r="CR451" s="17"/>
      <c r="CS451" s="17"/>
      <c r="CT451" s="17"/>
      <c r="CU451" s="17"/>
      <c r="CV451" s="17"/>
      <c r="CW451" s="17"/>
      <c r="CX451" s="17"/>
      <c r="CY451" s="17"/>
      <c r="CZ451" s="17"/>
      <c r="DA451" s="17"/>
      <c r="DB451" s="17"/>
      <c r="DC451" s="17"/>
      <c r="DD451" s="17"/>
    </row>
    <row r="452" spans="1:108" s="11" customFormat="1" ht="12.75" hidden="1" customHeight="1" outlineLevel="5">
      <c r="A452" s="104" t="s">
        <v>106</v>
      </c>
      <c r="B452" s="101">
        <v>0</v>
      </c>
      <c r="C452" s="20"/>
      <c r="D452" s="103" t="str">
        <f t="shared" si="15"/>
        <v>&lt;Radius_Te&gt;0.000000&lt;/Radius_Te&gt;</v>
      </c>
      <c r="E452" s="174" t="str">
        <f t="shared" si="12"/>
        <v>Yes</v>
      </c>
      <c r="F452" s="6" t="s">
        <v>686</v>
      </c>
      <c r="G452" s="6"/>
      <c r="H452" s="17"/>
      <c r="I452" s="17"/>
      <c r="J452" s="17"/>
      <c r="K452" s="17"/>
      <c r="L452" s="17"/>
      <c r="M452" s="6"/>
      <c r="N452" s="17"/>
      <c r="O452" s="17"/>
      <c r="P452" s="17"/>
      <c r="Q452" s="17"/>
      <c r="R452" s="17"/>
      <c r="S452" s="17"/>
      <c r="T452" s="17"/>
      <c r="U452" s="17"/>
      <c r="V452" s="17"/>
      <c r="W452" s="17"/>
      <c r="X452" s="6"/>
      <c r="Y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c r="AZ452" s="17"/>
      <c r="BA452" s="17"/>
      <c r="BB452" s="17"/>
      <c r="BC452" s="17"/>
      <c r="BD452" s="17"/>
      <c r="BE452" s="17"/>
      <c r="BF452" s="17"/>
      <c r="BG452" s="17"/>
      <c r="BH452" s="17"/>
      <c r="BI452" s="17"/>
      <c r="BJ452" s="17"/>
      <c r="BK452" s="17"/>
      <c r="BL452" s="17"/>
      <c r="BM452" s="17"/>
      <c r="BN452" s="17"/>
      <c r="BO452" s="17"/>
      <c r="BP452" s="17"/>
      <c r="BQ452" s="17"/>
      <c r="BR452" s="17"/>
      <c r="BS452" s="17"/>
      <c r="BT452" s="17"/>
      <c r="BU452" s="17"/>
      <c r="BV452" s="17"/>
      <c r="BW452" s="17"/>
      <c r="BX452" s="17"/>
      <c r="BY452" s="17"/>
      <c r="BZ452" s="17"/>
      <c r="CA452" s="17"/>
      <c r="CB452" s="17"/>
      <c r="CC452" s="17"/>
      <c r="CD452" s="17"/>
      <c r="CE452" s="17"/>
      <c r="CF452" s="17"/>
      <c r="CG452" s="17"/>
      <c r="CH452" s="17"/>
      <c r="CI452" s="17"/>
      <c r="CJ452" s="17"/>
      <c r="CK452" s="17"/>
      <c r="CL452" s="17"/>
      <c r="CM452" s="17"/>
      <c r="CN452" s="17"/>
      <c r="CO452" s="17"/>
      <c r="CP452" s="17"/>
      <c r="CQ452" s="17"/>
      <c r="CR452" s="17"/>
      <c r="CS452" s="17"/>
      <c r="CT452" s="17"/>
      <c r="CU452" s="17"/>
      <c r="CV452" s="17"/>
      <c r="CW452" s="17"/>
      <c r="CX452" s="17"/>
      <c r="CY452" s="17"/>
      <c r="CZ452" s="17"/>
      <c r="DA452" s="17"/>
      <c r="DB452" s="17"/>
      <c r="DC452" s="17"/>
      <c r="DD452" s="17"/>
    </row>
    <row r="453" spans="1:108" s="11" customFormat="1" ht="12.75" hidden="1" customHeight="1" outlineLevel="5">
      <c r="A453" s="104" t="s">
        <v>107</v>
      </c>
      <c r="B453" s="102">
        <v>63</v>
      </c>
      <c r="C453" s="20"/>
      <c r="D453" s="103" t="str">
        <f>"&lt;" &amp; A453 &amp; "&gt;" &amp; TEXT(B453,0) &amp; "&lt;/" &amp; A453 &amp; "&gt;"</f>
        <v>&lt;Six_Series&gt;63&lt;/Six_Series&gt;</v>
      </c>
      <c r="E453" s="174" t="str">
        <f t="shared" si="12"/>
        <v>Yes</v>
      </c>
      <c r="F453" s="6" t="s">
        <v>687</v>
      </c>
      <c r="G453" s="6"/>
      <c r="H453" s="17"/>
      <c r="I453" s="17"/>
      <c r="J453" s="17"/>
      <c r="K453" s="17"/>
      <c r="L453" s="17"/>
      <c r="M453" s="6"/>
      <c r="N453" s="17"/>
      <c r="O453" s="17"/>
      <c r="P453" s="17"/>
      <c r="Q453" s="17"/>
      <c r="R453" s="17"/>
      <c r="S453" s="17"/>
      <c r="T453" s="17"/>
      <c r="U453" s="17"/>
      <c r="V453" s="17"/>
      <c r="W453" s="17"/>
      <c r="X453" s="6"/>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7"/>
      <c r="BL453" s="17"/>
      <c r="BM453" s="17"/>
      <c r="BN453" s="17"/>
      <c r="BO453" s="17"/>
      <c r="BP453" s="17"/>
      <c r="BQ453" s="17"/>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row>
    <row r="454" spans="1:108" s="11" customFormat="1" ht="12.75" hidden="1" customHeight="1" outlineLevel="5">
      <c r="A454" s="104" t="s">
        <v>108</v>
      </c>
      <c r="B454" s="101">
        <v>0</v>
      </c>
      <c r="C454" s="20"/>
      <c r="D454" s="103" t="str">
        <f>"&lt;" &amp; A454 &amp; "&gt;" &amp; TEXT(B454,"0.000000") &amp; "&lt;/" &amp; A454 &amp; "&gt;"</f>
        <v>&lt;Ideal_Cl&gt;0.000000&lt;/Ideal_Cl&gt;</v>
      </c>
      <c r="E454" s="174" t="str">
        <f t="shared" si="12"/>
        <v>Yes</v>
      </c>
      <c r="F454" s="6" t="s">
        <v>688</v>
      </c>
      <c r="G454" s="6"/>
      <c r="H454" s="17"/>
      <c r="I454" s="17"/>
      <c r="J454" s="17"/>
      <c r="K454" s="17"/>
      <c r="L454" s="17"/>
      <c r="M454" s="6"/>
      <c r="N454" s="17"/>
      <c r="O454" s="17"/>
      <c r="P454" s="17"/>
      <c r="Q454" s="17"/>
      <c r="R454" s="17"/>
      <c r="S454" s="17"/>
      <c r="T454" s="17"/>
      <c r="U454" s="17"/>
      <c r="V454" s="17"/>
      <c r="W454" s="17"/>
      <c r="X454" s="6"/>
      <c r="Y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c r="AZ454" s="17"/>
      <c r="BA454" s="17"/>
      <c r="BB454" s="17"/>
      <c r="BC454" s="17"/>
      <c r="BD454" s="17"/>
      <c r="BE454" s="17"/>
      <c r="BF454" s="17"/>
      <c r="BG454" s="17"/>
      <c r="BH454" s="17"/>
      <c r="BI454" s="17"/>
      <c r="BJ454" s="17"/>
      <c r="BK454" s="17"/>
      <c r="BL454" s="17"/>
      <c r="BM454" s="17"/>
      <c r="BN454" s="17"/>
      <c r="BO454" s="17"/>
      <c r="BP454" s="17"/>
      <c r="BQ454" s="17"/>
      <c r="BR454" s="17"/>
      <c r="BS454" s="17"/>
      <c r="BT454" s="17"/>
      <c r="BU454" s="17"/>
      <c r="BV454" s="17"/>
      <c r="BW454" s="17"/>
      <c r="BX454" s="17"/>
      <c r="BY454" s="17"/>
      <c r="BZ454" s="17"/>
      <c r="CA454" s="17"/>
      <c r="CB454" s="17"/>
      <c r="CC454" s="17"/>
      <c r="CD454" s="17"/>
      <c r="CE454" s="17"/>
      <c r="CF454" s="17"/>
      <c r="CG454" s="17"/>
      <c r="CH454" s="17"/>
      <c r="CI454" s="17"/>
      <c r="CJ454" s="17"/>
      <c r="CK454" s="17"/>
      <c r="CL454" s="17"/>
      <c r="CM454" s="17"/>
      <c r="CN454" s="17"/>
      <c r="CO454" s="17"/>
      <c r="CP454" s="17"/>
      <c r="CQ454" s="17"/>
      <c r="CR454" s="17"/>
      <c r="CS454" s="17"/>
      <c r="CT454" s="17"/>
      <c r="CU454" s="17"/>
      <c r="CV454" s="17"/>
      <c r="CW454" s="17"/>
      <c r="CX454" s="17"/>
      <c r="CY454" s="17"/>
      <c r="CZ454" s="17"/>
      <c r="DA454" s="17"/>
      <c r="DB454" s="17"/>
      <c r="DC454" s="17"/>
      <c r="DD454" s="17"/>
    </row>
    <row r="455" spans="1:108" s="11" customFormat="1" ht="12.75" hidden="1" customHeight="1" outlineLevel="5">
      <c r="A455" s="104" t="s">
        <v>109</v>
      </c>
      <c r="B455" s="101">
        <v>0</v>
      </c>
      <c r="C455" s="20"/>
      <c r="D455" s="103" t="str">
        <f>"&lt;" &amp; A455 &amp; "&gt;" &amp; TEXT(B455,"0.000000") &amp; "&lt;/" &amp; A455 &amp; "&gt;"</f>
        <v>&lt;A&gt;0.000000&lt;/A&gt;</v>
      </c>
      <c r="E455" s="174" t="str">
        <f t="shared" ref="E455:E510" si="16">IF(D455=F455,"Yes","No")</f>
        <v>Yes</v>
      </c>
      <c r="F455" s="6" t="s">
        <v>689</v>
      </c>
      <c r="G455" s="6"/>
      <c r="H455" s="17"/>
      <c r="I455" s="17"/>
      <c r="J455" s="17"/>
      <c r="K455" s="17"/>
      <c r="L455" s="17"/>
      <c r="M455" s="6"/>
      <c r="N455" s="17"/>
      <c r="O455" s="17"/>
      <c r="P455" s="17"/>
      <c r="Q455" s="17"/>
      <c r="R455" s="17"/>
      <c r="S455" s="17"/>
      <c r="T455" s="17"/>
      <c r="U455" s="17"/>
      <c r="V455" s="17"/>
      <c r="W455" s="17"/>
      <c r="X455" s="6"/>
      <c r="Y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c r="AZ455" s="17"/>
      <c r="BA455" s="17"/>
      <c r="BB455" s="17"/>
      <c r="BC455" s="17"/>
      <c r="BD455" s="17"/>
      <c r="BE455" s="17"/>
      <c r="BF455" s="17"/>
      <c r="BG455" s="17"/>
      <c r="BH455" s="17"/>
      <c r="BI455" s="17"/>
      <c r="BJ455" s="17"/>
      <c r="BK455" s="17"/>
      <c r="BL455" s="17"/>
      <c r="BM455" s="17"/>
      <c r="BN455" s="17"/>
      <c r="BO455" s="17"/>
      <c r="BP455" s="17"/>
      <c r="BQ455" s="17"/>
      <c r="BR455" s="17"/>
      <c r="BS455" s="17"/>
      <c r="BT455" s="17"/>
      <c r="BU455" s="17"/>
      <c r="BV455" s="17"/>
      <c r="BW455" s="17"/>
      <c r="BX455" s="17"/>
      <c r="BY455" s="17"/>
      <c r="BZ455" s="17"/>
      <c r="CA455" s="17"/>
      <c r="CB455" s="17"/>
      <c r="CC455" s="17"/>
      <c r="CD455" s="17"/>
      <c r="CE455" s="17"/>
      <c r="CF455" s="17"/>
      <c r="CG455" s="17"/>
      <c r="CH455" s="17"/>
      <c r="CI455" s="17"/>
      <c r="CJ455" s="17"/>
      <c r="CK455" s="17"/>
      <c r="CL455" s="17"/>
      <c r="CM455" s="17"/>
      <c r="CN455" s="17"/>
      <c r="CO455" s="17"/>
      <c r="CP455" s="17"/>
      <c r="CQ455" s="17"/>
      <c r="CR455" s="17"/>
      <c r="CS455" s="17"/>
      <c r="CT455" s="17"/>
      <c r="CU455" s="17"/>
      <c r="CV455" s="17"/>
      <c r="CW455" s="17"/>
      <c r="CX455" s="17"/>
      <c r="CY455" s="17"/>
      <c r="CZ455" s="17"/>
      <c r="DA455" s="17"/>
      <c r="DB455" s="17"/>
      <c r="DC455" s="17"/>
      <c r="DD455" s="17"/>
    </row>
    <row r="456" spans="1:108" s="11" customFormat="1" ht="12.75" hidden="1" customHeight="1" outlineLevel="5">
      <c r="A456" s="104" t="s">
        <v>110</v>
      </c>
      <c r="B456" s="100" t="s">
        <v>12</v>
      </c>
      <c r="C456" s="20"/>
      <c r="D456" s="134" t="str">
        <f>"&lt;" &amp; A456 &amp; "&gt;" &amp;IF(B456="Yes",1,0) &amp;"&lt;/" &amp;A456&amp;"&gt;"</f>
        <v>&lt;Slat_Flag&gt;0&lt;/Slat_Flag&gt;</v>
      </c>
      <c r="E456" s="174" t="str">
        <f t="shared" si="16"/>
        <v>Yes</v>
      </c>
      <c r="F456" s="6" t="s">
        <v>690</v>
      </c>
      <c r="G456" s="6"/>
      <c r="H456" s="17"/>
      <c r="I456" s="17"/>
      <c r="J456" s="17"/>
      <c r="K456" s="17"/>
      <c r="L456" s="17"/>
      <c r="M456" s="6"/>
      <c r="N456" s="17"/>
      <c r="O456" s="17"/>
      <c r="P456" s="17"/>
      <c r="Q456" s="17"/>
      <c r="R456" s="17"/>
      <c r="S456" s="17"/>
      <c r="T456" s="17"/>
      <c r="U456" s="17"/>
      <c r="V456" s="17"/>
      <c r="W456" s="17"/>
      <c r="X456" s="6"/>
      <c r="Y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c r="AZ456" s="17"/>
      <c r="BA456" s="17"/>
      <c r="BB456" s="17"/>
      <c r="BC456" s="17"/>
      <c r="BD456" s="17"/>
      <c r="BE456" s="17"/>
      <c r="BF456" s="17"/>
      <c r="BG456" s="17"/>
      <c r="BH456" s="17"/>
      <c r="BI456" s="17"/>
      <c r="BJ456" s="17"/>
      <c r="BK456" s="17"/>
      <c r="BL456" s="17"/>
      <c r="BM456" s="17"/>
      <c r="BN456" s="17"/>
      <c r="BO456" s="17"/>
      <c r="BP456" s="17"/>
      <c r="BQ456" s="17"/>
      <c r="BR456" s="17"/>
      <c r="BS456" s="17"/>
      <c r="BT456" s="17"/>
      <c r="BU456" s="17"/>
      <c r="BV456" s="17"/>
      <c r="BW456" s="17"/>
      <c r="BX456" s="17"/>
      <c r="BY456" s="17"/>
      <c r="BZ456" s="17"/>
      <c r="CA456" s="17"/>
      <c r="CB456" s="17"/>
      <c r="CC456" s="17"/>
      <c r="CD456" s="17"/>
      <c r="CE456" s="17"/>
      <c r="CF456" s="17"/>
      <c r="CG456" s="17"/>
      <c r="CH456" s="17"/>
      <c r="CI456" s="17"/>
      <c r="CJ456" s="17"/>
      <c r="CK456" s="17"/>
      <c r="CL456" s="17"/>
      <c r="CM456" s="17"/>
      <c r="CN456" s="17"/>
      <c r="CO456" s="17"/>
      <c r="CP456" s="17"/>
      <c r="CQ456" s="17"/>
      <c r="CR456" s="17"/>
      <c r="CS456" s="17"/>
      <c r="CT456" s="17"/>
      <c r="CU456" s="17"/>
      <c r="CV456" s="17"/>
      <c r="CW456" s="17"/>
      <c r="CX456" s="17"/>
      <c r="CY456" s="17"/>
      <c r="CZ456" s="17"/>
      <c r="DA456" s="17"/>
      <c r="DB456" s="17"/>
      <c r="DC456" s="17"/>
      <c r="DD456" s="17"/>
    </row>
    <row r="457" spans="1:108" s="11" customFormat="1" ht="12.75" hidden="1" customHeight="1" outlineLevel="5">
      <c r="A457" s="104" t="s">
        <v>111</v>
      </c>
      <c r="B457" s="100" t="s">
        <v>12</v>
      </c>
      <c r="C457" s="20"/>
      <c r="D457" s="134" t="str">
        <f>"&lt;" &amp; A457 &amp; "&gt;" &amp;IF(B457="Yes",1,0) &amp;"&lt;/" &amp;A457&amp;"&gt;"</f>
        <v>&lt;Slat_Shear_Flag&gt;0&lt;/Slat_Shear_Flag&gt;</v>
      </c>
      <c r="E457" s="174" t="str">
        <f t="shared" si="16"/>
        <v>Yes</v>
      </c>
      <c r="F457" s="6" t="s">
        <v>691</v>
      </c>
      <c r="G457" s="6"/>
      <c r="H457" s="17"/>
      <c r="I457" s="17"/>
      <c r="J457" s="17"/>
      <c r="K457" s="17"/>
      <c r="L457" s="17"/>
      <c r="M457" s="6"/>
      <c r="N457" s="17"/>
      <c r="O457" s="17"/>
      <c r="P457" s="17"/>
      <c r="Q457" s="17"/>
      <c r="R457" s="17"/>
      <c r="S457" s="17"/>
      <c r="T457" s="17"/>
      <c r="U457" s="17"/>
      <c r="V457" s="17"/>
      <c r="W457" s="17"/>
      <c r="X457" s="6"/>
      <c r="Y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c r="AZ457" s="17"/>
      <c r="BA457" s="17"/>
      <c r="BB457" s="17"/>
      <c r="BC457" s="17"/>
      <c r="BD457" s="17"/>
      <c r="BE457" s="17"/>
      <c r="BF457" s="17"/>
      <c r="BG457" s="17"/>
      <c r="BH457" s="17"/>
      <c r="BI457" s="17"/>
      <c r="BJ457" s="17"/>
      <c r="BK457" s="17"/>
      <c r="BL457" s="17"/>
      <c r="BM457" s="17"/>
      <c r="BN457" s="17"/>
      <c r="BO457" s="17"/>
      <c r="BP457" s="17"/>
      <c r="BQ457" s="17"/>
      <c r="BR457" s="17"/>
      <c r="BS457" s="17"/>
      <c r="BT457" s="17"/>
      <c r="BU457" s="17"/>
      <c r="BV457" s="17"/>
      <c r="BW457" s="17"/>
      <c r="BX457" s="17"/>
      <c r="BY457" s="17"/>
      <c r="BZ457" s="17"/>
      <c r="CA457" s="17"/>
      <c r="CB457" s="17"/>
      <c r="CC457" s="17"/>
      <c r="CD457" s="17"/>
      <c r="CE457" s="17"/>
      <c r="CF457" s="17"/>
      <c r="CG457" s="17"/>
      <c r="CH457" s="17"/>
      <c r="CI457" s="17"/>
      <c r="CJ457" s="17"/>
      <c r="CK457" s="17"/>
      <c r="CL457" s="17"/>
      <c r="CM457" s="17"/>
      <c r="CN457" s="17"/>
      <c r="CO457" s="17"/>
      <c r="CP457" s="17"/>
      <c r="CQ457" s="17"/>
      <c r="CR457" s="17"/>
      <c r="CS457" s="17"/>
      <c r="CT457" s="17"/>
      <c r="CU457" s="17"/>
      <c r="CV457" s="17"/>
      <c r="CW457" s="17"/>
      <c r="CX457" s="17"/>
      <c r="CY457" s="17"/>
      <c r="CZ457" s="17"/>
      <c r="DA457" s="17"/>
      <c r="DB457" s="17"/>
      <c r="DC457" s="17"/>
      <c r="DD457" s="17"/>
    </row>
    <row r="458" spans="1:108" s="11" customFormat="1" ht="12.75" hidden="1" customHeight="1" outlineLevel="5">
      <c r="A458" s="104" t="s">
        <v>112</v>
      </c>
      <c r="B458" s="101">
        <v>0.25</v>
      </c>
      <c r="C458" s="20"/>
      <c r="D458" s="103" t="str">
        <f>"&lt;" &amp; A458 &amp; "&gt;" &amp; TEXT(B458,"0.000000") &amp; "&lt;/" &amp; A458 &amp; "&gt;"</f>
        <v>&lt;Slat_Chord&gt;0.250000&lt;/Slat_Chord&gt;</v>
      </c>
      <c r="E458" s="174" t="str">
        <f t="shared" si="16"/>
        <v>Yes</v>
      </c>
      <c r="F458" s="6" t="s">
        <v>692</v>
      </c>
      <c r="G458" s="6"/>
      <c r="H458" s="17"/>
      <c r="I458" s="17"/>
      <c r="J458" s="17"/>
      <c r="K458" s="17"/>
      <c r="L458" s="17"/>
      <c r="M458" s="6"/>
      <c r="N458" s="17"/>
      <c r="O458" s="17"/>
      <c r="P458" s="17"/>
      <c r="Q458" s="17"/>
      <c r="R458" s="17"/>
      <c r="S458" s="17"/>
      <c r="T458" s="17"/>
      <c r="U458" s="17"/>
      <c r="V458" s="17"/>
      <c r="W458" s="17"/>
      <c r="X458" s="6"/>
      <c r="Y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c r="AZ458" s="17"/>
      <c r="BA458" s="17"/>
      <c r="BB458" s="17"/>
      <c r="BC458" s="17"/>
      <c r="BD458" s="17"/>
      <c r="BE458" s="17"/>
      <c r="BF458" s="17"/>
      <c r="BG458" s="17"/>
      <c r="BH458" s="17"/>
      <c r="BI458" s="17"/>
      <c r="BJ458" s="17"/>
      <c r="BK458" s="17"/>
      <c r="BL458" s="17"/>
      <c r="BM458" s="17"/>
      <c r="BN458" s="17"/>
      <c r="BO458" s="17"/>
      <c r="BP458" s="17"/>
      <c r="BQ458" s="17"/>
      <c r="BR458" s="17"/>
      <c r="BS458" s="17"/>
      <c r="BT458" s="17"/>
      <c r="BU458" s="17"/>
      <c r="BV458" s="17"/>
      <c r="BW458" s="17"/>
      <c r="BX458" s="17"/>
      <c r="BY458" s="17"/>
      <c r="BZ458" s="17"/>
      <c r="CA458" s="17"/>
      <c r="CB458" s="17"/>
      <c r="CC458" s="17"/>
      <c r="CD458" s="17"/>
      <c r="CE458" s="17"/>
      <c r="CF458" s="17"/>
      <c r="CG458" s="17"/>
      <c r="CH458" s="17"/>
      <c r="CI458" s="17"/>
      <c r="CJ458" s="17"/>
      <c r="CK458" s="17"/>
      <c r="CL458" s="17"/>
      <c r="CM458" s="17"/>
      <c r="CN458" s="17"/>
      <c r="CO458" s="17"/>
      <c r="CP458" s="17"/>
      <c r="CQ458" s="17"/>
      <c r="CR458" s="17"/>
      <c r="CS458" s="17"/>
      <c r="CT458" s="17"/>
      <c r="CU458" s="17"/>
      <c r="CV458" s="17"/>
      <c r="CW458" s="17"/>
      <c r="CX458" s="17"/>
      <c r="CY458" s="17"/>
      <c r="CZ458" s="17"/>
      <c r="DA458" s="17"/>
      <c r="DB458" s="17"/>
      <c r="DC458" s="17"/>
      <c r="DD458" s="17"/>
    </row>
    <row r="459" spans="1:108" s="11" customFormat="1" ht="12.75" hidden="1" customHeight="1" outlineLevel="5">
      <c r="A459" s="104" t="s">
        <v>113</v>
      </c>
      <c r="B459" s="101">
        <v>10</v>
      </c>
      <c r="C459" s="20"/>
      <c r="D459" s="103" t="str">
        <f>"&lt;" &amp; A459 &amp; "&gt;" &amp; TEXT(B459,"0.000000") &amp; "&lt;/" &amp; A459 &amp; "&gt;"</f>
        <v>&lt;Slat_Angle&gt;10.000000&lt;/Slat_Angle&gt;</v>
      </c>
      <c r="E459" s="174" t="str">
        <f t="shared" si="16"/>
        <v>Yes</v>
      </c>
      <c r="F459" s="6" t="s">
        <v>693</v>
      </c>
      <c r="G459" s="6"/>
      <c r="H459" s="17"/>
      <c r="I459" s="17"/>
      <c r="J459" s="17"/>
      <c r="K459" s="17"/>
      <c r="L459" s="17"/>
      <c r="M459" s="6"/>
      <c r="N459" s="17"/>
      <c r="O459" s="17"/>
      <c r="P459" s="17"/>
      <c r="Q459" s="17"/>
      <c r="R459" s="17"/>
      <c r="S459" s="17"/>
      <c r="T459" s="17"/>
      <c r="U459" s="17"/>
      <c r="V459" s="17"/>
      <c r="W459" s="17"/>
      <c r="X459" s="6"/>
      <c r="Y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c r="AZ459" s="17"/>
      <c r="BA459" s="17"/>
      <c r="BB459" s="17"/>
      <c r="BC459" s="17"/>
      <c r="BD459" s="17"/>
      <c r="BE459" s="17"/>
      <c r="BF459" s="17"/>
      <c r="BG459" s="17"/>
      <c r="BH459" s="17"/>
      <c r="BI459" s="17"/>
      <c r="BJ459" s="17"/>
      <c r="BK459" s="17"/>
      <c r="BL459" s="17"/>
      <c r="BM459" s="17"/>
      <c r="BN459" s="17"/>
      <c r="BO459" s="17"/>
      <c r="BP459" s="17"/>
      <c r="BQ459" s="17"/>
      <c r="BR459" s="17"/>
      <c r="BS459" s="17"/>
      <c r="BT459" s="17"/>
      <c r="BU459" s="17"/>
      <c r="BV459" s="17"/>
      <c r="BW459" s="17"/>
      <c r="BX459" s="17"/>
      <c r="BY459" s="17"/>
      <c r="BZ459" s="17"/>
      <c r="CA459" s="17"/>
      <c r="CB459" s="17"/>
      <c r="CC459" s="17"/>
      <c r="CD459" s="17"/>
      <c r="CE459" s="17"/>
      <c r="CF459" s="17"/>
      <c r="CG459" s="17"/>
      <c r="CH459" s="17"/>
      <c r="CI459" s="17"/>
      <c r="CJ459" s="17"/>
      <c r="CK459" s="17"/>
      <c r="CL459" s="17"/>
      <c r="CM459" s="17"/>
      <c r="CN459" s="17"/>
      <c r="CO459" s="17"/>
      <c r="CP459" s="17"/>
      <c r="CQ459" s="17"/>
      <c r="CR459" s="17"/>
      <c r="CS459" s="17"/>
      <c r="CT459" s="17"/>
      <c r="CU459" s="17"/>
      <c r="CV459" s="17"/>
      <c r="CW459" s="17"/>
      <c r="CX459" s="17"/>
      <c r="CY459" s="17"/>
      <c r="CZ459" s="17"/>
      <c r="DA459" s="17"/>
      <c r="DB459" s="17"/>
      <c r="DC459" s="17"/>
      <c r="DD459" s="17"/>
    </row>
    <row r="460" spans="1:108" s="11" customFormat="1" ht="12.75" hidden="1" customHeight="1" outlineLevel="5">
      <c r="A460" s="104" t="s">
        <v>114</v>
      </c>
      <c r="B460" s="100" t="s">
        <v>11</v>
      </c>
      <c r="C460" s="20"/>
      <c r="D460" s="134" t="str">
        <f>"&lt;" &amp; A460 &amp; "&gt;" &amp;IF(B460="Yes",1,0) &amp;"&lt;/" &amp;A460&amp;"&gt;"</f>
        <v>&lt;Flap_Flag&gt;1&lt;/Flap_Flag&gt;</v>
      </c>
      <c r="E460" s="174" t="str">
        <f t="shared" si="16"/>
        <v>Yes</v>
      </c>
      <c r="F460" s="6" t="s">
        <v>694</v>
      </c>
      <c r="G460" s="6"/>
      <c r="H460" s="17"/>
      <c r="I460" s="17"/>
      <c r="J460" s="17"/>
      <c r="K460" s="17"/>
      <c r="L460" s="17"/>
      <c r="M460" s="6"/>
      <c r="N460" s="17"/>
      <c r="O460" s="17"/>
      <c r="P460" s="17"/>
      <c r="Q460" s="17"/>
      <c r="R460" s="17"/>
      <c r="S460" s="17"/>
      <c r="T460" s="17"/>
      <c r="U460" s="17"/>
      <c r="V460" s="17"/>
      <c r="W460" s="17"/>
      <c r="X460" s="6"/>
      <c r="Y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c r="AZ460" s="17"/>
      <c r="BA460" s="17"/>
      <c r="BB460" s="17"/>
      <c r="BC460" s="17"/>
      <c r="BD460" s="17"/>
      <c r="BE460" s="17"/>
      <c r="BF460" s="17"/>
      <c r="BG460" s="17"/>
      <c r="BH460" s="17"/>
      <c r="BI460" s="17"/>
      <c r="BJ460" s="17"/>
      <c r="BK460" s="17"/>
      <c r="BL460" s="17"/>
      <c r="BM460" s="17"/>
      <c r="BN460" s="17"/>
      <c r="BO460" s="17"/>
      <c r="BP460" s="17"/>
      <c r="BQ460" s="17"/>
      <c r="BR460" s="17"/>
      <c r="BS460" s="17"/>
      <c r="BT460" s="17"/>
      <c r="BU460" s="17"/>
      <c r="BV460" s="17"/>
      <c r="BW460" s="17"/>
      <c r="BX460" s="17"/>
      <c r="BY460" s="17"/>
      <c r="BZ460" s="17"/>
      <c r="CA460" s="17"/>
      <c r="CB460" s="17"/>
      <c r="CC460" s="17"/>
      <c r="CD460" s="17"/>
      <c r="CE460" s="17"/>
      <c r="CF460" s="17"/>
      <c r="CG460" s="17"/>
      <c r="CH460" s="17"/>
      <c r="CI460" s="17"/>
      <c r="CJ460" s="17"/>
      <c r="CK460" s="17"/>
      <c r="CL460" s="17"/>
      <c r="CM460" s="17"/>
      <c r="CN460" s="17"/>
      <c r="CO460" s="17"/>
      <c r="CP460" s="17"/>
      <c r="CQ460" s="17"/>
      <c r="CR460" s="17"/>
      <c r="CS460" s="17"/>
      <c r="CT460" s="17"/>
      <c r="CU460" s="17"/>
      <c r="CV460" s="17"/>
      <c r="CW460" s="17"/>
      <c r="CX460" s="17"/>
      <c r="CY460" s="17"/>
      <c r="CZ460" s="17"/>
      <c r="DA460" s="17"/>
      <c r="DB460" s="17"/>
      <c r="DC460" s="17"/>
      <c r="DD460" s="17"/>
    </row>
    <row r="461" spans="1:108" s="11" customFormat="1" ht="12.75" hidden="1" customHeight="1" outlineLevel="5">
      <c r="A461" s="104" t="s">
        <v>115</v>
      </c>
      <c r="B461" s="100" t="s">
        <v>12</v>
      </c>
      <c r="C461" s="20"/>
      <c r="D461" s="134" t="str">
        <f>"&lt;" &amp; A461 &amp; "&gt;" &amp;IF(B461="Yes",1,0) &amp;"&lt;/" &amp;A461&amp;"&gt;"</f>
        <v>&lt;Flap_Shear_Flag&gt;0&lt;/Flap_Shear_Flag&gt;</v>
      </c>
      <c r="E461" s="174" t="str">
        <f t="shared" si="16"/>
        <v>Yes</v>
      </c>
      <c r="F461" s="6" t="s">
        <v>695</v>
      </c>
      <c r="G461" s="6"/>
      <c r="H461" s="17"/>
      <c r="I461" s="17"/>
      <c r="J461" s="17"/>
      <c r="K461" s="17"/>
      <c r="L461" s="17"/>
      <c r="M461" s="6"/>
      <c r="N461" s="17"/>
      <c r="O461" s="17"/>
      <c r="P461" s="17"/>
      <c r="Q461" s="17"/>
      <c r="R461" s="17"/>
      <c r="S461" s="17"/>
      <c r="T461" s="17"/>
      <c r="U461" s="17"/>
      <c r="V461" s="17"/>
      <c r="W461" s="17"/>
      <c r="X461" s="6"/>
      <c r="Y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c r="AZ461" s="17"/>
      <c r="BA461" s="17"/>
      <c r="BB461" s="17"/>
      <c r="BC461" s="17"/>
      <c r="BD461" s="17"/>
      <c r="BE461" s="17"/>
      <c r="BF461" s="17"/>
      <c r="BG461" s="17"/>
      <c r="BH461" s="17"/>
      <c r="BI461" s="17"/>
      <c r="BJ461" s="17"/>
      <c r="BK461" s="17"/>
      <c r="BL461" s="17"/>
      <c r="BM461" s="17"/>
      <c r="BN461" s="17"/>
      <c r="BO461" s="17"/>
      <c r="BP461" s="17"/>
      <c r="BQ461" s="17"/>
      <c r="BR461" s="17"/>
      <c r="BS461" s="17"/>
      <c r="BT461" s="17"/>
      <c r="BU461" s="17"/>
      <c r="BV461" s="17"/>
      <c r="BW461" s="17"/>
      <c r="BX461" s="17"/>
      <c r="BY461" s="17"/>
      <c r="BZ461" s="17"/>
      <c r="CA461" s="17"/>
      <c r="CB461" s="17"/>
      <c r="CC461" s="17"/>
      <c r="CD461" s="17"/>
      <c r="CE461" s="17"/>
      <c r="CF461" s="17"/>
      <c r="CG461" s="17"/>
      <c r="CH461" s="17"/>
      <c r="CI461" s="17"/>
      <c r="CJ461" s="17"/>
      <c r="CK461" s="17"/>
      <c r="CL461" s="17"/>
      <c r="CM461" s="17"/>
      <c r="CN461" s="17"/>
      <c r="CO461" s="17"/>
      <c r="CP461" s="17"/>
      <c r="CQ461" s="17"/>
      <c r="CR461" s="17"/>
      <c r="CS461" s="17"/>
      <c r="CT461" s="17"/>
      <c r="CU461" s="17"/>
      <c r="CV461" s="17"/>
      <c r="CW461" s="17"/>
      <c r="CX461" s="17"/>
      <c r="CY461" s="17"/>
      <c r="CZ461" s="17"/>
      <c r="DA461" s="17"/>
      <c r="DB461" s="17"/>
      <c r="DC461" s="17"/>
      <c r="DD461" s="17"/>
    </row>
    <row r="462" spans="1:108" s="11" customFormat="1" ht="12.75" hidden="1" customHeight="1" outlineLevel="5">
      <c r="A462" s="104" t="s">
        <v>116</v>
      </c>
      <c r="B462" s="13">
        <v>0.31</v>
      </c>
      <c r="C462" s="20"/>
      <c r="D462" s="103" t="str">
        <f>"&lt;" &amp; A462 &amp; "&gt;" &amp; TEXT(B462,"0.000000") &amp; "&lt;/" &amp; A462 &amp; "&gt;"</f>
        <v>&lt;Flap_Chord&gt;0.310000&lt;/Flap_Chord&gt;</v>
      </c>
      <c r="E462" s="174" t="str">
        <f t="shared" si="16"/>
        <v>Yes</v>
      </c>
      <c r="F462" s="6" t="s">
        <v>727</v>
      </c>
      <c r="G462" s="6"/>
      <c r="H462" s="17"/>
      <c r="I462" s="17"/>
      <c r="J462" s="17"/>
      <c r="K462" s="17"/>
      <c r="L462" s="17"/>
      <c r="M462" s="6"/>
      <c r="N462" s="17"/>
      <c r="O462" s="17"/>
      <c r="P462" s="17"/>
      <c r="Q462" s="17"/>
      <c r="R462" s="17"/>
      <c r="S462" s="17"/>
      <c r="T462" s="17"/>
      <c r="U462" s="17"/>
      <c r="V462" s="17"/>
      <c r="W462" s="17"/>
      <c r="X462" s="6"/>
      <c r="Y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c r="AZ462" s="17"/>
      <c r="BA462" s="17"/>
      <c r="BB462" s="17"/>
      <c r="BC462" s="17"/>
      <c r="BD462" s="17"/>
      <c r="BE462" s="17"/>
      <c r="BF462" s="17"/>
      <c r="BG462" s="17"/>
      <c r="BH462" s="17"/>
      <c r="BI462" s="17"/>
      <c r="BJ462" s="17"/>
      <c r="BK462" s="17"/>
      <c r="BL462" s="17"/>
      <c r="BM462" s="17"/>
      <c r="BN462" s="17"/>
      <c r="BO462" s="17"/>
      <c r="BP462" s="17"/>
      <c r="BQ462" s="17"/>
      <c r="BR462" s="17"/>
      <c r="BS462" s="17"/>
      <c r="BT462" s="17"/>
      <c r="BU462" s="17"/>
      <c r="BV462" s="17"/>
      <c r="BW462" s="17"/>
      <c r="BX462" s="17"/>
      <c r="BY462" s="17"/>
      <c r="BZ462" s="17"/>
      <c r="CA462" s="17"/>
      <c r="CB462" s="17"/>
      <c r="CC462" s="17"/>
      <c r="CD462" s="17"/>
      <c r="CE462" s="17"/>
      <c r="CF462" s="17"/>
      <c r="CG462" s="17"/>
      <c r="CH462" s="17"/>
      <c r="CI462" s="17"/>
      <c r="CJ462" s="17"/>
      <c r="CK462" s="17"/>
      <c r="CL462" s="17"/>
      <c r="CM462" s="17"/>
      <c r="CN462" s="17"/>
      <c r="CO462" s="17"/>
      <c r="CP462" s="17"/>
      <c r="CQ462" s="17"/>
      <c r="CR462" s="17"/>
      <c r="CS462" s="17"/>
      <c r="CT462" s="17"/>
      <c r="CU462" s="17"/>
      <c r="CV462" s="17"/>
      <c r="CW462" s="17"/>
      <c r="CX462" s="17"/>
      <c r="CY462" s="17"/>
      <c r="CZ462" s="17"/>
      <c r="DA462" s="17"/>
      <c r="DB462" s="17"/>
      <c r="DC462" s="17"/>
      <c r="DD462" s="17"/>
    </row>
    <row r="463" spans="1:108" s="11" customFormat="1" ht="12.75" hidden="1" customHeight="1" outlineLevel="5">
      <c r="A463" s="104" t="s">
        <v>117</v>
      </c>
      <c r="B463" s="13">
        <v>10</v>
      </c>
      <c r="C463" s="20"/>
      <c r="D463" s="103" t="str">
        <f>"&lt;" &amp; A463 &amp; "&gt;" &amp; TEXT(B463,"0.000000") &amp; "&lt;/" &amp; A463 &amp; "&gt;"</f>
        <v>&lt;Flap_Angle&gt;10.000000&lt;/Flap_Angle&gt;</v>
      </c>
      <c r="E463" s="174" t="str">
        <f t="shared" si="16"/>
        <v>Yes</v>
      </c>
      <c r="F463" s="6" t="s">
        <v>697</v>
      </c>
      <c r="G463" s="6"/>
      <c r="H463" s="17"/>
      <c r="I463" s="17"/>
      <c r="J463" s="17"/>
      <c r="K463" s="17"/>
      <c r="L463" s="17"/>
      <c r="M463" s="6"/>
      <c r="N463" s="17"/>
      <c r="O463" s="17"/>
      <c r="P463" s="17"/>
      <c r="Q463" s="17"/>
      <c r="R463" s="17"/>
      <c r="S463" s="17"/>
      <c r="T463" s="17"/>
      <c r="U463" s="17"/>
      <c r="V463" s="17"/>
      <c r="W463" s="17"/>
      <c r="X463" s="6"/>
      <c r="Y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c r="BC463" s="17"/>
      <c r="BD463" s="17"/>
      <c r="BE463" s="17"/>
      <c r="BF463" s="17"/>
      <c r="BG463" s="17"/>
      <c r="BH463" s="17"/>
      <c r="BI463" s="17"/>
      <c r="BJ463" s="17"/>
      <c r="BK463" s="17"/>
      <c r="BL463" s="17"/>
      <c r="BM463" s="17"/>
      <c r="BN463" s="17"/>
      <c r="BO463" s="17"/>
      <c r="BP463" s="17"/>
      <c r="BQ463" s="17"/>
      <c r="BR463" s="17"/>
      <c r="BS463" s="17"/>
      <c r="BT463" s="17"/>
      <c r="BU463" s="17"/>
      <c r="BV463" s="17"/>
      <c r="BW463" s="17"/>
      <c r="BX463" s="17"/>
      <c r="BY463" s="17"/>
      <c r="BZ463" s="17"/>
      <c r="CA463" s="17"/>
      <c r="CB463" s="17"/>
      <c r="CC463" s="17"/>
      <c r="CD463" s="17"/>
      <c r="CE463" s="17"/>
      <c r="CF463" s="17"/>
      <c r="CG463" s="17"/>
      <c r="CH463" s="17"/>
      <c r="CI463" s="17"/>
      <c r="CJ463" s="17"/>
      <c r="CK463" s="17"/>
      <c r="CL463" s="17"/>
      <c r="CM463" s="17"/>
      <c r="CN463" s="17"/>
      <c r="CO463" s="17"/>
      <c r="CP463" s="17"/>
      <c r="CQ463" s="17"/>
      <c r="CR463" s="17"/>
      <c r="CS463" s="17"/>
      <c r="CT463" s="17"/>
      <c r="CU463" s="17"/>
      <c r="CV463" s="17"/>
      <c r="CW463" s="17"/>
      <c r="CX463" s="17"/>
      <c r="CY463" s="17"/>
      <c r="CZ463" s="17"/>
      <c r="DA463" s="17"/>
      <c r="DB463" s="17"/>
      <c r="DC463" s="17"/>
      <c r="DD463" s="17"/>
    </row>
    <row r="464" spans="1:108" s="11" customFormat="1" ht="12.75" hidden="1" customHeight="1" outlineLevel="5">
      <c r="A464" s="104" t="s">
        <v>118</v>
      </c>
      <c r="B464" s="17"/>
      <c r="C464" s="20"/>
      <c r="D464" s="17" t="str">
        <f>"&lt;" &amp; A464 &amp; "&gt;"</f>
        <v>&lt;/Airfoil&gt;</v>
      </c>
      <c r="E464" s="174" t="str">
        <f t="shared" si="16"/>
        <v>Yes</v>
      </c>
      <c r="F464" s="6" t="s">
        <v>698</v>
      </c>
      <c r="G464" s="6"/>
      <c r="H464" s="17"/>
      <c r="I464" s="17"/>
      <c r="J464" s="17"/>
      <c r="K464" s="17"/>
      <c r="L464" s="17"/>
      <c r="M464" s="6"/>
      <c r="N464" s="17"/>
      <c r="O464" s="17"/>
      <c r="P464" s="17"/>
      <c r="Q464" s="17"/>
      <c r="R464" s="17"/>
      <c r="S464" s="17"/>
      <c r="T464" s="17"/>
      <c r="U464" s="17"/>
      <c r="V464" s="17"/>
      <c r="W464" s="17"/>
      <c r="X464" s="6"/>
      <c r="Y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c r="AZ464" s="17"/>
      <c r="BA464" s="17"/>
      <c r="BB464" s="17"/>
      <c r="BC464" s="17"/>
      <c r="BD464" s="17"/>
      <c r="BE464" s="17"/>
      <c r="BF464" s="17"/>
      <c r="BG464" s="17"/>
      <c r="BH464" s="17"/>
      <c r="BI464" s="17"/>
      <c r="BJ464" s="17"/>
      <c r="BK464" s="17"/>
      <c r="BL464" s="17"/>
      <c r="BM464" s="17"/>
      <c r="BN464" s="17"/>
      <c r="BO464" s="17"/>
      <c r="BP464" s="17"/>
      <c r="BQ464" s="17"/>
      <c r="BR464" s="17"/>
      <c r="BS464" s="17"/>
      <c r="BT464" s="17"/>
      <c r="BU464" s="17"/>
      <c r="BV464" s="17"/>
      <c r="BW464" s="17"/>
      <c r="BX464" s="17"/>
      <c r="BY464" s="17"/>
      <c r="BZ464" s="17"/>
      <c r="CA464" s="17"/>
      <c r="CB464" s="17"/>
      <c r="CC464" s="17"/>
      <c r="CD464" s="17"/>
      <c r="CE464" s="17"/>
      <c r="CF464" s="17"/>
      <c r="CG464" s="17"/>
      <c r="CH464" s="17"/>
      <c r="CI464" s="17"/>
      <c r="CJ464" s="17"/>
      <c r="CK464" s="17"/>
      <c r="CL464" s="17"/>
      <c r="CM464" s="17"/>
      <c r="CN464" s="17"/>
      <c r="CO464" s="17"/>
      <c r="CP464" s="17"/>
      <c r="CQ464" s="17"/>
      <c r="CR464" s="17"/>
      <c r="CS464" s="17"/>
      <c r="CT464" s="17"/>
      <c r="CU464" s="17"/>
      <c r="CV464" s="17"/>
      <c r="CW464" s="17"/>
      <c r="CX464" s="17"/>
      <c r="CY464" s="17"/>
      <c r="CZ464" s="17"/>
      <c r="DA464" s="17"/>
      <c r="DB464" s="17"/>
      <c r="DC464" s="17"/>
      <c r="DD464" s="17"/>
    </row>
    <row r="465" spans="1:108" s="11" customFormat="1" ht="12.75" hidden="1" customHeight="1" outlineLevel="4">
      <c r="A465" s="104" t="s">
        <v>119</v>
      </c>
      <c r="B465" s="17"/>
      <c r="C465" s="20"/>
      <c r="D465" s="17" t="str">
        <f>"&lt;" &amp; A465 &amp; "&gt;"</f>
        <v>&lt;/Airfoil_List&gt;</v>
      </c>
      <c r="E465" s="174" t="str">
        <f t="shared" si="16"/>
        <v>Yes</v>
      </c>
      <c r="F465" s="6" t="s">
        <v>699</v>
      </c>
      <c r="G465" s="6"/>
      <c r="H465" s="17"/>
      <c r="I465" s="17"/>
      <c r="J465" s="17"/>
      <c r="K465" s="17"/>
      <c r="L465" s="17"/>
      <c r="M465" s="6"/>
      <c r="N465" s="17"/>
      <c r="O465" s="17"/>
      <c r="P465" s="17"/>
      <c r="Q465" s="17"/>
      <c r="R465" s="17"/>
      <c r="S465" s="17"/>
      <c r="T465" s="17"/>
      <c r="U465" s="17"/>
      <c r="V465" s="17"/>
      <c r="W465" s="17"/>
      <c r="X465" s="6"/>
      <c r="Y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c r="AZ465" s="17"/>
      <c r="BA465" s="17"/>
      <c r="BB465" s="17"/>
      <c r="BC465" s="17"/>
      <c r="BD465" s="17"/>
      <c r="BE465" s="17"/>
      <c r="BF465" s="17"/>
      <c r="BG465" s="17"/>
      <c r="BH465" s="17"/>
      <c r="BI465" s="17"/>
      <c r="BJ465" s="17"/>
      <c r="BK465" s="17"/>
      <c r="BL465" s="17"/>
      <c r="BM465" s="17"/>
      <c r="BN465" s="17"/>
      <c r="BO465" s="17"/>
      <c r="BP465" s="17"/>
      <c r="BQ465" s="17"/>
      <c r="BR465" s="17"/>
      <c r="BS465" s="17"/>
      <c r="BT465" s="17"/>
      <c r="BU465" s="17"/>
      <c r="BV465" s="17"/>
      <c r="BW465" s="17"/>
      <c r="BX465" s="17"/>
      <c r="BY465" s="17"/>
      <c r="BZ465" s="17"/>
      <c r="CA465" s="17"/>
      <c r="CB465" s="17"/>
      <c r="CC465" s="17"/>
      <c r="CD465" s="17"/>
      <c r="CE465" s="17"/>
      <c r="CF465" s="17"/>
      <c r="CG465" s="17"/>
      <c r="CH465" s="17"/>
      <c r="CI465" s="17"/>
      <c r="CJ465" s="17"/>
      <c r="CK465" s="17"/>
      <c r="CL465" s="17"/>
      <c r="CM465" s="17"/>
      <c r="CN465" s="17"/>
      <c r="CO465" s="17"/>
      <c r="CP465" s="17"/>
      <c r="CQ465" s="17"/>
      <c r="CR465" s="17"/>
      <c r="CS465" s="17"/>
      <c r="CT465" s="17"/>
      <c r="CU465" s="17"/>
      <c r="CV465" s="17"/>
      <c r="CW465" s="17"/>
      <c r="CX465" s="17"/>
      <c r="CY465" s="17"/>
      <c r="CZ465" s="17"/>
      <c r="DA465" s="17"/>
      <c r="DB465" s="17"/>
      <c r="DC465" s="17"/>
      <c r="DD465" s="17"/>
    </row>
    <row r="466" spans="1:108" ht="12.75" customHeight="1" outlineLevel="3" collapsed="1">
      <c r="A466" s="104" t="s">
        <v>120</v>
      </c>
      <c r="B466" s="17"/>
      <c r="C466" s="20"/>
      <c r="D466" s="17" t="str">
        <f>"&lt;" &amp; A466 &amp; "&gt;"</f>
        <v>&lt;Section_List&gt;</v>
      </c>
      <c r="E466" s="174" t="str">
        <f t="shared" si="16"/>
        <v>Yes</v>
      </c>
      <c r="F466" s="6" t="s">
        <v>700</v>
      </c>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row>
    <row r="467" spans="1:108" ht="12.75" hidden="1" customHeight="1" outlineLevel="4" collapsed="1">
      <c r="A467" s="104" t="s">
        <v>121</v>
      </c>
      <c r="B467" s="99" t="s">
        <v>400</v>
      </c>
      <c r="C467" s="20"/>
      <c r="D467" s="17" t="str">
        <f>"&lt;" &amp; A467 &amp; "&gt;"</f>
        <v>&lt;Section&gt;</v>
      </c>
      <c r="E467" s="174" t="str">
        <f t="shared" si="16"/>
        <v>Yes</v>
      </c>
      <c r="F467" s="6" t="s">
        <v>701</v>
      </c>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row>
    <row r="468" spans="1:108" ht="12.75" hidden="1" customHeight="1" outlineLevel="5">
      <c r="A468" s="104" t="s">
        <v>122</v>
      </c>
      <c r="B468" s="6">
        <v>4</v>
      </c>
      <c r="C468" s="20"/>
      <c r="D468" s="103" t="str">
        <f>"&lt;" &amp; A468 &amp; "&gt;" &amp; TEXT(B468,0) &amp; "&lt;/" &amp; A468 &amp; "&gt;"</f>
        <v>&lt;Driver&gt;4&lt;/Driver&gt;</v>
      </c>
      <c r="E468" s="174" t="str">
        <f t="shared" si="16"/>
        <v>Yes</v>
      </c>
      <c r="F468" s="6" t="s">
        <v>702</v>
      </c>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row>
    <row r="469" spans="1:108" ht="12.75" hidden="1" customHeight="1" outlineLevel="5">
      <c r="A469" s="104" t="s">
        <v>123</v>
      </c>
      <c r="B469" s="29">
        <f>(B472^2)/B471</f>
        <v>0.63109090909090904</v>
      </c>
      <c r="C469" s="20"/>
      <c r="D469" s="103" t="str">
        <f t="shared" ref="D469:D476" si="17">"&lt;" &amp; A469 &amp; "&gt;" &amp; TEXT(B469,"0.000000") &amp; "&lt;/" &amp; A469 &amp; "&gt;"</f>
        <v>&lt;AR&gt;0.631091&lt;/AR&gt;</v>
      </c>
      <c r="E469" s="174" t="str">
        <f t="shared" si="16"/>
        <v>Yes</v>
      </c>
      <c r="F469" s="6" t="s">
        <v>977</v>
      </c>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row>
    <row r="470" spans="1:108" ht="12.75" hidden="1" customHeight="1" outlineLevel="5">
      <c r="A470" s="104" t="s">
        <v>124</v>
      </c>
      <c r="B470" s="29">
        <f>B473/B474</f>
        <v>0.65000000000000024</v>
      </c>
      <c r="C470" s="20"/>
      <c r="D470" s="103" t="str">
        <f t="shared" si="17"/>
        <v>&lt;TR&gt;0.650000&lt;/TR&gt;</v>
      </c>
      <c r="E470" s="174" t="str">
        <f t="shared" si="16"/>
        <v>Yes</v>
      </c>
      <c r="F470" s="6" t="s">
        <v>978</v>
      </c>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row>
    <row r="471" spans="1:108" ht="12.75" hidden="1" customHeight="1" outlineLevel="5">
      <c r="A471" s="104" t="s">
        <v>6</v>
      </c>
      <c r="B471" s="29">
        <f>0.5*(B473+B474)*B472</f>
        <v>13.650576923076926</v>
      </c>
      <c r="C471" s="20"/>
      <c r="D471" s="103" t="str">
        <f t="shared" si="17"/>
        <v>&lt;Area&gt;13.650577&lt;/Area&gt;</v>
      </c>
      <c r="E471" s="174" t="str">
        <f t="shared" si="16"/>
        <v>Yes</v>
      </c>
      <c r="F471" s="6" t="s">
        <v>979</v>
      </c>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row>
    <row r="472" spans="1:108" ht="12.75" hidden="1" customHeight="1" outlineLevel="5">
      <c r="A472" s="104" t="s">
        <v>7</v>
      </c>
      <c r="B472" s="33">
        <f>IF(Type_df = "No", b_V/2, b_df)</f>
        <v>2.9350902882194272</v>
      </c>
      <c r="C472" s="20"/>
      <c r="D472" s="103" t="str">
        <f t="shared" si="17"/>
        <v>&lt;Span&gt;2.935090&lt;/Span&gt;</v>
      </c>
      <c r="E472" s="174" t="str">
        <f t="shared" si="16"/>
        <v>Yes</v>
      </c>
      <c r="F472" s="6" t="s">
        <v>980</v>
      </c>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row>
    <row r="473" spans="1:108" ht="12.75" hidden="1" customHeight="1" outlineLevel="5">
      <c r="A473" s="104" t="s">
        <v>125</v>
      </c>
      <c r="B473" s="33">
        <f>c_r.V + IF(Type_df = "No", (b_V/2), b_df)*(TAN(phi_100.V*PI()/180) - TAN(phi_0.V*PI()/180))</f>
        <v>3.66428250714036</v>
      </c>
      <c r="C473" s="20"/>
      <c r="D473" s="103" t="str">
        <f t="shared" si="17"/>
        <v>&lt;TC&gt;3.664283&lt;/TC&gt;</v>
      </c>
      <c r="E473" s="174" t="str">
        <f t="shared" si="16"/>
        <v>Yes</v>
      </c>
      <c r="F473" s="6" t="s">
        <v>981</v>
      </c>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row>
    <row r="474" spans="1:108" ht="12.75" hidden="1" customHeight="1" outlineLevel="5">
      <c r="A474" s="104" t="s">
        <v>126</v>
      </c>
      <c r="B474" s="33">
        <f>IF(Type_df = "No", c_r.V, c_r.V+c_r.df)</f>
        <v>5.6373577032928592</v>
      </c>
      <c r="C474" s="20"/>
      <c r="D474" s="103" t="str">
        <f t="shared" si="17"/>
        <v>&lt;RC&gt;5.637358&lt;/RC&gt;</v>
      </c>
      <c r="E474" s="174" t="str">
        <f t="shared" si="16"/>
        <v>Yes</v>
      </c>
      <c r="F474" s="6" t="s">
        <v>982</v>
      </c>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row>
    <row r="475" spans="1:108" ht="12.75" hidden="1" customHeight="1" outlineLevel="5">
      <c r="A475" s="104" t="s">
        <v>8</v>
      </c>
      <c r="B475" s="33">
        <f>phi_100.V</f>
        <v>11.091054547988708</v>
      </c>
      <c r="C475" s="20"/>
      <c r="D475" s="103" t="str">
        <f t="shared" si="17"/>
        <v>&lt;Sweep&gt;11.091055&lt;/Sweep&gt;</v>
      </c>
      <c r="E475" s="174" t="str">
        <f t="shared" si="16"/>
        <v>Yes</v>
      </c>
      <c r="F475" s="6" t="s">
        <v>983</v>
      </c>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row>
    <row r="476" spans="1:108" ht="12.75" hidden="1" customHeight="1" outlineLevel="5">
      <c r="A476" s="104" t="s">
        <v>127</v>
      </c>
      <c r="B476" s="30">
        <v>1</v>
      </c>
      <c r="C476" s="20"/>
      <c r="D476" s="103" t="str">
        <f t="shared" si="17"/>
        <v>&lt;SweepLoc&gt;1.000000&lt;/SweepLoc&gt;</v>
      </c>
      <c r="E476" s="174" t="str">
        <f t="shared" si="16"/>
        <v>Yes</v>
      </c>
      <c r="F476" s="6" t="s">
        <v>728</v>
      </c>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row>
    <row r="477" spans="1:108" ht="12.75" hidden="1" customHeight="1" outlineLevel="5">
      <c r="A477" s="104" t="s">
        <v>9</v>
      </c>
      <c r="B477" s="16">
        <v>0</v>
      </c>
      <c r="C477" s="20"/>
      <c r="D477" s="103" t="str">
        <f t="shared" ref="D477:D483" si="18">"&lt;" &amp; A477 &amp; "&gt;" &amp; TEXT(B498,"0.000000") &amp; "&lt;/" &amp; A477 &amp; "&gt;"</f>
        <v>&lt;Twist&gt;0.000000&lt;/Twist&gt;</v>
      </c>
      <c r="E477" s="174" t="str">
        <f t="shared" si="16"/>
        <v>Yes</v>
      </c>
      <c r="F477" s="6" t="s">
        <v>707</v>
      </c>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row>
    <row r="478" spans="1:108" ht="12.75" hidden="1" customHeight="1" outlineLevel="5">
      <c r="A478" s="104" t="s">
        <v>128</v>
      </c>
      <c r="B478" s="16">
        <v>0</v>
      </c>
      <c r="C478" s="20"/>
      <c r="D478" s="103" t="str">
        <f t="shared" si="18"/>
        <v>&lt;TwistLoc&gt;0.000000&lt;/TwistLoc&gt;</v>
      </c>
      <c r="E478" s="174" t="str">
        <f t="shared" si="16"/>
        <v>Yes</v>
      </c>
      <c r="F478" s="6" t="s">
        <v>708</v>
      </c>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row>
    <row r="479" spans="1:108" ht="12.75" hidden="1" customHeight="1" outlineLevel="5">
      <c r="A479" s="104" t="s">
        <v>10</v>
      </c>
      <c r="B479" s="16">
        <v>0</v>
      </c>
      <c r="C479" s="20"/>
      <c r="D479" s="103" t="str">
        <f t="shared" si="18"/>
        <v>&lt;Dihedral&gt;0.000000&lt;/Dihedral&gt;</v>
      </c>
      <c r="E479" s="174" t="str">
        <f t="shared" si="16"/>
        <v>Yes</v>
      </c>
      <c r="F479" s="6" t="s">
        <v>729</v>
      </c>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row>
    <row r="480" spans="1:108" ht="12.75" hidden="1" customHeight="1" outlineLevel="5">
      <c r="A480" s="104" t="s">
        <v>129</v>
      </c>
      <c r="B480" s="101">
        <v>0</v>
      </c>
      <c r="C480" s="20"/>
      <c r="D480" s="103" t="str">
        <f t="shared" si="18"/>
        <v>&lt;Dihed_Crv1&gt;0.000000&lt;/Dihed_Crv1&gt;</v>
      </c>
      <c r="E480" s="174" t="str">
        <f t="shared" si="16"/>
        <v>Yes</v>
      </c>
      <c r="F480" s="6" t="s">
        <v>710</v>
      </c>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row>
    <row r="481" spans="1:108" ht="12.75" hidden="1" customHeight="1" outlineLevel="5">
      <c r="A481" s="104" t="s">
        <v>130</v>
      </c>
      <c r="B481" s="101">
        <v>0</v>
      </c>
      <c r="C481" s="20"/>
      <c r="D481" s="103" t="str">
        <f t="shared" si="18"/>
        <v>&lt;Dihed_Crv2&gt;0.000000&lt;/Dihed_Crv2&gt;</v>
      </c>
      <c r="E481" s="174" t="str">
        <f t="shared" si="16"/>
        <v>Yes</v>
      </c>
      <c r="F481" s="6" t="s">
        <v>711</v>
      </c>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row>
    <row r="482" spans="1:108" ht="12.75" hidden="1" customHeight="1" outlineLevel="5">
      <c r="A482" s="104" t="s">
        <v>131</v>
      </c>
      <c r="B482" s="101">
        <v>0.75</v>
      </c>
      <c r="C482" s="20"/>
      <c r="D482" s="103" t="str">
        <f t="shared" si="18"/>
        <v>&lt;Dihed_Crv1_Str&gt;0.750000&lt;/Dihed_Crv1_Str&gt;</v>
      </c>
      <c r="E482" s="174" t="str">
        <f t="shared" si="16"/>
        <v>Yes</v>
      </c>
      <c r="F482" s="6" t="s">
        <v>712</v>
      </c>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row>
    <row r="483" spans="1:108" ht="12.75" hidden="1" customHeight="1" outlineLevel="5">
      <c r="A483" s="104" t="s">
        <v>132</v>
      </c>
      <c r="B483" s="101">
        <v>0.75</v>
      </c>
      <c r="C483" s="20"/>
      <c r="D483" s="103" t="str">
        <f t="shared" si="18"/>
        <v>&lt;Dihed_Crv2_Str&gt;0.750000&lt;/Dihed_Crv2_Str&gt;</v>
      </c>
      <c r="E483" s="174" t="str">
        <f t="shared" si="16"/>
        <v>Yes</v>
      </c>
      <c r="F483" s="6" t="s">
        <v>713</v>
      </c>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row>
    <row r="484" spans="1:108" ht="12.75" hidden="1" customHeight="1" outlineLevel="5">
      <c r="A484" s="104" t="s">
        <v>133</v>
      </c>
      <c r="B484" s="100" t="s">
        <v>12</v>
      </c>
      <c r="C484" s="20"/>
      <c r="D484" s="134" t="str">
        <f>"&lt;" &amp; A484 &amp; "&gt;" &amp;IF(B505="Yes",1,0) &amp;"&lt;/" &amp;A484&amp;"&gt;"</f>
        <v>&lt;DihedRotFlag&gt;0&lt;/DihedRotFlag&gt;</v>
      </c>
      <c r="E484" s="174" t="str">
        <f t="shared" si="16"/>
        <v>Yes</v>
      </c>
      <c r="F484" s="6" t="s">
        <v>714</v>
      </c>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row>
    <row r="485" spans="1:108" ht="12.75" hidden="1" customHeight="1" outlineLevel="5">
      <c r="A485" s="104" t="s">
        <v>134</v>
      </c>
      <c r="B485" s="100" t="s">
        <v>12</v>
      </c>
      <c r="C485" s="20"/>
      <c r="D485" s="134" t="str">
        <f>"&lt;" &amp; A485 &amp; "&gt;" &amp;IF(B506="Yes",1,0) &amp;"&lt;/" &amp;A485&amp;"&gt;"</f>
        <v>&lt;SmoothBlendFlag&gt;0&lt;/SmoothBlendFlag&gt;</v>
      </c>
      <c r="E485" s="174" t="str">
        <f t="shared" si="16"/>
        <v>Yes</v>
      </c>
      <c r="F485" s="6" t="s">
        <v>715</v>
      </c>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row>
    <row r="486" spans="1:108" ht="12.75" hidden="1" customHeight="1" outlineLevel="5">
      <c r="A486" s="104" t="s">
        <v>135</v>
      </c>
      <c r="B486" s="28">
        <v>1</v>
      </c>
      <c r="C486" s="20"/>
      <c r="D486" s="103" t="str">
        <f>"&lt;" &amp; A486 &amp; "&gt;" &amp; TEXT(B507,0) &amp; "&lt;/" &amp; A486 &amp; "&gt;"</f>
        <v>&lt;NumInterpXsecs&gt;1&lt;/NumInterpXsecs&gt;</v>
      </c>
      <c r="E486" s="174" t="str">
        <f t="shared" si="16"/>
        <v>Yes</v>
      </c>
      <c r="F486" s="6" t="s">
        <v>716</v>
      </c>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row>
    <row r="487" spans="1:108" ht="12.75" hidden="1" customHeight="1" outlineLevel="5">
      <c r="A487" s="104" t="s">
        <v>136</v>
      </c>
      <c r="B487" s="17"/>
      <c r="C487" s="20"/>
      <c r="D487" s="17" t="str">
        <f>"&lt;" &amp; A487 &amp; "&gt;"</f>
        <v>&lt;/Section&gt;</v>
      </c>
      <c r="E487" s="174" t="str">
        <f t="shared" si="16"/>
        <v>Yes</v>
      </c>
      <c r="F487" s="6" t="s">
        <v>717</v>
      </c>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row>
    <row r="488" spans="1:108" ht="12.75" hidden="1" customHeight="1" outlineLevel="4" collapsed="1">
      <c r="A488" s="104" t="s">
        <v>121</v>
      </c>
      <c r="B488" s="99" t="s">
        <v>387</v>
      </c>
      <c r="C488" s="20"/>
      <c r="D488" s="17" t="str">
        <f>"&lt;" &amp; A488 &amp; "&gt;"</f>
        <v>&lt;Section&gt;</v>
      </c>
      <c r="E488" s="174" t="str">
        <f t="shared" si="16"/>
        <v>Yes</v>
      </c>
      <c r="F488" s="6" t="s">
        <v>701</v>
      </c>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row>
    <row r="489" spans="1:108" ht="12.75" hidden="1" customHeight="1" outlineLevel="5">
      <c r="A489" s="104" t="s">
        <v>122</v>
      </c>
      <c r="B489" s="28">
        <v>4</v>
      </c>
      <c r="C489" s="20"/>
      <c r="D489" s="103" t="str">
        <f>"&lt;" &amp; A489 &amp; "&gt;" &amp; TEXT(B489,0) &amp; "&lt;/" &amp; A489 &amp; "&gt;"</f>
        <v>&lt;Driver&gt;4&lt;/Driver&gt;</v>
      </c>
      <c r="E489" s="174" t="str">
        <f t="shared" si="16"/>
        <v>Yes</v>
      </c>
      <c r="F489" s="6" t="s">
        <v>702</v>
      </c>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row>
    <row r="490" spans="1:108" ht="12.75" hidden="1" customHeight="1" outlineLevel="5">
      <c r="A490" s="104" t="s">
        <v>123</v>
      </c>
      <c r="B490" s="29">
        <f>(B493^2)/B492</f>
        <v>1.0961052631578945</v>
      </c>
      <c r="C490" s="20"/>
      <c r="D490" s="103" t="str">
        <f t="shared" ref="D490:D504" si="19">"&lt;" &amp; A490 &amp; "&gt;" &amp; TEXT(B490,"0.000000") &amp; "&lt;/" &amp; A490 &amp; "&gt;"</f>
        <v>&lt;AR&gt;1.096105&lt;/AR&gt;</v>
      </c>
      <c r="E490" s="174" t="str">
        <f t="shared" si="16"/>
        <v>Yes</v>
      </c>
      <c r="F490" s="6" t="s">
        <v>984</v>
      </c>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row>
    <row r="491" spans="1:108" ht="12.75" hidden="1" customHeight="1" outlineLevel="5">
      <c r="A491" s="104" t="s">
        <v>124</v>
      </c>
      <c r="B491" s="29">
        <f>B494/B495</f>
        <v>0.46153846153846134</v>
      </c>
      <c r="C491" s="20"/>
      <c r="D491" s="103" t="str">
        <f t="shared" si="19"/>
        <v>&lt;TR&gt;0.461538&lt;/TR&gt;</v>
      </c>
      <c r="E491" s="174" t="str">
        <f t="shared" si="16"/>
        <v>Yes</v>
      </c>
      <c r="F491" s="6" t="s">
        <v>985</v>
      </c>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row>
    <row r="492" spans="1:108" ht="12.75" hidden="1" customHeight="1" outlineLevel="5">
      <c r="A492" s="104" t="s">
        <v>6</v>
      </c>
      <c r="B492" s="29">
        <f>0.5*(B494+B495)*B493</f>
        <v>7.85942307692308</v>
      </c>
      <c r="C492" s="20"/>
      <c r="D492" s="103" t="str">
        <f t="shared" si="19"/>
        <v>&lt;Area&gt;7.859423&lt;/Area&gt;</v>
      </c>
      <c r="E492" s="174" t="str">
        <f t="shared" si="16"/>
        <v>Yes</v>
      </c>
      <c r="F492" s="6" t="s">
        <v>986</v>
      </c>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row>
    <row r="493" spans="1:108" ht="12.75" hidden="1" customHeight="1" outlineLevel="5">
      <c r="A493" s="104" t="s">
        <v>7</v>
      </c>
      <c r="B493" s="33">
        <f>IF(Type_df = "No", b_V/2, b_V-b_df)</f>
        <v>2.9350902882194272</v>
      </c>
      <c r="C493" s="20"/>
      <c r="D493" s="103" t="str">
        <f t="shared" si="19"/>
        <v>&lt;Span&gt;2.935090&lt;/Span&gt;</v>
      </c>
      <c r="E493" s="174" t="str">
        <f t="shared" si="16"/>
        <v>Yes</v>
      </c>
      <c r="F493" s="6" t="s">
        <v>980</v>
      </c>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row>
    <row r="494" spans="1:108" ht="12.75" hidden="1" customHeight="1" outlineLevel="5">
      <c r="A494" s="104" t="s">
        <v>125</v>
      </c>
      <c r="B494" s="93">
        <f>c_t.V</f>
        <v>1.6912073109878578</v>
      </c>
      <c r="C494" s="20"/>
      <c r="D494" s="103" t="str">
        <f t="shared" si="19"/>
        <v>&lt;TC&gt;1.691207&lt;/TC&gt;</v>
      </c>
      <c r="E494" s="174" t="str">
        <f t="shared" si="16"/>
        <v>Yes</v>
      </c>
      <c r="F494" s="6" t="s">
        <v>987</v>
      </c>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row>
    <row r="495" spans="1:108" ht="12.75" hidden="1" customHeight="1" outlineLevel="5">
      <c r="A495" s="104" t="s">
        <v>126</v>
      </c>
      <c r="B495" s="32">
        <f>B473</f>
        <v>3.66428250714036</v>
      </c>
      <c r="C495" s="20"/>
      <c r="D495" s="103" t="str">
        <f t="shared" si="19"/>
        <v>&lt;RC&gt;3.664283&lt;/RC&gt;</v>
      </c>
      <c r="E495" s="174" t="str">
        <f t="shared" si="16"/>
        <v>Yes</v>
      </c>
      <c r="F495" s="6" t="s">
        <v>988</v>
      </c>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row>
    <row r="496" spans="1:108" ht="12.75" hidden="1" customHeight="1" outlineLevel="5">
      <c r="A496" s="104" t="s">
        <v>8</v>
      </c>
      <c r="B496" s="31">
        <f>phi_25.V</f>
        <v>35</v>
      </c>
      <c r="C496" s="20"/>
      <c r="D496" s="103" t="str">
        <f t="shared" si="19"/>
        <v>&lt;Sweep&gt;35.000000&lt;/Sweep&gt;</v>
      </c>
      <c r="E496" s="174" t="str">
        <f t="shared" si="16"/>
        <v>Yes</v>
      </c>
      <c r="F496" s="6" t="s">
        <v>730</v>
      </c>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row>
    <row r="497" spans="1:108" ht="12.75" hidden="1" customHeight="1" outlineLevel="5">
      <c r="A497" s="104" t="s">
        <v>127</v>
      </c>
      <c r="B497" s="16">
        <v>0.25</v>
      </c>
      <c r="C497" s="20"/>
      <c r="D497" s="103" t="str">
        <f t="shared" si="19"/>
        <v>&lt;SweepLoc&gt;0.250000&lt;/SweepLoc&gt;</v>
      </c>
      <c r="E497" s="174" t="str">
        <f t="shared" si="16"/>
        <v>Yes</v>
      </c>
      <c r="F497" s="6" t="s">
        <v>706</v>
      </c>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row>
    <row r="498" spans="1:108" ht="12.75" hidden="1" customHeight="1" outlineLevel="5">
      <c r="A498" s="104" t="s">
        <v>9</v>
      </c>
      <c r="B498" s="16">
        <v>0</v>
      </c>
      <c r="C498" s="20"/>
      <c r="D498" s="103" t="str">
        <f t="shared" si="19"/>
        <v>&lt;Twist&gt;0.000000&lt;/Twist&gt;</v>
      </c>
      <c r="E498" s="174" t="str">
        <f t="shared" si="16"/>
        <v>Yes</v>
      </c>
      <c r="F498" s="6" t="s">
        <v>707</v>
      </c>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row>
    <row r="499" spans="1:108" ht="12.75" hidden="1" customHeight="1" outlineLevel="5">
      <c r="A499" s="104" t="s">
        <v>128</v>
      </c>
      <c r="B499" s="16">
        <v>0</v>
      </c>
      <c r="C499" s="20"/>
      <c r="D499" s="103" t="str">
        <f t="shared" si="19"/>
        <v>&lt;TwistLoc&gt;0.000000&lt;/TwistLoc&gt;</v>
      </c>
      <c r="E499" s="174" t="str">
        <f t="shared" si="16"/>
        <v>Yes</v>
      </c>
      <c r="F499" s="6" t="s">
        <v>708</v>
      </c>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row>
    <row r="500" spans="1:108" ht="12.75" hidden="1" customHeight="1" outlineLevel="5">
      <c r="A500" s="104" t="s">
        <v>10</v>
      </c>
      <c r="B500" s="16">
        <v>0</v>
      </c>
      <c r="C500" s="20"/>
      <c r="D500" s="103" t="str">
        <f t="shared" si="19"/>
        <v>&lt;Dihedral&gt;0.000000&lt;/Dihedral&gt;</v>
      </c>
      <c r="E500" s="174" t="str">
        <f t="shared" si="16"/>
        <v>Yes</v>
      </c>
      <c r="F500" s="6" t="s">
        <v>729</v>
      </c>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row>
    <row r="501" spans="1:108" ht="12.75" hidden="1" customHeight="1" outlineLevel="5">
      <c r="A501" s="104" t="s">
        <v>129</v>
      </c>
      <c r="B501" s="101">
        <v>0</v>
      </c>
      <c r="C501" s="20"/>
      <c r="D501" s="103" t="str">
        <f t="shared" si="19"/>
        <v>&lt;Dihed_Crv1&gt;0.000000&lt;/Dihed_Crv1&gt;</v>
      </c>
      <c r="E501" s="174" t="str">
        <f t="shared" si="16"/>
        <v>Yes</v>
      </c>
      <c r="F501" s="6" t="s">
        <v>710</v>
      </c>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row>
    <row r="502" spans="1:108" ht="12.75" hidden="1" customHeight="1" outlineLevel="5">
      <c r="A502" s="104" t="s">
        <v>130</v>
      </c>
      <c r="B502" s="101">
        <v>0</v>
      </c>
      <c r="C502" s="20"/>
      <c r="D502" s="103" t="str">
        <f t="shared" si="19"/>
        <v>&lt;Dihed_Crv2&gt;0.000000&lt;/Dihed_Crv2&gt;</v>
      </c>
      <c r="E502" s="174" t="str">
        <f t="shared" si="16"/>
        <v>Yes</v>
      </c>
      <c r="F502" s="6" t="s">
        <v>711</v>
      </c>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row>
    <row r="503" spans="1:108" ht="12.75" hidden="1" customHeight="1" outlineLevel="5">
      <c r="A503" s="104" t="s">
        <v>131</v>
      </c>
      <c r="B503" s="101">
        <v>0.75</v>
      </c>
      <c r="C503" s="20"/>
      <c r="D503" s="103" t="str">
        <f t="shared" si="19"/>
        <v>&lt;Dihed_Crv1_Str&gt;0.750000&lt;/Dihed_Crv1_Str&gt;</v>
      </c>
      <c r="E503" s="174" t="str">
        <f t="shared" si="16"/>
        <v>Yes</v>
      </c>
      <c r="F503" s="6" t="s">
        <v>712</v>
      </c>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row>
    <row r="504" spans="1:108" ht="12.75" hidden="1" customHeight="1" outlineLevel="5">
      <c r="A504" s="104" t="s">
        <v>132</v>
      </c>
      <c r="B504" s="101">
        <v>0.75</v>
      </c>
      <c r="C504" s="20"/>
      <c r="D504" s="103" t="str">
        <f t="shared" si="19"/>
        <v>&lt;Dihed_Crv2_Str&gt;0.750000&lt;/Dihed_Crv2_Str&gt;</v>
      </c>
      <c r="E504" s="174" t="str">
        <f t="shared" si="16"/>
        <v>Yes</v>
      </c>
      <c r="F504" s="6" t="s">
        <v>713</v>
      </c>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row>
    <row r="505" spans="1:108" ht="12.75" hidden="1" customHeight="1" outlineLevel="5">
      <c r="A505" s="104" t="s">
        <v>133</v>
      </c>
      <c r="B505" s="100" t="s">
        <v>12</v>
      </c>
      <c r="C505" s="20"/>
      <c r="D505" s="134" t="str">
        <f>"&lt;" &amp; A505 &amp; "&gt;" &amp;IF(B526="Yes",1,0) &amp;"&lt;/" &amp;A505&amp;"&gt;"</f>
        <v>&lt;DihedRotFlag&gt;0&lt;/DihedRotFlag&gt;</v>
      </c>
      <c r="E505" s="174" t="str">
        <f t="shared" si="16"/>
        <v>Yes</v>
      </c>
      <c r="F505" s="6" t="s">
        <v>714</v>
      </c>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row>
    <row r="506" spans="1:108" ht="12.75" hidden="1" customHeight="1" outlineLevel="5">
      <c r="A506" s="104" t="s">
        <v>134</v>
      </c>
      <c r="B506" s="100" t="s">
        <v>12</v>
      </c>
      <c r="C506" s="20"/>
      <c r="D506" s="134" t="str">
        <f>"&lt;" &amp; A506 &amp; "&gt;" &amp;IF(B527="Yes",1,0) &amp;"&lt;/" &amp;A506&amp;"&gt;"</f>
        <v>&lt;SmoothBlendFlag&gt;0&lt;/SmoothBlendFlag&gt;</v>
      </c>
      <c r="E506" s="174" t="str">
        <f t="shared" si="16"/>
        <v>Yes</v>
      </c>
      <c r="F506" s="6" t="s">
        <v>715</v>
      </c>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row>
    <row r="507" spans="1:108" ht="12.75" hidden="1" customHeight="1" outlineLevel="5">
      <c r="A507" s="104" t="s">
        <v>135</v>
      </c>
      <c r="B507" s="28">
        <v>1</v>
      </c>
      <c r="C507" s="20"/>
      <c r="D507" s="103" t="str">
        <f>"&lt;" &amp; A507 &amp; "&gt;" &amp; TEXT(B507,0) &amp; "&lt;/" &amp; A507 &amp; "&gt;"</f>
        <v>&lt;NumInterpXsecs&gt;1&lt;/NumInterpXsecs&gt;</v>
      </c>
      <c r="E507" s="174" t="str">
        <f t="shared" si="16"/>
        <v>Yes</v>
      </c>
      <c r="F507" s="6" t="s">
        <v>716</v>
      </c>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row>
    <row r="508" spans="1:108" ht="12.75" hidden="1" customHeight="1" outlineLevel="5">
      <c r="A508" s="104" t="s">
        <v>136</v>
      </c>
      <c r="B508" s="17"/>
      <c r="C508" s="20"/>
      <c r="D508" s="17" t="str">
        <f>"&lt;" &amp; A508 &amp; "&gt;"</f>
        <v>&lt;/Section&gt;</v>
      </c>
      <c r="E508" s="174" t="str">
        <f t="shared" si="16"/>
        <v>Yes</v>
      </c>
      <c r="F508" s="6" t="s">
        <v>717</v>
      </c>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row>
    <row r="509" spans="1:108" ht="12.75" hidden="1" customHeight="1" outlineLevel="4">
      <c r="A509" s="104" t="s">
        <v>137</v>
      </c>
      <c r="B509" s="17"/>
      <c r="C509" s="20"/>
      <c r="D509" s="17" t="str">
        <f>"&lt;" &amp; A509 &amp; "&gt;"</f>
        <v>&lt;/Section_List&gt;</v>
      </c>
      <c r="E509" s="174" t="str">
        <f t="shared" si="16"/>
        <v>Yes</v>
      </c>
      <c r="F509" s="6" t="s">
        <v>718</v>
      </c>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row>
    <row r="510" spans="1:108" ht="12.75" customHeight="1" outlineLevel="3">
      <c r="A510" s="135" t="s">
        <v>138</v>
      </c>
      <c r="B510" s="109"/>
      <c r="C510" s="20" t="str">
        <f>C339</f>
        <v>Yes</v>
      </c>
      <c r="D510" s="133" t="str">
        <f>IF(C510="Yes",("&lt;"&amp;A510&amp;"&gt;"),("&lt;"&amp;A510&amp;"--&gt;"))</f>
        <v>&lt;/Component&gt;</v>
      </c>
      <c r="E510" s="174" t="str">
        <f t="shared" si="16"/>
        <v>Yes</v>
      </c>
      <c r="F510" s="6" t="s">
        <v>27</v>
      </c>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row>
    <row r="511" spans="1:108" s="24" customFormat="1" ht="12.75" customHeight="1" outlineLevel="2">
      <c r="A511" s="104" t="s">
        <v>40</v>
      </c>
      <c r="B511" s="110" t="s">
        <v>141</v>
      </c>
      <c r="C511" s="27" t="s">
        <v>11</v>
      </c>
      <c r="D511" s="6" t="str">
        <f>IF(C511="Yes",("&lt;"&amp;A511&amp;"&gt;"),("&lt;!--"&amp;A511&amp;"&gt;"))</f>
        <v>&lt;Component&gt;</v>
      </c>
      <c r="E511" s="174" t="str">
        <f t="shared" ref="E511:E568" si="20">IF(D511=F511,"Yes","No")</f>
        <v>Yes</v>
      </c>
      <c r="F511" s="6" t="s">
        <v>283</v>
      </c>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row>
    <row r="512" spans="1:108" ht="12.75" customHeight="1" outlineLevel="3">
      <c r="A512" s="104" t="s">
        <v>14</v>
      </c>
      <c r="B512" s="100" t="s">
        <v>41</v>
      </c>
      <c r="C512" s="20"/>
      <c r="D512" s="103" t="str">
        <f>"&lt;" &amp; A512 &amp; "&gt;" &amp; TEXT(B512,0) &amp; "&lt;/" &amp; A512 &amp; "&gt;"</f>
        <v>&lt;Type&gt;Mswing&lt;/Type&gt;</v>
      </c>
      <c r="E512" s="174" t="str">
        <f t="shared" si="20"/>
        <v>Yes</v>
      </c>
      <c r="F512" s="6" t="s">
        <v>621</v>
      </c>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row>
    <row r="513" spans="1:108" ht="12.75" customHeight="1" outlineLevel="3" collapsed="1">
      <c r="A513" s="104" t="s">
        <v>42</v>
      </c>
      <c r="B513" s="17"/>
      <c r="C513" s="20"/>
      <c r="D513" s="17" t="str">
        <f>"&lt;" &amp; A513 &amp; "&gt;"</f>
        <v>&lt;General_Parms&gt;</v>
      </c>
      <c r="E513" s="174" t="str">
        <f t="shared" si="20"/>
        <v>Yes</v>
      </c>
      <c r="F513" s="6" t="s">
        <v>622</v>
      </c>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row>
    <row r="514" spans="1:108" ht="12.75" hidden="1" customHeight="1" outlineLevel="4">
      <c r="A514" s="104" t="s">
        <v>1</v>
      </c>
      <c r="B514" s="100" t="s">
        <v>144</v>
      </c>
      <c r="C514" s="20"/>
      <c r="D514" s="103" t="str">
        <f>"&lt;" &amp; A514 &amp; "&gt;" &amp; TEXT(B514,0) &amp; "&lt;/" &amp; A514 &amp; "&gt;"</f>
        <v>&lt;Name&gt;Wing&lt;/Name&gt;</v>
      </c>
      <c r="E514" s="174" t="str">
        <f t="shared" si="20"/>
        <v>Yes</v>
      </c>
      <c r="F514" s="6" t="s">
        <v>731</v>
      </c>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row>
    <row r="515" spans="1:108" ht="12.75" hidden="1" customHeight="1" outlineLevel="4">
      <c r="A515" s="104" t="s">
        <v>43</v>
      </c>
      <c r="B515" s="13">
        <v>255</v>
      </c>
      <c r="C515" s="20"/>
      <c r="D515" s="103" t="str">
        <f>"&lt;" &amp; A515 &amp; "&gt;" &amp; TEXT(B515,"0.000000") &amp; "&lt;/" &amp; A515 &amp; "&gt;"</f>
        <v>&lt;ColorR&gt;255.000000&lt;/ColorR&gt;</v>
      </c>
      <c r="E515" s="174" t="str">
        <f t="shared" si="20"/>
        <v>Yes</v>
      </c>
      <c r="F515" s="6" t="s">
        <v>624</v>
      </c>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row>
    <row r="516" spans="1:108" ht="12.75" hidden="1" customHeight="1" outlineLevel="4">
      <c r="A516" s="104" t="s">
        <v>44</v>
      </c>
      <c r="B516" s="13">
        <v>0</v>
      </c>
      <c r="C516" s="20"/>
      <c r="D516" s="103" t="str">
        <f>"&lt;" &amp; A516 &amp; "&gt;" &amp; TEXT(B516,"0.000000") &amp; "&lt;/" &amp; A516 &amp; "&gt;"</f>
        <v>&lt;ColorG&gt;0.000000&lt;/ColorG&gt;</v>
      </c>
      <c r="E516" s="174" t="str">
        <f t="shared" si="20"/>
        <v>Yes</v>
      </c>
      <c r="F516" s="6" t="s">
        <v>625</v>
      </c>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row>
    <row r="517" spans="1:108" ht="12.75" hidden="1" customHeight="1" outlineLevel="4">
      <c r="A517" s="104" t="s">
        <v>45</v>
      </c>
      <c r="B517" s="13">
        <v>0</v>
      </c>
      <c r="C517" s="20"/>
      <c r="D517" s="103" t="str">
        <f>"&lt;" &amp; A517 &amp; "&gt;" &amp; TEXT(B517,"0.000000") &amp; "&lt;/" &amp; A517 &amp; "&gt;"</f>
        <v>&lt;ColorB&gt;0.000000&lt;/ColorB&gt;</v>
      </c>
      <c r="E517" s="174" t="str">
        <f t="shared" si="20"/>
        <v>Yes</v>
      </c>
      <c r="F517" s="6" t="s">
        <v>626</v>
      </c>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row>
    <row r="518" spans="1:108" ht="12.75" hidden="1" customHeight="1" outlineLevel="4">
      <c r="A518" s="104" t="s">
        <v>46</v>
      </c>
      <c r="B518" s="28">
        <v>2</v>
      </c>
      <c r="C518" s="20"/>
      <c r="D518" s="103" t="str">
        <f>"&lt;" &amp; A518 &amp; "&gt;" &amp; TEXT(B518,0) &amp; "&lt;/" &amp; A518 &amp; "&gt;"</f>
        <v>&lt;Symmetry&gt;2&lt;/Symmetry&gt;</v>
      </c>
      <c r="E518" s="174" t="str">
        <f t="shared" si="20"/>
        <v>Yes</v>
      </c>
      <c r="F518" s="6" t="s">
        <v>627</v>
      </c>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row>
    <row r="519" spans="1:108" ht="12.75" hidden="1" customHeight="1" outlineLevel="4">
      <c r="A519" s="104" t="s">
        <v>47</v>
      </c>
      <c r="B519" s="100" t="s">
        <v>12</v>
      </c>
      <c r="C519" s="20"/>
      <c r="D519" s="134" t="str">
        <f>"&lt;" &amp; A519 &amp; "&gt;" &amp;IF(B519="Yes",1,0) &amp;"&lt;/" &amp;A519&amp;"&gt;"</f>
        <v>&lt;RelXFormFlag&gt;0&lt;/RelXFormFlag&gt;</v>
      </c>
      <c r="E519" s="174" t="str">
        <f t="shared" si="20"/>
        <v>Yes</v>
      </c>
      <c r="F519" s="6" t="s">
        <v>628</v>
      </c>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row>
    <row r="520" spans="1:108" ht="12.75" hidden="1" customHeight="1" outlineLevel="4">
      <c r="A520" s="104" t="s">
        <v>48</v>
      </c>
      <c r="B520" s="28">
        <v>1</v>
      </c>
      <c r="C520" s="20"/>
      <c r="D520" s="103" t="str">
        <f>"&lt;" &amp; A520 &amp; "&gt;" &amp; TEXT(B520,0) &amp; "&lt;/" &amp; A520 &amp; "&gt;"</f>
        <v>&lt;MaterialID&gt;1&lt;/MaterialID&gt;</v>
      </c>
      <c r="E520" s="174" t="str">
        <f t="shared" si="20"/>
        <v>Yes</v>
      </c>
      <c r="F520" s="6" t="s">
        <v>629</v>
      </c>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row>
    <row r="521" spans="1:108" ht="12.75" hidden="1" customHeight="1" outlineLevel="4">
      <c r="A521" s="104" t="s">
        <v>49</v>
      </c>
      <c r="B521" s="100" t="s">
        <v>11</v>
      </c>
      <c r="C521" s="20"/>
      <c r="D521" s="134" t="str">
        <f>"&lt;" &amp; A521 &amp; "&gt;" &amp;IF(B521="Yes",1,0) &amp;"&lt;/" &amp;A521&amp;"&gt;"</f>
        <v>&lt;OutputFlag&gt;1&lt;/OutputFlag&gt;</v>
      </c>
      <c r="E521" s="174" t="str">
        <f t="shared" si="20"/>
        <v>Yes</v>
      </c>
      <c r="F521" s="6" t="s">
        <v>630</v>
      </c>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row>
    <row r="522" spans="1:108" ht="12.75" hidden="1" customHeight="1" outlineLevel="4">
      <c r="A522" s="104" t="s">
        <v>50</v>
      </c>
      <c r="B522" s="28">
        <v>0</v>
      </c>
      <c r="C522" s="20"/>
      <c r="D522" s="103" t="str">
        <f>"&lt;" &amp; A522 &amp; "&gt;" &amp; TEXT(B522,0) &amp; "&lt;/" &amp; A522 &amp; "&gt;"</f>
        <v>&lt;OutputNameID&gt;0&lt;/OutputNameID&gt;</v>
      </c>
      <c r="E522" s="174" t="str">
        <f t="shared" si="20"/>
        <v>Yes</v>
      </c>
      <c r="F522" s="6" t="s">
        <v>631</v>
      </c>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row>
    <row r="523" spans="1:108" ht="12.75" hidden="1" customHeight="1" outlineLevel="4">
      <c r="A523" s="104" t="s">
        <v>51</v>
      </c>
      <c r="B523" s="100" t="s">
        <v>11</v>
      </c>
      <c r="C523" s="20"/>
      <c r="D523" s="134" t="str">
        <f>"&lt;" &amp; A523 &amp; "&gt;" &amp;IF(B523="Yes",1,0) &amp;"&lt;/" &amp;A523&amp;"&gt;"</f>
        <v>&lt;DisplayChildrenFlag&gt;1&lt;/DisplayChildrenFlag&gt;</v>
      </c>
      <c r="E523" s="174" t="str">
        <f t="shared" si="20"/>
        <v>Yes</v>
      </c>
      <c r="F523" s="6" t="s">
        <v>632</v>
      </c>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row>
    <row r="524" spans="1:108" ht="12.75" hidden="1" customHeight="1" outlineLevel="4">
      <c r="A524" s="104" t="s">
        <v>52</v>
      </c>
      <c r="B524" s="28">
        <v>21</v>
      </c>
      <c r="C524" s="20"/>
      <c r="D524" s="103" t="str">
        <f>"&lt;" &amp; A524 &amp; "&gt;" &amp; TEXT(B524,0) &amp; "&lt;/" &amp; A524 &amp; "&gt;"</f>
        <v>&lt;NumPnts&gt;21&lt;/NumPnts&gt;</v>
      </c>
      <c r="E524" s="174" t="str">
        <f t="shared" si="20"/>
        <v>Yes</v>
      </c>
      <c r="F524" s="6" t="s">
        <v>633</v>
      </c>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row>
    <row r="525" spans="1:108" ht="12.75" hidden="1" customHeight="1" outlineLevel="4">
      <c r="A525" s="104" t="s">
        <v>53</v>
      </c>
      <c r="B525" s="28">
        <v>11</v>
      </c>
      <c r="C525" s="20"/>
      <c r="D525" s="103" t="str">
        <f>"&lt;" &amp; A525 &amp; "&gt;" &amp; TEXT(B525,0) &amp; "&lt;/" &amp; A525 &amp; "&gt;"</f>
        <v>&lt;NumXsecs&gt;11&lt;/NumXsecs&gt;</v>
      </c>
      <c r="E525" s="174" t="str">
        <f t="shared" si="20"/>
        <v>Yes</v>
      </c>
      <c r="F525" s="6" t="s">
        <v>732</v>
      </c>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row>
    <row r="526" spans="1:108" ht="12.75" hidden="1" customHeight="1" outlineLevel="4">
      <c r="A526" s="104" t="s">
        <v>54</v>
      </c>
      <c r="B526" s="28">
        <v>0</v>
      </c>
      <c r="C526" s="20"/>
      <c r="D526" s="103" t="str">
        <f>"&lt;" &amp; A526 &amp; "&gt;" &amp; TEXT(B526,0) &amp; "&lt;/" &amp; A526 &amp; "&gt;"</f>
        <v>&lt;MassPrior&gt;0&lt;/MassPrior&gt;</v>
      </c>
      <c r="E526" s="174" t="str">
        <f t="shared" si="20"/>
        <v>Yes</v>
      </c>
      <c r="F526" s="6" t="s">
        <v>635</v>
      </c>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row>
    <row r="527" spans="1:108" ht="12.75" hidden="1" customHeight="1" outlineLevel="4">
      <c r="A527" s="104" t="s">
        <v>55</v>
      </c>
      <c r="B527" s="100" t="s">
        <v>12</v>
      </c>
      <c r="C527" s="20"/>
      <c r="D527" s="134" t="str">
        <f>"&lt;" &amp; A527 &amp; "&gt;" &amp;IF(B527="Yes",1,0) &amp;"&lt;/" &amp;A527&amp;"&gt;"</f>
        <v>&lt;ShellFlag&gt;0&lt;/ShellFlag&gt;</v>
      </c>
      <c r="E527" s="174" t="str">
        <f t="shared" si="20"/>
        <v>Yes</v>
      </c>
      <c r="F527" s="6" t="s">
        <v>636</v>
      </c>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row>
    <row r="528" spans="1:108" ht="12.75" hidden="1" customHeight="1" outlineLevel="4">
      <c r="A528" s="104" t="s">
        <v>56</v>
      </c>
      <c r="B528" s="93">
        <f>pos_W.x</f>
        <v>11.276999999999997</v>
      </c>
      <c r="C528" s="20"/>
      <c r="D528" s="103" t="str">
        <f t="shared" ref="D528:D542" si="21">"&lt;" &amp; A528 &amp; "&gt;" &amp; TEXT(B528,"0.000000") &amp; "&lt;/" &amp; A528 &amp; "&gt;"</f>
        <v>&lt;Tran_X&gt;11.277000&lt;/Tran_X&gt;</v>
      </c>
      <c r="E528" s="174" t="str">
        <f t="shared" si="20"/>
        <v>Yes</v>
      </c>
      <c r="F528" s="6" t="s">
        <v>733</v>
      </c>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row>
    <row r="529" spans="1:108" ht="12.75" hidden="1" customHeight="1" outlineLevel="4">
      <c r="A529" s="104" t="s">
        <v>57</v>
      </c>
      <c r="B529" s="93">
        <f>pos_W.y</f>
        <v>0</v>
      </c>
      <c r="C529" s="20"/>
      <c r="D529" s="103" t="str">
        <f t="shared" si="21"/>
        <v>&lt;Tran_Y&gt;0.000000&lt;/Tran_Y&gt;</v>
      </c>
      <c r="E529" s="174" t="str">
        <f t="shared" si="20"/>
        <v>Yes</v>
      </c>
      <c r="F529" s="6" t="s">
        <v>638</v>
      </c>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row>
    <row r="530" spans="1:108" ht="12.75" hidden="1" customHeight="1" outlineLevel="4">
      <c r="A530" s="104" t="s">
        <v>58</v>
      </c>
      <c r="B530" s="93">
        <f>pos_W.z</f>
        <v>-0.99</v>
      </c>
      <c r="C530" s="20"/>
      <c r="D530" s="103" t="str">
        <f t="shared" si="21"/>
        <v>&lt;Tran_Z&gt;-0.990000&lt;/Tran_Z&gt;</v>
      </c>
      <c r="E530" s="174" t="str">
        <f t="shared" si="20"/>
        <v>Yes</v>
      </c>
      <c r="F530" s="6" t="s">
        <v>734</v>
      </c>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row>
    <row r="531" spans="1:108" ht="12.75" hidden="1" customHeight="1" outlineLevel="4">
      <c r="A531" s="104" t="s">
        <v>59</v>
      </c>
      <c r="B531" s="13">
        <v>0</v>
      </c>
      <c r="C531" s="20"/>
      <c r="D531" s="103" t="str">
        <f t="shared" si="21"/>
        <v>&lt;TranRel_X&gt;0.000000&lt;/TranRel_X&gt;</v>
      </c>
      <c r="E531" s="174" t="str">
        <f t="shared" si="20"/>
        <v>Yes</v>
      </c>
      <c r="F531" s="6" t="s">
        <v>639</v>
      </c>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row>
    <row r="532" spans="1:108" ht="12.75" hidden="1" customHeight="1" outlineLevel="4">
      <c r="A532" s="104" t="s">
        <v>60</v>
      </c>
      <c r="B532" s="13">
        <v>0</v>
      </c>
      <c r="C532" s="20"/>
      <c r="D532" s="103" t="str">
        <f t="shared" si="21"/>
        <v>&lt;TranRel_Y&gt;0.000000&lt;/TranRel_Y&gt;</v>
      </c>
      <c r="E532" s="174" t="str">
        <f t="shared" si="20"/>
        <v>Yes</v>
      </c>
      <c r="F532" s="6" t="s">
        <v>640</v>
      </c>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row>
    <row r="533" spans="1:108" ht="12.75" hidden="1" customHeight="1" outlineLevel="4">
      <c r="A533" s="104" t="s">
        <v>61</v>
      </c>
      <c r="B533" s="13">
        <v>0</v>
      </c>
      <c r="C533" s="20"/>
      <c r="D533" s="103" t="str">
        <f t="shared" si="21"/>
        <v>&lt;TranRel_Z&gt;0.000000&lt;/TranRel_Z&gt;</v>
      </c>
      <c r="E533" s="174" t="str">
        <f t="shared" si="20"/>
        <v>Yes</v>
      </c>
      <c r="F533" s="6" t="s">
        <v>641</v>
      </c>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row>
    <row r="534" spans="1:108" ht="12.75" hidden="1" customHeight="1" outlineLevel="4">
      <c r="A534" s="104" t="s">
        <v>62</v>
      </c>
      <c r="B534" s="13">
        <v>0</v>
      </c>
      <c r="C534" s="20"/>
      <c r="D534" s="103" t="str">
        <f t="shared" si="21"/>
        <v>&lt;Rot_X&gt;0.000000&lt;/Rot_X&gt;</v>
      </c>
      <c r="E534" s="174" t="str">
        <f t="shared" si="20"/>
        <v>Yes</v>
      </c>
      <c r="F534" s="6" t="s">
        <v>642</v>
      </c>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row>
    <row r="535" spans="1:108" ht="12.75" hidden="1" customHeight="1" outlineLevel="4">
      <c r="A535" s="104" t="s">
        <v>63</v>
      </c>
      <c r="B535" s="13">
        <v>0</v>
      </c>
      <c r="C535" s="20"/>
      <c r="D535" s="103" t="str">
        <f t="shared" si="21"/>
        <v>&lt;Rot_Y&gt;0.000000&lt;/Rot_Y&gt;</v>
      </c>
      <c r="E535" s="174" t="str">
        <f t="shared" si="20"/>
        <v>Yes</v>
      </c>
      <c r="F535" s="6" t="s">
        <v>643</v>
      </c>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row>
    <row r="536" spans="1:108" ht="12.75" hidden="1" customHeight="1" outlineLevel="4">
      <c r="A536" s="104" t="s">
        <v>64</v>
      </c>
      <c r="B536" s="13">
        <v>0</v>
      </c>
      <c r="C536" s="20"/>
      <c r="D536" s="103" t="str">
        <f t="shared" si="21"/>
        <v>&lt;Rot_Z&gt;0.000000&lt;/Rot_Z&gt;</v>
      </c>
      <c r="E536" s="174" t="str">
        <f t="shared" si="20"/>
        <v>Yes</v>
      </c>
      <c r="F536" s="6" t="s">
        <v>644</v>
      </c>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row>
    <row r="537" spans="1:108" ht="12.75" hidden="1" customHeight="1" outlineLevel="4">
      <c r="A537" s="104" t="s">
        <v>65</v>
      </c>
      <c r="B537" s="13">
        <v>0</v>
      </c>
      <c r="C537" s="20"/>
      <c r="D537" s="103" t="str">
        <f t="shared" si="21"/>
        <v>&lt;RotRel_X&gt;0.000000&lt;/RotRel_X&gt;</v>
      </c>
      <c r="E537" s="174" t="str">
        <f t="shared" si="20"/>
        <v>Yes</v>
      </c>
      <c r="F537" s="6" t="s">
        <v>645</v>
      </c>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row>
    <row r="538" spans="1:108" ht="12.75" hidden="1" customHeight="1" outlineLevel="4">
      <c r="A538" s="104" t="s">
        <v>66</v>
      </c>
      <c r="B538" s="13">
        <v>0</v>
      </c>
      <c r="C538" s="20"/>
      <c r="D538" s="103" t="str">
        <f t="shared" si="21"/>
        <v>&lt;RotRel_Y&gt;0.000000&lt;/RotRel_Y&gt;</v>
      </c>
      <c r="E538" s="174" t="str">
        <f t="shared" si="20"/>
        <v>Yes</v>
      </c>
      <c r="F538" s="6" t="s">
        <v>646</v>
      </c>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row>
    <row r="539" spans="1:108" ht="12.75" hidden="1" customHeight="1" outlineLevel="4">
      <c r="A539" s="104" t="s">
        <v>67</v>
      </c>
      <c r="B539" s="13">
        <v>0</v>
      </c>
      <c r="C539" s="20"/>
      <c r="D539" s="103" t="str">
        <f t="shared" si="21"/>
        <v>&lt;RotRel_Z&gt;0.000000&lt;/RotRel_Z&gt;</v>
      </c>
      <c r="E539" s="174" t="str">
        <f t="shared" si="20"/>
        <v>Yes</v>
      </c>
      <c r="F539" s="6" t="s">
        <v>647</v>
      </c>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row>
    <row r="540" spans="1:108" ht="12.75" hidden="1" customHeight="1" outlineLevel="4">
      <c r="A540" s="104" t="s">
        <v>68</v>
      </c>
      <c r="B540" s="101">
        <v>0</v>
      </c>
      <c r="C540" s="20"/>
      <c r="D540" s="103" t="str">
        <f t="shared" si="21"/>
        <v>&lt;Origin&gt;0.000000&lt;/Origin&gt;</v>
      </c>
      <c r="E540" s="174" t="str">
        <f t="shared" si="20"/>
        <v>Yes</v>
      </c>
      <c r="F540" s="6" t="s">
        <v>648</v>
      </c>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row>
    <row r="541" spans="1:108" ht="12.75" hidden="1" customHeight="1" outlineLevel="4">
      <c r="A541" s="104" t="s">
        <v>69</v>
      </c>
      <c r="B541" s="101">
        <v>1</v>
      </c>
      <c r="C541" s="20"/>
      <c r="D541" s="103" t="str">
        <f t="shared" si="21"/>
        <v>&lt;Density&gt;1.000000&lt;/Density&gt;</v>
      </c>
      <c r="E541" s="174" t="str">
        <f t="shared" si="20"/>
        <v>Yes</v>
      </c>
      <c r="F541" s="6" t="s">
        <v>649</v>
      </c>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row>
    <row r="542" spans="1:108" ht="12.75" hidden="1" customHeight="1" outlineLevel="4">
      <c r="A542" s="104" t="s">
        <v>70</v>
      </c>
      <c r="B542" s="101">
        <v>1</v>
      </c>
      <c r="C542" s="20"/>
      <c r="D542" s="103" t="str">
        <f t="shared" si="21"/>
        <v>&lt;ShellMassArea&gt;1.000000&lt;/ShellMassArea&gt;</v>
      </c>
      <c r="E542" s="174" t="str">
        <f t="shared" si="20"/>
        <v>Yes</v>
      </c>
      <c r="F542" s="6" t="s">
        <v>650</v>
      </c>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row>
    <row r="543" spans="1:108" ht="12.75" hidden="1" customHeight="1" outlineLevel="4">
      <c r="A543" s="104" t="s">
        <v>71</v>
      </c>
      <c r="B543" s="101">
        <v>0</v>
      </c>
      <c r="C543" s="20"/>
      <c r="D543" s="134" t="str">
        <f>"&lt;" &amp; A543 &amp; "&gt;" &amp;IF(B543="Yes",1,0) &amp;"&lt;/" &amp;A543&amp;"&gt;"</f>
        <v>&lt;RefFlag&gt;0&lt;/RefFlag&gt;</v>
      </c>
      <c r="E543" s="174" t="str">
        <f t="shared" si="20"/>
        <v>Yes</v>
      </c>
      <c r="F543" s="6" t="s">
        <v>651</v>
      </c>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row>
    <row r="544" spans="1:108" ht="12.75" hidden="1" customHeight="1" outlineLevel="4">
      <c r="A544" s="104" t="s">
        <v>72</v>
      </c>
      <c r="B544" s="101">
        <v>100</v>
      </c>
      <c r="C544" s="20"/>
      <c r="D544" s="103" t="str">
        <f>"&lt;" &amp; A544 &amp; "&gt;" &amp; TEXT(B544,"0.000000") &amp; "&lt;/" &amp; A544 &amp; "&gt;"</f>
        <v>&lt;RefArea&gt;100.000000&lt;/RefArea&gt;</v>
      </c>
      <c r="E544" s="174" t="str">
        <f t="shared" si="20"/>
        <v>Yes</v>
      </c>
      <c r="F544" s="6" t="s">
        <v>724</v>
      </c>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row>
    <row r="545" spans="1:108" ht="12.75" hidden="1" customHeight="1" outlineLevel="4">
      <c r="A545" s="104" t="s">
        <v>73</v>
      </c>
      <c r="B545" s="101">
        <v>10</v>
      </c>
      <c r="C545" s="20"/>
      <c r="D545" s="103" t="str">
        <f>"&lt;" &amp; A545 &amp; "&gt;" &amp; TEXT(B545,"0.000000") &amp; "&lt;/" &amp; A545 &amp; "&gt;"</f>
        <v>&lt;RefSpan&gt;10.000000&lt;/RefSpan&gt;</v>
      </c>
      <c r="E545" s="174" t="str">
        <f t="shared" si="20"/>
        <v>Yes</v>
      </c>
      <c r="F545" s="6" t="s">
        <v>653</v>
      </c>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row>
    <row r="546" spans="1:108" ht="12.75" hidden="1" customHeight="1" outlineLevel="4">
      <c r="A546" s="104" t="s">
        <v>74</v>
      </c>
      <c r="B546" s="101">
        <v>1</v>
      </c>
      <c r="C546" s="20"/>
      <c r="D546" s="103" t="str">
        <f>"&lt;" &amp; A546 &amp; "&gt;" &amp; TEXT(B546,"0.000000") &amp; "&lt;/" &amp; A546 &amp; "&gt;"</f>
        <v>&lt;RefCbar&gt;1.000000&lt;/RefCbar&gt;</v>
      </c>
      <c r="E546" s="174" t="str">
        <f t="shared" si="20"/>
        <v>Yes</v>
      </c>
      <c r="F546" s="6" t="s">
        <v>654</v>
      </c>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row>
    <row r="547" spans="1:108" ht="12.75" hidden="1" customHeight="1" outlineLevel="4">
      <c r="A547" s="104" t="s">
        <v>75</v>
      </c>
      <c r="B547" s="100" t="s">
        <v>11</v>
      </c>
      <c r="C547" s="20"/>
      <c r="D547" s="134" t="str">
        <f>"&lt;" &amp; A547 &amp; "&gt;" &amp;IF(B547="Yes",1,0) &amp;"&lt;/" &amp;A547&amp;"&gt;"</f>
        <v>&lt;AutoRefAreaFlag&gt;1&lt;/AutoRefAreaFlag&gt;</v>
      </c>
      <c r="E547" s="174" t="str">
        <f t="shared" si="20"/>
        <v>Yes</v>
      </c>
      <c r="F547" s="6" t="s">
        <v>655</v>
      </c>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row>
    <row r="548" spans="1:108" ht="12.75" hidden="1" customHeight="1" outlineLevel="4">
      <c r="A548" s="104" t="s">
        <v>76</v>
      </c>
      <c r="B548" s="100" t="s">
        <v>11</v>
      </c>
      <c r="C548" s="20"/>
      <c r="D548" s="134" t="str">
        <f>"&lt;" &amp; A548 &amp; "&gt;" &amp;IF(B548="Yes",1,0) &amp;"&lt;/" &amp;A548&amp;"&gt;"</f>
        <v>&lt;AutoRefSpanFlag&gt;1&lt;/AutoRefSpanFlag&gt;</v>
      </c>
      <c r="E548" s="174" t="str">
        <f t="shared" si="20"/>
        <v>Yes</v>
      </c>
      <c r="F548" s="6" t="s">
        <v>656</v>
      </c>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row>
    <row r="549" spans="1:108" ht="12.75" hidden="1" customHeight="1" outlineLevel="4">
      <c r="A549" s="104" t="s">
        <v>77</v>
      </c>
      <c r="B549" s="100" t="s">
        <v>11</v>
      </c>
      <c r="C549" s="20"/>
      <c r="D549" s="134" t="str">
        <f>"&lt;" &amp; A549 &amp; "&gt;" &amp;IF(B549="Yes",1,0) &amp;"&lt;/" &amp;A549&amp;"&gt;"</f>
        <v>&lt;AutoRefCbarFlag&gt;1&lt;/AutoRefCbarFlag&gt;</v>
      </c>
      <c r="E549" s="174" t="str">
        <f t="shared" si="20"/>
        <v>Yes</v>
      </c>
      <c r="F549" s="6" t="s">
        <v>657</v>
      </c>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row>
    <row r="550" spans="1:108" ht="12.75" hidden="1" customHeight="1" outlineLevel="4">
      <c r="A550" s="104" t="s">
        <v>78</v>
      </c>
      <c r="B550" s="101">
        <v>0</v>
      </c>
      <c r="C550" s="20"/>
      <c r="D550" s="103" t="str">
        <f>"&lt;" &amp; A550 &amp; "&gt;" &amp; TEXT(B550,"0.000000") &amp; "&lt;/" &amp; A550 &amp; "&gt;"</f>
        <v>&lt;AeroCenter_X&gt;0.000000&lt;/AeroCenter_X&gt;</v>
      </c>
      <c r="E550" s="174" t="str">
        <f t="shared" si="20"/>
        <v>Yes</v>
      </c>
      <c r="F550" s="6" t="s">
        <v>658</v>
      </c>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row>
    <row r="551" spans="1:108" ht="12.75" hidden="1" customHeight="1" outlineLevel="4">
      <c r="A551" s="104" t="s">
        <v>79</v>
      </c>
      <c r="B551" s="101">
        <v>0</v>
      </c>
      <c r="C551" s="20"/>
      <c r="D551" s="103" t="str">
        <f>"&lt;" &amp; A551 &amp; "&gt;" &amp; TEXT(B551,"0.000000") &amp; "&lt;/" &amp; A551 &amp; "&gt;"</f>
        <v>&lt;AeroCenter_Y&gt;0.000000&lt;/AeroCenter_Y&gt;</v>
      </c>
      <c r="E551" s="174" t="str">
        <f t="shared" si="20"/>
        <v>Yes</v>
      </c>
      <c r="F551" s="6" t="s">
        <v>659</v>
      </c>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row>
    <row r="552" spans="1:108" ht="12.75" hidden="1" customHeight="1" outlineLevel="4">
      <c r="A552" s="104" t="s">
        <v>80</v>
      </c>
      <c r="B552" s="101">
        <v>0</v>
      </c>
      <c r="C552" s="20"/>
      <c r="D552" s="103" t="str">
        <f>"&lt;" &amp; A552 &amp; "&gt;" &amp; TEXT(B552,"0.000000") &amp; "&lt;/" &amp; A552 &amp; "&gt;"</f>
        <v>&lt;AeroCenter_Z&gt;0.000000&lt;/AeroCenter_Z&gt;</v>
      </c>
      <c r="E552" s="174" t="str">
        <f t="shared" si="20"/>
        <v>Yes</v>
      </c>
      <c r="F552" s="6" t="s">
        <v>660</v>
      </c>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row>
    <row r="553" spans="1:108" ht="12.75" hidden="1" customHeight="1" outlineLevel="4">
      <c r="A553" s="104" t="s">
        <v>81</v>
      </c>
      <c r="B553" s="100" t="s">
        <v>11</v>
      </c>
      <c r="C553" s="20"/>
      <c r="D553" s="134" t="str">
        <f>"&lt;" &amp; A553 &amp; "&gt;" &amp;IF(B553="Yes",1,0) &amp;"&lt;/" &amp;A553&amp;"&gt;"</f>
        <v>&lt;AutoAeroCenterFlag&gt;1&lt;/AutoAeroCenterFlag&gt;</v>
      </c>
      <c r="E553" s="174" t="str">
        <f t="shared" si="20"/>
        <v>Yes</v>
      </c>
      <c r="F553" s="6" t="s">
        <v>661</v>
      </c>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row>
    <row r="554" spans="1:108" ht="12.75" hidden="1" customHeight="1" outlineLevel="4">
      <c r="A554" s="104" t="s">
        <v>82</v>
      </c>
      <c r="B554" s="100" t="s">
        <v>12</v>
      </c>
      <c r="C554" s="20"/>
      <c r="D554" s="134" t="str">
        <f>"&lt;" &amp; A554 &amp; "&gt;" &amp;IF(B554="Yes",1,0) &amp;"&lt;/" &amp;A554&amp;"&gt;"</f>
        <v>&lt;WakeActiveFlag&gt;0&lt;/WakeActiveFlag&gt;</v>
      </c>
      <c r="E554" s="174" t="str">
        <f t="shared" si="20"/>
        <v>Yes</v>
      </c>
      <c r="F554" s="6" t="s">
        <v>662</v>
      </c>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row>
    <row r="555" spans="1:108" ht="12.75" hidden="1" customHeight="1" outlineLevel="4">
      <c r="A555" s="104" t="s">
        <v>83</v>
      </c>
      <c r="B555" s="100" t="s">
        <v>12</v>
      </c>
      <c r="C555" s="20"/>
      <c r="D555" s="134" t="str">
        <f>"&lt;" &amp; A555 &amp; "&gt;" &amp;IF(B555="Yes",1,0) &amp;"&lt;/" &amp;A555&amp;"&gt;"</f>
        <v>&lt;PosAttachFlag&gt;0&lt;/PosAttachFlag&gt;</v>
      </c>
      <c r="E555" s="174" t="str">
        <f t="shared" si="20"/>
        <v>Yes</v>
      </c>
      <c r="F555" s="6" t="s">
        <v>663</v>
      </c>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row>
    <row r="556" spans="1:108" ht="12.75" hidden="1" customHeight="1" outlineLevel="4">
      <c r="A556" s="104" t="s">
        <v>84</v>
      </c>
      <c r="B556" s="101">
        <v>0</v>
      </c>
      <c r="C556" s="20"/>
      <c r="D556" s="103" t="str">
        <f>"&lt;" &amp; A556 &amp; "&gt;" &amp; TEXT(B556,"0.000000") &amp; "&lt;/" &amp; A556 &amp; "&gt;"</f>
        <v>&lt;U_Attach&gt;0.000000&lt;/U_Attach&gt;</v>
      </c>
      <c r="E556" s="174" t="str">
        <f t="shared" si="20"/>
        <v>Yes</v>
      </c>
      <c r="F556" s="6" t="s">
        <v>664</v>
      </c>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row>
    <row r="557" spans="1:108" ht="12.75" hidden="1" customHeight="1" outlineLevel="4">
      <c r="A557" s="104" t="s">
        <v>85</v>
      </c>
      <c r="B557" s="101">
        <v>0</v>
      </c>
      <c r="C557" s="20"/>
      <c r="D557" s="103" t="str">
        <f>"&lt;" &amp; A557 &amp; "&gt;" &amp; TEXT(B557,"0.000000") &amp; "&lt;/" &amp; A557 &amp; "&gt;"</f>
        <v>&lt;V_Attach&gt;0.000000&lt;/V_Attach&gt;</v>
      </c>
      <c r="E557" s="174" t="str">
        <f t="shared" si="20"/>
        <v>Yes</v>
      </c>
      <c r="F557" s="6" t="s">
        <v>665</v>
      </c>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row>
    <row r="558" spans="1:108" ht="12.75" hidden="1" customHeight="1" outlineLevel="4">
      <c r="A558" s="104" t="s">
        <v>86</v>
      </c>
      <c r="B558" s="28">
        <v>148262920</v>
      </c>
      <c r="C558" s="20"/>
      <c r="D558" s="131" t="s">
        <v>18</v>
      </c>
      <c r="E558" s="174" t="str">
        <f t="shared" si="20"/>
        <v>Yes</v>
      </c>
      <c r="F558" s="6" t="s">
        <v>18</v>
      </c>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row>
    <row r="559" spans="1:108" ht="12.75" hidden="1" customHeight="1" outlineLevel="4">
      <c r="A559" s="104" t="s">
        <v>87</v>
      </c>
      <c r="B559" s="28">
        <v>0</v>
      </c>
      <c r="C559" s="20"/>
      <c r="D559" s="103" t="str">
        <f>"&lt;" &amp; A559 &amp; "&gt;" &amp; TEXT(B559,0) &amp; "&lt;/" &amp; A559 &amp; "&gt;"</f>
        <v>&lt;Parent_PtrID&gt;0&lt;/Parent_PtrID&gt;</v>
      </c>
      <c r="E559" s="174" t="str">
        <f t="shared" si="20"/>
        <v>Yes</v>
      </c>
      <c r="F559" s="6" t="s">
        <v>666</v>
      </c>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row>
    <row r="560" spans="1:108" ht="12.75" hidden="1" customHeight="1" outlineLevel="4">
      <c r="A560" s="104" t="s">
        <v>88</v>
      </c>
      <c r="B560" s="17"/>
      <c r="C560" s="20"/>
      <c r="D560" s="17" t="str">
        <f>"&lt;" &amp; A560 &amp; "&gt;"</f>
        <v>&lt;/General_Parms&gt;</v>
      </c>
      <c r="E560" s="174" t="str">
        <f t="shared" si="20"/>
        <v>Yes</v>
      </c>
      <c r="F560" s="6" t="s">
        <v>667</v>
      </c>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row>
    <row r="561" spans="1:108" ht="12.75" customHeight="1" outlineLevel="3">
      <c r="A561" s="104" t="s">
        <v>89</v>
      </c>
      <c r="B561" s="17"/>
      <c r="C561" s="20"/>
      <c r="D561" s="17" t="str">
        <f>"&lt;" &amp; A561 &amp; "&gt;"</f>
        <v>&lt;Mswing_Parms&gt;</v>
      </c>
      <c r="E561" s="174" t="str">
        <f t="shared" si="20"/>
        <v>Yes</v>
      </c>
      <c r="F561" s="6" t="s">
        <v>668</v>
      </c>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row>
    <row r="562" spans="1:108" ht="12.75" customHeight="1" outlineLevel="4">
      <c r="A562" s="104" t="s">
        <v>90</v>
      </c>
      <c r="B562" s="33">
        <f>S_W</f>
        <v>122.6</v>
      </c>
      <c r="C562" s="20"/>
      <c r="D562" s="103" t="str">
        <f>"&lt;" &amp; A562 &amp; "&gt;" &amp; TEXT(B562,"0.000000") &amp; "&lt;/" &amp; A562 &amp; "&gt;"</f>
        <v>&lt;Total_Area&gt;122.600000&lt;/Total_Area&gt;</v>
      </c>
      <c r="E562" s="174" t="str">
        <f t="shared" si="20"/>
        <v>Yes</v>
      </c>
      <c r="F562" s="6" t="s">
        <v>735</v>
      </c>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row>
    <row r="563" spans="1:108" ht="12.75" customHeight="1" outlineLevel="4">
      <c r="A563" s="104" t="s">
        <v>91</v>
      </c>
      <c r="B563" s="33">
        <f>b_W</f>
        <v>33.940383026713178</v>
      </c>
      <c r="C563" s="20"/>
      <c r="D563" s="103" t="str">
        <f>"&lt;" &amp; A563 &amp; "&gt;" &amp; TEXT(B563,"0.000000") &amp; "&lt;/" &amp; A563 &amp; "&gt;"</f>
        <v>&lt;Total_Span&gt;33.940383&lt;/Total_Span&gt;</v>
      </c>
      <c r="E563" s="174" t="str">
        <f t="shared" si="20"/>
        <v>Yes</v>
      </c>
      <c r="F563" s="6" t="s">
        <v>736</v>
      </c>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row>
    <row r="564" spans="1:108" ht="12.75" customHeight="1" outlineLevel="4">
      <c r="A564" s="104" t="s">
        <v>92</v>
      </c>
      <c r="B564" s="29">
        <f>2*(B644*COS(B651*PI()/180) + B665*COS(B672*PI()/180))</f>
        <v>33.806015270376989</v>
      </c>
      <c r="C564" s="20"/>
      <c r="D564" s="103" t="str">
        <f>"&lt;" &amp; A564 &amp; "&gt;" &amp; TEXT(B564,"0.000000") &amp; "&lt;/" &amp; A564 &amp; "&gt;"</f>
        <v>&lt;Total_Proj_Span&gt;33.806015&lt;/Total_Proj_Span&gt;</v>
      </c>
      <c r="E564" s="174" t="str">
        <f t="shared" si="20"/>
        <v>Yes</v>
      </c>
      <c r="F564" s="6" t="s">
        <v>737</v>
      </c>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row>
    <row r="565" spans="1:108" ht="12.75" customHeight="1" outlineLevel="4">
      <c r="A565" s="104" t="s">
        <v>93</v>
      </c>
      <c r="B565" s="29">
        <f ca="1">((B643/B644) + (B664/B665))/2</f>
        <v>4.0696320662981744</v>
      </c>
      <c r="C565" s="20"/>
      <c r="D565" s="103" t="str">
        <f ca="1">"&lt;" &amp; A565 &amp; "&gt;" &amp; TEXT(B565,"0.000000") &amp; "&lt;/" &amp; A565 &amp; "&gt;"</f>
        <v>&lt;Avg_Chord&gt;4.069632&lt;/Avg_Chord&gt;</v>
      </c>
      <c r="E565" s="174" t="str">
        <f t="shared" ca="1" si="20"/>
        <v>Yes</v>
      </c>
      <c r="F565" s="6" t="s">
        <v>738</v>
      </c>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row>
    <row r="566" spans="1:108" ht="12.75" customHeight="1" outlineLevel="4">
      <c r="A566" s="104" t="s">
        <v>94</v>
      </c>
      <c r="B566" s="13">
        <v>0</v>
      </c>
      <c r="C566" s="20"/>
      <c r="D566" s="103" t="str">
        <f>"&lt;" &amp; A566 &amp; "&gt;" &amp; TEXT(B566,"0.000000") &amp; "&lt;/" &amp; A566 &amp; "&gt;"</f>
        <v>&lt;Sweep_Off&gt;0.000000&lt;/Sweep_Off&gt;</v>
      </c>
      <c r="E566" s="174" t="str">
        <f t="shared" si="20"/>
        <v>Yes</v>
      </c>
      <c r="F566" s="6" t="s">
        <v>670</v>
      </c>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row>
    <row r="567" spans="1:108" ht="12.75" customHeight="1" outlineLevel="4">
      <c r="A567" s="104" t="s">
        <v>95</v>
      </c>
      <c r="B567" s="28">
        <v>9</v>
      </c>
      <c r="C567" s="20"/>
      <c r="D567" s="103" t="str">
        <f>"&lt;" &amp; A567 &amp; "&gt;" &amp; TEXT(B567,0) &amp; "&lt;/" &amp; A567 &amp; "&gt;"</f>
        <v>&lt;Deg_Per_Seg&gt;9&lt;/Deg_Per_Seg&gt;</v>
      </c>
      <c r="E567" s="174" t="str">
        <f t="shared" si="20"/>
        <v>Yes</v>
      </c>
      <c r="F567" s="6" t="s">
        <v>671</v>
      </c>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row>
    <row r="568" spans="1:108" ht="12.75" customHeight="1" outlineLevel="4">
      <c r="A568" s="104" t="s">
        <v>96</v>
      </c>
      <c r="B568" s="28">
        <v>9</v>
      </c>
      <c r="C568" s="20"/>
      <c r="D568" s="103" t="str">
        <f>"&lt;" &amp; A568 &amp; "&gt;" &amp; TEXT(B568,0) &amp; "&lt;/" &amp; A568 &amp; "&gt;"</f>
        <v>&lt;Max_Num_Seg&gt;9&lt;/Max_Num_Seg&gt;</v>
      </c>
      <c r="E568" s="174" t="str">
        <f t="shared" si="20"/>
        <v>Yes</v>
      </c>
      <c r="F568" s="6" t="s">
        <v>672</v>
      </c>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row>
    <row r="569" spans="1:108" ht="12.75" customHeight="1" outlineLevel="4">
      <c r="A569" s="104" t="s">
        <v>97</v>
      </c>
      <c r="B569" s="28">
        <v>0</v>
      </c>
      <c r="C569" s="20"/>
      <c r="D569" s="103" t="str">
        <f>"&lt;" &amp; A569 &amp; "&gt;" &amp; TEXT(B569,0) &amp; "&lt;/" &amp; A569 &amp; "&gt;"</f>
        <v>&lt;Rel_Dihedral_Flag&gt;0&lt;/Rel_Dihedral_Flag&gt;</v>
      </c>
      <c r="E569" s="174" t="str">
        <f t="shared" ref="E569:E632" si="22">IF(D569=F569,"Yes","No")</f>
        <v>Yes</v>
      </c>
      <c r="F569" s="6" t="s">
        <v>673</v>
      </c>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row>
    <row r="570" spans="1:108" ht="12.75" customHeight="1" outlineLevel="4">
      <c r="A570" s="104" t="s">
        <v>98</v>
      </c>
      <c r="B570" s="28">
        <v>0</v>
      </c>
      <c r="C570" s="20"/>
      <c r="D570" s="103" t="str">
        <f>"&lt;" &amp; A570 &amp; "&gt;" &amp; TEXT(B570,0) &amp; "&lt;/" &amp; A570 &amp; "&gt;"</f>
        <v>&lt;Rel_Twist_Flag&gt;0&lt;/Rel_Twist_Flag&gt;</v>
      </c>
      <c r="E570" s="174" t="str">
        <f t="shared" si="22"/>
        <v>Yes</v>
      </c>
      <c r="F570" s="6" t="s">
        <v>674</v>
      </c>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row>
    <row r="571" spans="1:108" ht="12.75" customHeight="1" outlineLevel="4">
      <c r="A571" s="104" t="s">
        <v>99</v>
      </c>
      <c r="B571" s="100" t="s">
        <v>11</v>
      </c>
      <c r="C571" s="20"/>
      <c r="D571" s="134" t="str">
        <f>"&lt;" &amp; A571 &amp; "&gt;" &amp;IF(B571="Yes",1,0) &amp;"&lt;/" &amp;A571&amp;"&gt;"</f>
        <v>&lt;Round_End_Cap_Flag&gt;1&lt;/Round_End_Cap_Flag&gt;</v>
      </c>
      <c r="E571" s="174" t="str">
        <f t="shared" si="22"/>
        <v>Yes</v>
      </c>
      <c r="F571" s="6" t="s">
        <v>675</v>
      </c>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row>
    <row r="572" spans="1:108" ht="12.75" customHeight="1" outlineLevel="4">
      <c r="A572" s="104" t="s">
        <v>100</v>
      </c>
      <c r="B572" s="17"/>
      <c r="C572" s="20"/>
      <c r="D572" s="17" t="str">
        <f>"&lt;" &amp; A572 &amp; "&gt;"</f>
        <v>&lt;/Mswing_Parms&gt;</v>
      </c>
      <c r="E572" s="174" t="str">
        <f t="shared" si="22"/>
        <v>Yes</v>
      </c>
      <c r="F572" s="6" t="s">
        <v>676</v>
      </c>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row>
    <row r="573" spans="1:108" ht="12.75" customHeight="1" outlineLevel="3" collapsed="1">
      <c r="A573" s="104" t="s">
        <v>101</v>
      </c>
      <c r="B573" s="17"/>
      <c r="C573" s="20"/>
      <c r="D573" s="17" t="str">
        <f>"&lt;" &amp; A573 &amp; "&gt;"</f>
        <v>&lt;Airfoil_List&gt;</v>
      </c>
      <c r="E573" s="174" t="str">
        <f t="shared" si="22"/>
        <v>Yes</v>
      </c>
      <c r="F573" s="6" t="s">
        <v>677</v>
      </c>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row>
    <row r="574" spans="1:108" ht="12.75" hidden="1" customHeight="1" outlineLevel="4" collapsed="1">
      <c r="A574" s="104" t="s">
        <v>2</v>
      </c>
      <c r="B574" s="99" t="s">
        <v>399</v>
      </c>
      <c r="C574" s="20"/>
      <c r="D574" s="17" t="str">
        <f>"&lt;" &amp; A574 &amp; "&gt;"</f>
        <v>&lt;Airfoil&gt;</v>
      </c>
      <c r="E574" s="174" t="str">
        <f t="shared" si="22"/>
        <v>Yes</v>
      </c>
      <c r="F574" s="6" t="s">
        <v>678</v>
      </c>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row>
    <row r="575" spans="1:108" ht="12.75" hidden="1" customHeight="1" outlineLevel="5">
      <c r="A575" s="104" t="s">
        <v>14</v>
      </c>
      <c r="B575" s="28">
        <v>1</v>
      </c>
      <c r="C575" s="20"/>
      <c r="D575" s="103" t="str">
        <f>"&lt;" &amp; A575 &amp; "&gt;" &amp; TEXT(B575,0) &amp; "&lt;/" &amp; A575 &amp; "&gt;"</f>
        <v>&lt;Type&gt;1&lt;/Type&gt;</v>
      </c>
      <c r="E575" s="174" t="str">
        <f t="shared" si="22"/>
        <v>Yes</v>
      </c>
      <c r="F575" s="6" t="s">
        <v>679</v>
      </c>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row>
    <row r="576" spans="1:108" ht="12.75" hidden="1" customHeight="1" outlineLevel="5">
      <c r="A576" s="104" t="s">
        <v>102</v>
      </c>
      <c r="B576" s="100" t="s">
        <v>12</v>
      </c>
      <c r="C576" s="20"/>
      <c r="D576" s="134" t="str">
        <f>"&lt;" &amp; A576 &amp; "&gt;" &amp;IF(B576="Yes",1,0) &amp;"&lt;/" &amp;A576&amp;"&gt;"</f>
        <v>&lt;Inverted_Flag&gt;0&lt;/Inverted_Flag&gt;</v>
      </c>
      <c r="E576" s="174" t="str">
        <f t="shared" si="22"/>
        <v>Yes</v>
      </c>
      <c r="F576" s="6" t="s">
        <v>680</v>
      </c>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row>
    <row r="577" spans="1:108" ht="12.75" hidden="1" customHeight="1" outlineLevel="5">
      <c r="A577" s="104" t="s">
        <v>4</v>
      </c>
      <c r="B577" s="101">
        <v>0.02</v>
      </c>
      <c r="C577" s="20"/>
      <c r="D577" s="103" t="str">
        <f t="shared" ref="D577:D582" si="23">"&lt;" &amp; A577 &amp; "&gt;" &amp; TEXT(B577,"0.000000") &amp; "&lt;/" &amp; A577 &amp; "&gt;"</f>
        <v>&lt;Camber&gt;0.020000&lt;/Camber&gt;</v>
      </c>
      <c r="E577" s="174" t="str">
        <f t="shared" si="22"/>
        <v>Yes</v>
      </c>
      <c r="F577" s="6" t="s">
        <v>739</v>
      </c>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row>
    <row r="578" spans="1:108" ht="12.75" hidden="1" customHeight="1" outlineLevel="5">
      <c r="A578" s="104" t="s">
        <v>103</v>
      </c>
      <c r="B578" s="101">
        <v>0.3</v>
      </c>
      <c r="C578" s="20"/>
      <c r="D578" s="103" t="str">
        <f t="shared" si="23"/>
        <v>&lt;Camber_Loc&gt;0.300000&lt;/Camber_Loc&gt;</v>
      </c>
      <c r="E578" s="174" t="str">
        <f t="shared" si="22"/>
        <v>Yes</v>
      </c>
      <c r="F578" s="6" t="s">
        <v>740</v>
      </c>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row>
    <row r="579" spans="1:108" ht="12.75" hidden="1" customHeight="1" outlineLevel="5">
      <c r="A579" s="104" t="s">
        <v>5</v>
      </c>
      <c r="B579" s="92">
        <f>(15/11)*(t\c)</f>
        <v>0.17727272727272728</v>
      </c>
      <c r="C579" s="20"/>
      <c r="D579" s="103" t="str">
        <f t="shared" si="23"/>
        <v>&lt;Thickness&gt;0.177273&lt;/Thickness&gt;</v>
      </c>
      <c r="E579" s="174" t="str">
        <f t="shared" si="22"/>
        <v>Yes</v>
      </c>
      <c r="F579" s="6" t="s">
        <v>741</v>
      </c>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row>
    <row r="580" spans="1:108" ht="12.75" hidden="1" customHeight="1" outlineLevel="5">
      <c r="A580" s="104" t="s">
        <v>104</v>
      </c>
      <c r="B580" s="101">
        <v>0.3</v>
      </c>
      <c r="C580" s="20"/>
      <c r="D580" s="103" t="str">
        <f t="shared" si="23"/>
        <v>&lt;Thickness_Loc&gt;0.300000&lt;/Thickness_Loc&gt;</v>
      </c>
      <c r="E580" s="174" t="str">
        <f t="shared" si="22"/>
        <v>Yes</v>
      </c>
      <c r="F580" s="6" t="s">
        <v>684</v>
      </c>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row>
    <row r="581" spans="1:108" ht="12.75" hidden="1" customHeight="1" outlineLevel="5">
      <c r="A581" s="104" t="s">
        <v>105</v>
      </c>
      <c r="B581" s="101">
        <v>1.5866999999999999E-2</v>
      </c>
      <c r="C581" s="20"/>
      <c r="D581" s="103" t="str">
        <f t="shared" si="23"/>
        <v>&lt;Radius_Le&gt;0.015867&lt;/Radius_Le&gt;</v>
      </c>
      <c r="E581" s="174" t="str">
        <f t="shared" si="22"/>
        <v>Yes</v>
      </c>
      <c r="F581" s="6" t="s">
        <v>742</v>
      </c>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row>
    <row r="582" spans="1:108" ht="12.75" hidden="1" customHeight="1" outlineLevel="5">
      <c r="A582" s="104" t="s">
        <v>106</v>
      </c>
      <c r="B582" s="101">
        <v>0</v>
      </c>
      <c r="C582" s="20"/>
      <c r="D582" s="103" t="str">
        <f t="shared" si="23"/>
        <v>&lt;Radius_Te&gt;0.000000&lt;/Radius_Te&gt;</v>
      </c>
      <c r="E582" s="174" t="str">
        <f t="shared" si="22"/>
        <v>Yes</v>
      </c>
      <c r="F582" s="6" t="s">
        <v>686</v>
      </c>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row>
    <row r="583" spans="1:108" ht="12.75" hidden="1" customHeight="1" outlineLevel="5">
      <c r="A583" s="104" t="s">
        <v>107</v>
      </c>
      <c r="B583" s="28">
        <v>63</v>
      </c>
      <c r="C583" s="20"/>
      <c r="D583" s="103" t="str">
        <f>"&lt;" &amp; A583 &amp; "&gt;" &amp; TEXT(B583,0) &amp; "&lt;/" &amp; A583 &amp; "&gt;"</f>
        <v>&lt;Six_Series&gt;63&lt;/Six_Series&gt;</v>
      </c>
      <c r="E583" s="174" t="str">
        <f t="shared" si="22"/>
        <v>Yes</v>
      </c>
      <c r="F583" s="6" t="s">
        <v>687</v>
      </c>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row>
    <row r="584" spans="1:108" ht="12.75" hidden="1" customHeight="1" outlineLevel="5">
      <c r="A584" s="104" t="s">
        <v>108</v>
      </c>
      <c r="B584" s="101">
        <v>0</v>
      </c>
      <c r="C584" s="20"/>
      <c r="D584" s="103" t="str">
        <f>"&lt;" &amp; A584 &amp; "&gt;" &amp; TEXT(B584,"0.000000") &amp; "&lt;/" &amp; A584 &amp; "&gt;"</f>
        <v>&lt;Ideal_Cl&gt;0.000000&lt;/Ideal_Cl&gt;</v>
      </c>
      <c r="E584" s="174" t="str">
        <f t="shared" si="22"/>
        <v>Yes</v>
      </c>
      <c r="F584" s="6" t="s">
        <v>688</v>
      </c>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row>
    <row r="585" spans="1:108" ht="12.75" hidden="1" customHeight="1" outlineLevel="5">
      <c r="A585" s="104" t="s">
        <v>109</v>
      </c>
      <c r="B585" s="101">
        <v>0</v>
      </c>
      <c r="C585" s="20"/>
      <c r="D585" s="103" t="str">
        <f>"&lt;" &amp; A585 &amp; "&gt;" &amp; TEXT(B585,"0.000000") &amp; "&lt;/" &amp; A585 &amp; "&gt;"</f>
        <v>&lt;A&gt;0.000000&lt;/A&gt;</v>
      </c>
      <c r="E585" s="174" t="str">
        <f t="shared" si="22"/>
        <v>Yes</v>
      </c>
      <c r="F585" s="6" t="s">
        <v>689</v>
      </c>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row>
    <row r="586" spans="1:108" ht="12.75" hidden="1" customHeight="1" outlineLevel="5">
      <c r="A586" s="104" t="s">
        <v>110</v>
      </c>
      <c r="B586" s="100" t="s">
        <v>12</v>
      </c>
      <c r="C586" s="20"/>
      <c r="D586" s="134" t="str">
        <f>"&lt;" &amp; A586 &amp; "&gt;" &amp;IF(B586="Yes",1,0) &amp;"&lt;/" &amp;A586&amp;"&gt;"</f>
        <v>&lt;Slat_Flag&gt;0&lt;/Slat_Flag&gt;</v>
      </c>
      <c r="E586" s="174" t="str">
        <f t="shared" si="22"/>
        <v>Yes</v>
      </c>
      <c r="F586" s="6" t="s">
        <v>690</v>
      </c>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row>
    <row r="587" spans="1:108" ht="12.75" hidden="1" customHeight="1" outlineLevel="5">
      <c r="A587" s="104" t="s">
        <v>111</v>
      </c>
      <c r="B587" s="100" t="s">
        <v>12</v>
      </c>
      <c r="C587" s="20"/>
      <c r="D587" s="134" t="str">
        <f>"&lt;" &amp; A587 &amp; "&gt;" &amp;IF(B587="Yes",1,0) &amp;"&lt;/" &amp;A587&amp;"&gt;"</f>
        <v>&lt;Slat_Shear_Flag&gt;0&lt;/Slat_Shear_Flag&gt;</v>
      </c>
      <c r="E587" s="174" t="str">
        <f t="shared" si="22"/>
        <v>Yes</v>
      </c>
      <c r="F587" s="6" t="s">
        <v>691</v>
      </c>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row>
    <row r="588" spans="1:108" ht="12.75" hidden="1" customHeight="1" outlineLevel="5">
      <c r="A588" s="104" t="s">
        <v>112</v>
      </c>
      <c r="B588" s="101">
        <v>0.25</v>
      </c>
      <c r="C588" s="20"/>
      <c r="D588" s="103" t="str">
        <f>"&lt;" &amp; A588 &amp; "&gt;" &amp; TEXT(B588,"0.000000") &amp; "&lt;/" &amp; A588 &amp; "&gt;"</f>
        <v>&lt;Slat_Chord&gt;0.250000&lt;/Slat_Chord&gt;</v>
      </c>
      <c r="E588" s="174" t="str">
        <f t="shared" si="22"/>
        <v>Yes</v>
      </c>
      <c r="F588" s="6" t="s">
        <v>692</v>
      </c>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row>
    <row r="589" spans="1:108" ht="12.75" hidden="1" customHeight="1" outlineLevel="5">
      <c r="A589" s="104" t="s">
        <v>113</v>
      </c>
      <c r="B589" s="101">
        <v>10</v>
      </c>
      <c r="C589" s="20"/>
      <c r="D589" s="103" t="str">
        <f>"&lt;" &amp; A589 &amp; "&gt;" &amp; TEXT(B589,"0.000000") &amp; "&lt;/" &amp; A589 &amp; "&gt;"</f>
        <v>&lt;Slat_Angle&gt;10.000000&lt;/Slat_Angle&gt;</v>
      </c>
      <c r="E589" s="174" t="str">
        <f t="shared" si="22"/>
        <v>Yes</v>
      </c>
      <c r="F589" s="6" t="s">
        <v>693</v>
      </c>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row>
    <row r="590" spans="1:108" ht="12.75" hidden="1" customHeight="1" outlineLevel="5">
      <c r="A590" s="104" t="s">
        <v>114</v>
      </c>
      <c r="B590" s="100" t="s">
        <v>11</v>
      </c>
      <c r="C590" s="20"/>
      <c r="D590" s="134" t="str">
        <f>"&lt;" &amp; A590 &amp; "&gt;" &amp;IF(B590="Yes",1,0) &amp;"&lt;/" &amp;A590&amp;"&gt;"</f>
        <v>&lt;Flap_Flag&gt;1&lt;/Flap_Flag&gt;</v>
      </c>
      <c r="E590" s="174" t="str">
        <f t="shared" si="22"/>
        <v>Yes</v>
      </c>
      <c r="F590" s="6" t="s">
        <v>694</v>
      </c>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row>
    <row r="591" spans="1:108" ht="12.75" hidden="1" customHeight="1" outlineLevel="5">
      <c r="A591" s="104" t="s">
        <v>115</v>
      </c>
      <c r="B591" s="100" t="s">
        <v>12</v>
      </c>
      <c r="C591" s="20"/>
      <c r="D591" s="134" t="str">
        <f>"&lt;" &amp; A591 &amp; "&gt;" &amp;IF(B591="Yes",1,0) &amp;"&lt;/" &amp;A591&amp;"&gt;"</f>
        <v>&lt;Flap_Shear_Flag&gt;0&lt;/Flap_Shear_Flag&gt;</v>
      </c>
      <c r="E591" s="174" t="str">
        <f t="shared" si="22"/>
        <v>Yes</v>
      </c>
      <c r="F591" s="6" t="s">
        <v>695</v>
      </c>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row>
    <row r="592" spans="1:108" ht="12.75" hidden="1" customHeight="1" outlineLevel="5">
      <c r="A592" s="104" t="s">
        <v>116</v>
      </c>
      <c r="B592" s="13">
        <v>0.31</v>
      </c>
      <c r="C592" s="20"/>
      <c r="D592" s="103" t="str">
        <f>"&lt;" &amp; A592 &amp; "&gt;" &amp; TEXT(B592,"0.000000") &amp; "&lt;/" &amp; A592 &amp; "&gt;"</f>
        <v>&lt;Flap_Chord&gt;0.310000&lt;/Flap_Chord&gt;</v>
      </c>
      <c r="E592" s="174" t="str">
        <f t="shared" si="22"/>
        <v>Yes</v>
      </c>
      <c r="F592" s="6" t="s">
        <v>727</v>
      </c>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row>
    <row r="593" spans="1:108" ht="12.75" hidden="1" customHeight="1" outlineLevel="5">
      <c r="A593" s="104" t="s">
        <v>117</v>
      </c>
      <c r="B593" s="13">
        <v>0</v>
      </c>
      <c r="C593" s="20"/>
      <c r="D593" s="103" t="str">
        <f>"&lt;" &amp; A593 &amp; "&gt;" &amp; TEXT(B593,"0.000000") &amp; "&lt;/" &amp; A593 &amp; "&gt;"</f>
        <v>&lt;Flap_Angle&gt;0.000000&lt;/Flap_Angle&gt;</v>
      </c>
      <c r="E593" s="174" t="str">
        <f t="shared" si="22"/>
        <v>Yes</v>
      </c>
      <c r="F593" s="6" t="s">
        <v>743</v>
      </c>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row>
    <row r="594" spans="1:108" ht="12.75" hidden="1" customHeight="1" outlineLevel="5">
      <c r="A594" s="104" t="s">
        <v>118</v>
      </c>
      <c r="B594" s="17"/>
      <c r="C594" s="20"/>
      <c r="D594" s="17" t="str">
        <f>"&lt;" &amp; A594 &amp; "&gt;"</f>
        <v>&lt;/Airfoil&gt;</v>
      </c>
      <c r="E594" s="174" t="str">
        <f t="shared" si="22"/>
        <v>Yes</v>
      </c>
      <c r="F594" s="6" t="s">
        <v>698</v>
      </c>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row>
    <row r="595" spans="1:108" ht="12.75" hidden="1" customHeight="1" outlineLevel="4" collapsed="1">
      <c r="A595" s="104" t="s">
        <v>2</v>
      </c>
      <c r="B595" s="99" t="s">
        <v>386</v>
      </c>
      <c r="C595" s="20"/>
      <c r="D595" s="17" t="str">
        <f>"&lt;" &amp; A595 &amp; "&gt;"</f>
        <v>&lt;Airfoil&gt;</v>
      </c>
      <c r="E595" s="174" t="str">
        <f t="shared" si="22"/>
        <v>Yes</v>
      </c>
      <c r="F595" s="6" t="s">
        <v>678</v>
      </c>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row>
    <row r="596" spans="1:108" ht="12.75" hidden="1" customHeight="1" outlineLevel="5">
      <c r="A596" s="104" t="s">
        <v>14</v>
      </c>
      <c r="B596" s="28">
        <v>1</v>
      </c>
      <c r="C596" s="20"/>
      <c r="D596" s="103" t="str">
        <f>"&lt;" &amp; A596 &amp; "&gt;" &amp; TEXT(B596,0) &amp; "&lt;/" &amp; A596 &amp; "&gt;"</f>
        <v>&lt;Type&gt;1&lt;/Type&gt;</v>
      </c>
      <c r="E596" s="174" t="str">
        <f t="shared" si="22"/>
        <v>Yes</v>
      </c>
      <c r="F596" s="6" t="s">
        <v>679</v>
      </c>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row>
    <row r="597" spans="1:108" ht="12.75" hidden="1" customHeight="1" outlineLevel="5">
      <c r="A597" s="104" t="s">
        <v>102</v>
      </c>
      <c r="B597" s="100" t="s">
        <v>12</v>
      </c>
      <c r="C597" s="20"/>
      <c r="D597" s="134" t="str">
        <f>"&lt;" &amp; A597 &amp; "&gt;" &amp;IF(B597="Yes",1,0) &amp;"&lt;/" &amp;A597&amp;"&gt;"</f>
        <v>&lt;Inverted_Flag&gt;0&lt;/Inverted_Flag&gt;</v>
      </c>
      <c r="E597" s="174" t="str">
        <f t="shared" si="22"/>
        <v>Yes</v>
      </c>
      <c r="F597" s="6" t="s">
        <v>680</v>
      </c>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row>
    <row r="598" spans="1:108" ht="12.75" hidden="1" customHeight="1" outlineLevel="5">
      <c r="A598" s="104" t="s">
        <v>4</v>
      </c>
      <c r="B598" s="101">
        <v>0.02</v>
      </c>
      <c r="C598" s="20"/>
      <c r="D598" s="103" t="str">
        <f t="shared" ref="D598:D603" si="24">"&lt;" &amp; A598 &amp; "&gt;" &amp; TEXT(B598,"0.000000") &amp; "&lt;/" &amp; A598 &amp; "&gt;"</f>
        <v>&lt;Camber&gt;0.020000&lt;/Camber&gt;</v>
      </c>
      <c r="E598" s="174" t="str">
        <f t="shared" si="22"/>
        <v>Yes</v>
      </c>
      <c r="F598" s="6" t="s">
        <v>739</v>
      </c>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row>
    <row r="599" spans="1:108" ht="12.75" hidden="1" customHeight="1" outlineLevel="5">
      <c r="A599" s="104" t="s">
        <v>103</v>
      </c>
      <c r="B599" s="101">
        <v>0.3</v>
      </c>
      <c r="C599" s="20"/>
      <c r="D599" s="103" t="str">
        <f t="shared" si="24"/>
        <v>&lt;Camber_Loc&gt;0.300000&lt;/Camber_Loc&gt;</v>
      </c>
      <c r="E599" s="174" t="str">
        <f t="shared" si="22"/>
        <v>Yes</v>
      </c>
      <c r="F599" s="6" t="s">
        <v>740</v>
      </c>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row>
    <row r="600" spans="1:108" ht="12.75" hidden="1" customHeight="1" outlineLevel="5">
      <c r="A600" s="104" t="s">
        <v>5</v>
      </c>
      <c r="B600" s="92">
        <f>t\c</f>
        <v>0.13</v>
      </c>
      <c r="C600" s="20"/>
      <c r="D600" s="103" t="str">
        <f t="shared" si="24"/>
        <v>&lt;Thickness&gt;0.130000&lt;/Thickness&gt;</v>
      </c>
      <c r="E600" s="174" t="str">
        <f t="shared" si="22"/>
        <v>Yes</v>
      </c>
      <c r="F600" s="6" t="s">
        <v>744</v>
      </c>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row>
    <row r="601" spans="1:108" ht="12.75" hidden="1" customHeight="1" outlineLevel="5">
      <c r="A601" s="104" t="s">
        <v>104</v>
      </c>
      <c r="B601" s="101">
        <v>0.3</v>
      </c>
      <c r="C601" s="20"/>
      <c r="D601" s="103" t="str">
        <f t="shared" si="24"/>
        <v>&lt;Thickness_Loc&gt;0.300000&lt;/Thickness_Loc&gt;</v>
      </c>
      <c r="E601" s="174" t="str">
        <f t="shared" si="22"/>
        <v>Yes</v>
      </c>
      <c r="F601" s="6" t="s">
        <v>684</v>
      </c>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row>
    <row r="602" spans="1:108" ht="12.75" hidden="1" customHeight="1" outlineLevel="5">
      <c r="A602" s="104" t="s">
        <v>105</v>
      </c>
      <c r="B602" s="101">
        <v>1.5866999999999999E-2</v>
      </c>
      <c r="C602" s="20"/>
      <c r="D602" s="103" t="str">
        <f t="shared" si="24"/>
        <v>&lt;Radius_Le&gt;0.015867&lt;/Radius_Le&gt;</v>
      </c>
      <c r="E602" s="174" t="str">
        <f t="shared" si="22"/>
        <v>Yes</v>
      </c>
      <c r="F602" s="6" t="s">
        <v>742</v>
      </c>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row>
    <row r="603" spans="1:108" ht="12.75" hidden="1" customHeight="1" outlineLevel="5">
      <c r="A603" s="104" t="s">
        <v>106</v>
      </c>
      <c r="B603" s="101">
        <v>0</v>
      </c>
      <c r="C603" s="20"/>
      <c r="D603" s="103" t="str">
        <f t="shared" si="24"/>
        <v>&lt;Radius_Te&gt;0.000000&lt;/Radius_Te&gt;</v>
      </c>
      <c r="E603" s="174" t="str">
        <f t="shared" si="22"/>
        <v>Yes</v>
      </c>
      <c r="F603" s="6" t="s">
        <v>686</v>
      </c>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row>
    <row r="604" spans="1:108" ht="12.75" hidden="1" customHeight="1" outlineLevel="5">
      <c r="A604" s="104" t="s">
        <v>107</v>
      </c>
      <c r="B604" s="28">
        <v>63</v>
      </c>
      <c r="C604" s="20"/>
      <c r="D604" s="103" t="str">
        <f>"&lt;" &amp; A604 &amp; "&gt;" &amp; TEXT(B604,0) &amp; "&lt;/" &amp; A604 &amp; "&gt;"</f>
        <v>&lt;Six_Series&gt;63&lt;/Six_Series&gt;</v>
      </c>
      <c r="E604" s="174" t="str">
        <f t="shared" si="22"/>
        <v>Yes</v>
      </c>
      <c r="F604" s="6" t="s">
        <v>687</v>
      </c>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row>
    <row r="605" spans="1:108" ht="12.75" hidden="1" customHeight="1" outlineLevel="5">
      <c r="A605" s="104" t="s">
        <v>108</v>
      </c>
      <c r="B605" s="101">
        <v>0</v>
      </c>
      <c r="C605" s="20"/>
      <c r="D605" s="103" t="str">
        <f>"&lt;" &amp; A605 &amp; "&gt;" &amp; TEXT(B605,"0.000000") &amp; "&lt;/" &amp; A605 &amp; "&gt;"</f>
        <v>&lt;Ideal_Cl&gt;0.000000&lt;/Ideal_Cl&gt;</v>
      </c>
      <c r="E605" s="174" t="str">
        <f t="shared" si="22"/>
        <v>Yes</v>
      </c>
      <c r="F605" s="6" t="s">
        <v>688</v>
      </c>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row>
    <row r="606" spans="1:108" ht="12.75" hidden="1" customHeight="1" outlineLevel="5">
      <c r="A606" s="104" t="s">
        <v>109</v>
      </c>
      <c r="B606" s="101">
        <v>0</v>
      </c>
      <c r="C606" s="20"/>
      <c r="D606" s="103" t="str">
        <f>"&lt;" &amp; A606 &amp; "&gt;" &amp; TEXT(B606,"0.000000") &amp; "&lt;/" &amp; A606 &amp; "&gt;"</f>
        <v>&lt;A&gt;0.000000&lt;/A&gt;</v>
      </c>
      <c r="E606" s="174" t="str">
        <f t="shared" si="22"/>
        <v>Yes</v>
      </c>
      <c r="F606" s="6" t="s">
        <v>689</v>
      </c>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row>
    <row r="607" spans="1:108" ht="12.75" hidden="1" customHeight="1" outlineLevel="5">
      <c r="A607" s="104" t="s">
        <v>110</v>
      </c>
      <c r="B607" s="100" t="s">
        <v>12</v>
      </c>
      <c r="C607" s="20"/>
      <c r="D607" s="134" t="str">
        <f>"&lt;" &amp; A607 &amp; "&gt;" &amp;IF(B607="Yes",1,0) &amp;"&lt;/" &amp;A607&amp;"&gt;"</f>
        <v>&lt;Slat_Flag&gt;0&lt;/Slat_Flag&gt;</v>
      </c>
      <c r="E607" s="174" t="str">
        <f t="shared" si="22"/>
        <v>Yes</v>
      </c>
      <c r="F607" s="6" t="s">
        <v>690</v>
      </c>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row>
    <row r="608" spans="1:108" ht="12.75" hidden="1" customHeight="1" outlineLevel="5">
      <c r="A608" s="104" t="s">
        <v>111</v>
      </c>
      <c r="B608" s="100" t="s">
        <v>12</v>
      </c>
      <c r="C608" s="20"/>
      <c r="D608" s="134" t="str">
        <f>"&lt;" &amp; A608 &amp; "&gt;" &amp;IF(B608="Yes",1,0) &amp;"&lt;/" &amp;A608&amp;"&gt;"</f>
        <v>&lt;Slat_Shear_Flag&gt;0&lt;/Slat_Shear_Flag&gt;</v>
      </c>
      <c r="E608" s="174" t="str">
        <f t="shared" si="22"/>
        <v>Yes</v>
      </c>
      <c r="F608" s="6" t="s">
        <v>691</v>
      </c>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row>
    <row r="609" spans="1:108" ht="12.75" hidden="1" customHeight="1" outlineLevel="5">
      <c r="A609" s="104" t="s">
        <v>112</v>
      </c>
      <c r="B609" s="101">
        <v>0.25</v>
      </c>
      <c r="C609" s="20"/>
      <c r="D609" s="103" t="str">
        <f>"&lt;" &amp; A609 &amp; "&gt;" &amp; TEXT(B609,"0.000000") &amp; "&lt;/" &amp; A609 &amp; "&gt;"</f>
        <v>&lt;Slat_Chord&gt;0.250000&lt;/Slat_Chord&gt;</v>
      </c>
      <c r="E609" s="174" t="str">
        <f t="shared" si="22"/>
        <v>Yes</v>
      </c>
      <c r="F609" s="6" t="s">
        <v>692</v>
      </c>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row>
    <row r="610" spans="1:108" ht="12.75" hidden="1" customHeight="1" outlineLevel="5">
      <c r="A610" s="104" t="s">
        <v>113</v>
      </c>
      <c r="B610" s="101">
        <v>10</v>
      </c>
      <c r="C610" s="20"/>
      <c r="D610" s="103" t="str">
        <f>"&lt;" &amp; A610 &amp; "&gt;" &amp; TEXT(B610,"0.000000") &amp; "&lt;/" &amp; A610 &amp; "&gt;"</f>
        <v>&lt;Slat_Angle&gt;10.000000&lt;/Slat_Angle&gt;</v>
      </c>
      <c r="E610" s="174" t="str">
        <f t="shared" si="22"/>
        <v>Yes</v>
      </c>
      <c r="F610" s="6" t="s">
        <v>693</v>
      </c>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row>
    <row r="611" spans="1:108" ht="12.75" hidden="1" customHeight="1" outlineLevel="5">
      <c r="A611" s="104" t="s">
        <v>114</v>
      </c>
      <c r="B611" s="100" t="s">
        <v>11</v>
      </c>
      <c r="C611" s="20"/>
      <c r="D611" s="134" t="str">
        <f>"&lt;" &amp; A611 &amp; "&gt;" &amp;IF(B611="Yes",1,0) &amp;"&lt;/" &amp;A611&amp;"&gt;"</f>
        <v>&lt;Flap_Flag&gt;1&lt;/Flap_Flag&gt;</v>
      </c>
      <c r="E611" s="174" t="str">
        <f t="shared" si="22"/>
        <v>Yes</v>
      </c>
      <c r="F611" s="6" t="s">
        <v>694</v>
      </c>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row>
    <row r="612" spans="1:108" ht="12.75" hidden="1" customHeight="1" outlineLevel="5">
      <c r="A612" s="104" t="s">
        <v>115</v>
      </c>
      <c r="B612" s="100" t="s">
        <v>12</v>
      </c>
      <c r="C612" s="20"/>
      <c r="D612" s="134" t="str">
        <f>"&lt;" &amp; A612 &amp; "&gt;" &amp;IF(B612="Yes",1,0) &amp;"&lt;/" &amp;A612&amp;"&gt;"</f>
        <v>&lt;Flap_Shear_Flag&gt;0&lt;/Flap_Shear_Flag&gt;</v>
      </c>
      <c r="E612" s="174" t="str">
        <f t="shared" si="22"/>
        <v>Yes</v>
      </c>
      <c r="F612" s="6" t="s">
        <v>695</v>
      </c>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row>
    <row r="613" spans="1:108" ht="12.75" hidden="1" customHeight="1" outlineLevel="5">
      <c r="A613" s="104" t="s">
        <v>116</v>
      </c>
      <c r="B613" s="13">
        <v>0.31</v>
      </c>
      <c r="C613" s="20"/>
      <c r="D613" s="103" t="str">
        <f>"&lt;" &amp; A613 &amp; "&gt;" &amp; TEXT(B613,"0.000000") &amp; "&lt;/" &amp; A613 &amp; "&gt;"</f>
        <v>&lt;Flap_Chord&gt;0.310000&lt;/Flap_Chord&gt;</v>
      </c>
      <c r="E613" s="174" t="str">
        <f t="shared" si="22"/>
        <v>Yes</v>
      </c>
      <c r="F613" s="6" t="s">
        <v>727</v>
      </c>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row>
    <row r="614" spans="1:108" ht="12.75" hidden="1" customHeight="1" outlineLevel="5">
      <c r="A614" s="104" t="s">
        <v>117</v>
      </c>
      <c r="B614" s="13">
        <v>0</v>
      </c>
      <c r="C614" s="20"/>
      <c r="D614" s="103" t="str">
        <f>"&lt;" &amp; A614 &amp; "&gt;" &amp; TEXT(B614,"0.000000") &amp; "&lt;/" &amp; A614 &amp; "&gt;"</f>
        <v>&lt;Flap_Angle&gt;0.000000&lt;/Flap_Angle&gt;</v>
      </c>
      <c r="E614" s="174" t="str">
        <f t="shared" si="22"/>
        <v>Yes</v>
      </c>
      <c r="F614" s="6" t="s">
        <v>743</v>
      </c>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row>
    <row r="615" spans="1:108" ht="12.75" hidden="1" customHeight="1" outlineLevel="5">
      <c r="A615" s="104" t="s">
        <v>118</v>
      </c>
      <c r="B615" s="17"/>
      <c r="C615" s="20"/>
      <c r="D615" s="17" t="str">
        <f>"&lt;" &amp; A615 &amp; "&gt;"</f>
        <v>&lt;/Airfoil&gt;</v>
      </c>
      <c r="E615" s="174" t="str">
        <f t="shared" si="22"/>
        <v>Yes</v>
      </c>
      <c r="F615" s="6" t="s">
        <v>698</v>
      </c>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row>
    <row r="616" spans="1:108" ht="12.75" hidden="1" customHeight="1" outlineLevel="4" collapsed="1">
      <c r="A616" s="104" t="s">
        <v>2</v>
      </c>
      <c r="B616" s="99" t="s">
        <v>388</v>
      </c>
      <c r="C616" s="20"/>
      <c r="D616" s="17" t="str">
        <f>"&lt;" &amp; A616 &amp; "&gt;"</f>
        <v>&lt;Airfoil&gt;</v>
      </c>
      <c r="E616" s="174" t="str">
        <f t="shared" si="22"/>
        <v>Yes</v>
      </c>
      <c r="F616" s="6" t="s">
        <v>678</v>
      </c>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row>
    <row r="617" spans="1:108" ht="12.75" hidden="1" customHeight="1" outlineLevel="5">
      <c r="A617" s="104" t="s">
        <v>14</v>
      </c>
      <c r="B617" s="28">
        <v>1</v>
      </c>
      <c r="C617" s="20"/>
      <c r="D617" s="103" t="str">
        <f>"&lt;" &amp; A617 &amp; "&gt;" &amp; TEXT(B617,0) &amp; "&lt;/" &amp; A617 &amp; "&gt;"</f>
        <v>&lt;Type&gt;1&lt;/Type&gt;</v>
      </c>
      <c r="E617" s="174" t="str">
        <f t="shared" si="22"/>
        <v>Yes</v>
      </c>
      <c r="F617" s="6" t="s">
        <v>679</v>
      </c>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row>
    <row r="618" spans="1:108" ht="12.75" hidden="1" customHeight="1" outlineLevel="5">
      <c r="A618" s="104" t="s">
        <v>102</v>
      </c>
      <c r="B618" s="100" t="s">
        <v>12</v>
      </c>
      <c r="C618" s="20"/>
      <c r="D618" s="134" t="str">
        <f>"&lt;" &amp; A618 &amp; "&gt;" &amp;IF(B618="Yes",1,0) &amp;"&lt;/" &amp;A618&amp;"&gt;"</f>
        <v>&lt;Inverted_Flag&gt;0&lt;/Inverted_Flag&gt;</v>
      </c>
      <c r="E618" s="174" t="str">
        <f t="shared" si="22"/>
        <v>Yes</v>
      </c>
      <c r="F618" s="6" t="s">
        <v>680</v>
      </c>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row>
    <row r="619" spans="1:108" ht="12.75" hidden="1" customHeight="1" outlineLevel="5">
      <c r="A619" s="104" t="s">
        <v>4</v>
      </c>
      <c r="B619" s="101">
        <v>0.02</v>
      </c>
      <c r="C619" s="20"/>
      <c r="D619" s="103" t="str">
        <f t="shared" ref="D619:D624" si="25">"&lt;" &amp; A619 &amp; "&gt;" &amp; TEXT(B619,"0.000000") &amp; "&lt;/" &amp; A619 &amp; "&gt;"</f>
        <v>&lt;Camber&gt;0.020000&lt;/Camber&gt;</v>
      </c>
      <c r="E619" s="174" t="str">
        <f t="shared" si="22"/>
        <v>Yes</v>
      </c>
      <c r="F619" s="6" t="s">
        <v>739</v>
      </c>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row>
    <row r="620" spans="1:108" ht="12.75" hidden="1" customHeight="1" outlineLevel="5">
      <c r="A620" s="104" t="s">
        <v>103</v>
      </c>
      <c r="B620" s="101">
        <v>0.3</v>
      </c>
      <c r="C620" s="20"/>
      <c r="D620" s="103" t="str">
        <f t="shared" si="25"/>
        <v>&lt;Camber_Loc&gt;0.300000&lt;/Camber_Loc&gt;</v>
      </c>
      <c r="E620" s="174" t="str">
        <f t="shared" si="22"/>
        <v>Yes</v>
      </c>
      <c r="F620" s="6" t="s">
        <v>740</v>
      </c>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row>
    <row r="621" spans="1:108" ht="12.75" hidden="1" customHeight="1" outlineLevel="5">
      <c r="A621" s="104" t="s">
        <v>5</v>
      </c>
      <c r="B621" s="92">
        <f>t\c</f>
        <v>0.13</v>
      </c>
      <c r="C621" s="20"/>
      <c r="D621" s="103" t="str">
        <f t="shared" si="25"/>
        <v>&lt;Thickness&gt;0.130000&lt;/Thickness&gt;</v>
      </c>
      <c r="E621" s="174" t="str">
        <f t="shared" si="22"/>
        <v>Yes</v>
      </c>
      <c r="F621" s="6" t="s">
        <v>744</v>
      </c>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row>
    <row r="622" spans="1:108" ht="12.75" hidden="1" customHeight="1" outlineLevel="5">
      <c r="A622" s="104" t="s">
        <v>104</v>
      </c>
      <c r="B622" s="101">
        <v>0.3</v>
      </c>
      <c r="C622" s="20"/>
      <c r="D622" s="103" t="str">
        <f t="shared" si="25"/>
        <v>&lt;Thickness_Loc&gt;0.300000&lt;/Thickness_Loc&gt;</v>
      </c>
      <c r="E622" s="174" t="str">
        <f t="shared" si="22"/>
        <v>Yes</v>
      </c>
      <c r="F622" s="6" t="s">
        <v>684</v>
      </c>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row>
    <row r="623" spans="1:108" ht="12.75" hidden="1" customHeight="1" outlineLevel="5">
      <c r="A623" s="104" t="s">
        <v>105</v>
      </c>
      <c r="B623" s="101">
        <v>1.5866999999999999E-2</v>
      </c>
      <c r="C623" s="20"/>
      <c r="D623" s="103" t="str">
        <f t="shared" si="25"/>
        <v>&lt;Radius_Le&gt;0.015867&lt;/Radius_Le&gt;</v>
      </c>
      <c r="E623" s="174" t="str">
        <f t="shared" si="22"/>
        <v>Yes</v>
      </c>
      <c r="F623" s="6" t="s">
        <v>742</v>
      </c>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row>
    <row r="624" spans="1:108" ht="12.75" hidden="1" customHeight="1" outlineLevel="5">
      <c r="A624" s="104" t="s">
        <v>106</v>
      </c>
      <c r="B624" s="101">
        <v>0</v>
      </c>
      <c r="C624" s="20"/>
      <c r="D624" s="103" t="str">
        <f t="shared" si="25"/>
        <v>&lt;Radius_Te&gt;0.000000&lt;/Radius_Te&gt;</v>
      </c>
      <c r="E624" s="174" t="str">
        <f t="shared" si="22"/>
        <v>Yes</v>
      </c>
      <c r="F624" s="6" t="s">
        <v>686</v>
      </c>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row>
    <row r="625" spans="1:108" ht="12.75" hidden="1" customHeight="1" outlineLevel="5">
      <c r="A625" s="104" t="s">
        <v>107</v>
      </c>
      <c r="B625" s="28">
        <v>63</v>
      </c>
      <c r="C625" s="20"/>
      <c r="D625" s="103" t="str">
        <f>"&lt;" &amp; A625 &amp; "&gt;" &amp; TEXT(B625,0) &amp; "&lt;/" &amp; A625 &amp; "&gt;"</f>
        <v>&lt;Six_Series&gt;63&lt;/Six_Series&gt;</v>
      </c>
      <c r="E625" s="174" t="str">
        <f t="shared" si="22"/>
        <v>Yes</v>
      </c>
      <c r="F625" s="6" t="s">
        <v>687</v>
      </c>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row>
    <row r="626" spans="1:108" ht="12.75" hidden="1" customHeight="1" outlineLevel="5">
      <c r="A626" s="104" t="s">
        <v>108</v>
      </c>
      <c r="B626" s="101">
        <v>0</v>
      </c>
      <c r="C626" s="20"/>
      <c r="D626" s="103" t="str">
        <f>"&lt;" &amp; A626 &amp; "&gt;" &amp; TEXT(B626,"0.000000") &amp; "&lt;/" &amp; A626 &amp; "&gt;"</f>
        <v>&lt;Ideal_Cl&gt;0.000000&lt;/Ideal_Cl&gt;</v>
      </c>
      <c r="E626" s="174" t="str">
        <f t="shared" si="22"/>
        <v>Yes</v>
      </c>
      <c r="F626" s="6" t="s">
        <v>688</v>
      </c>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row>
    <row r="627" spans="1:108" ht="12.75" hidden="1" customHeight="1" outlineLevel="5">
      <c r="A627" s="104" t="s">
        <v>109</v>
      </c>
      <c r="B627" s="101">
        <v>0</v>
      </c>
      <c r="C627" s="20"/>
      <c r="D627" s="103" t="str">
        <f>"&lt;" &amp; A627 &amp; "&gt;" &amp; TEXT(B627,"0.000000") &amp; "&lt;/" &amp; A627 &amp; "&gt;"</f>
        <v>&lt;A&gt;0.000000&lt;/A&gt;</v>
      </c>
      <c r="E627" s="174" t="str">
        <f t="shared" si="22"/>
        <v>Yes</v>
      </c>
      <c r="F627" s="6" t="s">
        <v>689</v>
      </c>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row>
    <row r="628" spans="1:108" ht="12.75" hidden="1" customHeight="1" outlineLevel="5">
      <c r="A628" s="104" t="s">
        <v>110</v>
      </c>
      <c r="B628" s="100" t="s">
        <v>12</v>
      </c>
      <c r="C628" s="20"/>
      <c r="D628" s="134" t="str">
        <f>"&lt;" &amp; A628 &amp; "&gt;" &amp;IF(B628="Yes",1,0) &amp;"&lt;/" &amp;A628&amp;"&gt;"</f>
        <v>&lt;Slat_Flag&gt;0&lt;/Slat_Flag&gt;</v>
      </c>
      <c r="E628" s="174" t="str">
        <f t="shared" si="22"/>
        <v>Yes</v>
      </c>
      <c r="F628" s="6" t="s">
        <v>690</v>
      </c>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row>
    <row r="629" spans="1:108" ht="12.75" hidden="1" customHeight="1" outlineLevel="5">
      <c r="A629" s="104" t="s">
        <v>111</v>
      </c>
      <c r="B629" s="100" t="s">
        <v>12</v>
      </c>
      <c r="C629" s="20"/>
      <c r="D629" s="134" t="str">
        <f>"&lt;" &amp; A629 &amp; "&gt;" &amp;IF(B629="Yes",1,0) &amp;"&lt;/" &amp;A629&amp;"&gt;"</f>
        <v>&lt;Slat_Shear_Flag&gt;0&lt;/Slat_Shear_Flag&gt;</v>
      </c>
      <c r="E629" s="174" t="str">
        <f t="shared" si="22"/>
        <v>Yes</v>
      </c>
      <c r="F629" s="6" t="s">
        <v>691</v>
      </c>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row>
    <row r="630" spans="1:108" ht="12.75" hidden="1" customHeight="1" outlineLevel="5">
      <c r="A630" s="104" t="s">
        <v>112</v>
      </c>
      <c r="B630" s="101">
        <v>0.25</v>
      </c>
      <c r="C630" s="20"/>
      <c r="D630" s="103" t="str">
        <f>"&lt;" &amp; A630 &amp; "&gt;" &amp; TEXT(B630,"0.000000") &amp; "&lt;/" &amp; A630 &amp; "&gt;"</f>
        <v>&lt;Slat_Chord&gt;0.250000&lt;/Slat_Chord&gt;</v>
      </c>
      <c r="E630" s="174" t="str">
        <f t="shared" si="22"/>
        <v>Yes</v>
      </c>
      <c r="F630" s="6" t="s">
        <v>692</v>
      </c>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row>
    <row r="631" spans="1:108" ht="12.75" hidden="1" customHeight="1" outlineLevel="5">
      <c r="A631" s="104" t="s">
        <v>113</v>
      </c>
      <c r="B631" s="101">
        <v>10</v>
      </c>
      <c r="C631" s="20"/>
      <c r="D631" s="103" t="str">
        <f>"&lt;" &amp; A631 &amp; "&gt;" &amp; TEXT(B631,"0.000000") &amp; "&lt;/" &amp; A631 &amp; "&gt;"</f>
        <v>&lt;Slat_Angle&gt;10.000000&lt;/Slat_Angle&gt;</v>
      </c>
      <c r="E631" s="174" t="str">
        <f t="shared" si="22"/>
        <v>Yes</v>
      </c>
      <c r="F631" s="6" t="s">
        <v>693</v>
      </c>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row>
    <row r="632" spans="1:108" ht="12.75" hidden="1" customHeight="1" outlineLevel="5">
      <c r="A632" s="104" t="s">
        <v>114</v>
      </c>
      <c r="B632" s="100" t="s">
        <v>11</v>
      </c>
      <c r="C632" s="20"/>
      <c r="D632" s="134" t="str">
        <f>"&lt;" &amp; A632 &amp; "&gt;" &amp;IF(B632="Yes",1,0) &amp;"&lt;/" &amp;A632&amp;"&gt;"</f>
        <v>&lt;Flap_Flag&gt;1&lt;/Flap_Flag&gt;</v>
      </c>
      <c r="E632" s="174" t="str">
        <f t="shared" si="22"/>
        <v>Yes</v>
      </c>
      <c r="F632" s="6" t="s">
        <v>694</v>
      </c>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row>
    <row r="633" spans="1:108" ht="12.75" hidden="1" customHeight="1" outlineLevel="5">
      <c r="A633" s="104" t="s">
        <v>115</v>
      </c>
      <c r="B633" s="100" t="s">
        <v>12</v>
      </c>
      <c r="C633" s="20"/>
      <c r="D633" s="134" t="str">
        <f>"&lt;" &amp; A633 &amp; "&gt;" &amp;IF(B633="Yes",1,0) &amp;"&lt;/" &amp;A633&amp;"&gt;"</f>
        <v>&lt;Flap_Shear_Flag&gt;0&lt;/Flap_Shear_Flag&gt;</v>
      </c>
      <c r="E633" s="174" t="str">
        <f t="shared" ref="E633:E696" si="26">IF(D633=F633,"Yes","No")</f>
        <v>Yes</v>
      </c>
      <c r="F633" s="6" t="s">
        <v>695</v>
      </c>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row>
    <row r="634" spans="1:108" ht="12.75" hidden="1" customHeight="1" outlineLevel="5">
      <c r="A634" s="104" t="s">
        <v>116</v>
      </c>
      <c r="B634" s="13">
        <v>0.31</v>
      </c>
      <c r="C634" s="20"/>
      <c r="D634" s="103" t="str">
        <f>"&lt;" &amp; A634 &amp; "&gt;" &amp; TEXT(B634,"0.000000") &amp; "&lt;/" &amp; A634 &amp; "&gt;"</f>
        <v>&lt;Flap_Chord&gt;0.310000&lt;/Flap_Chord&gt;</v>
      </c>
      <c r="E634" s="174" t="str">
        <f t="shared" si="26"/>
        <v>Yes</v>
      </c>
      <c r="F634" s="6" t="s">
        <v>727</v>
      </c>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row>
    <row r="635" spans="1:108" ht="12.75" hidden="1" customHeight="1" outlineLevel="5">
      <c r="A635" s="104" t="s">
        <v>117</v>
      </c>
      <c r="B635" s="13">
        <v>0</v>
      </c>
      <c r="C635" s="20"/>
      <c r="D635" s="103" t="str">
        <f>"&lt;" &amp; A635 &amp; "&gt;" &amp; TEXT(B635,"0.000000") &amp; "&lt;/" &amp; A635 &amp; "&gt;"</f>
        <v>&lt;Flap_Angle&gt;0.000000&lt;/Flap_Angle&gt;</v>
      </c>
      <c r="E635" s="174" t="str">
        <f t="shared" si="26"/>
        <v>Yes</v>
      </c>
      <c r="F635" s="6" t="s">
        <v>743</v>
      </c>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row>
    <row r="636" spans="1:108" ht="12.75" hidden="1" customHeight="1" outlineLevel="5">
      <c r="A636" s="104" t="s">
        <v>118</v>
      </c>
      <c r="B636" s="17"/>
      <c r="C636" s="20"/>
      <c r="D636" s="17" t="str">
        <f>"&lt;" &amp; A636 &amp; "&gt;"</f>
        <v>&lt;/Airfoil&gt;</v>
      </c>
      <c r="E636" s="174" t="str">
        <f t="shared" si="26"/>
        <v>Yes</v>
      </c>
      <c r="F636" s="6" t="s">
        <v>698</v>
      </c>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row>
    <row r="637" spans="1:108" ht="12.75" hidden="1" customHeight="1" outlineLevel="4">
      <c r="A637" s="104" t="s">
        <v>119</v>
      </c>
      <c r="B637" s="17"/>
      <c r="C637" s="20"/>
      <c r="D637" s="17" t="str">
        <f>"&lt;" &amp; A637 &amp; "&gt;"</f>
        <v>&lt;/Airfoil_List&gt;</v>
      </c>
      <c r="E637" s="174" t="str">
        <f t="shared" si="26"/>
        <v>Yes</v>
      </c>
      <c r="F637" s="6" t="s">
        <v>699</v>
      </c>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row>
    <row r="638" spans="1:108" ht="12.75" customHeight="1" outlineLevel="3" collapsed="1">
      <c r="A638" s="104" t="s">
        <v>120</v>
      </c>
      <c r="B638" s="17"/>
      <c r="C638" s="20"/>
      <c r="D638" s="17" t="str">
        <f>"&lt;" &amp; A638 &amp; "&gt;"</f>
        <v>&lt;Section_List&gt;</v>
      </c>
      <c r="E638" s="174" t="str">
        <f t="shared" si="26"/>
        <v>Yes</v>
      </c>
      <c r="F638" s="6" t="s">
        <v>700</v>
      </c>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row>
    <row r="639" spans="1:108" ht="12.75" hidden="1" customHeight="1" outlineLevel="4" collapsed="1">
      <c r="A639" s="104" t="s">
        <v>121</v>
      </c>
      <c r="B639" s="99" t="s">
        <v>400</v>
      </c>
      <c r="C639" s="20"/>
      <c r="D639" s="17" t="str">
        <f>"&lt;" &amp; A639 &amp; "&gt;"</f>
        <v>&lt;Section&gt;</v>
      </c>
      <c r="E639" s="174" t="str">
        <f t="shared" si="26"/>
        <v>Yes</v>
      </c>
      <c r="F639" s="6" t="s">
        <v>701</v>
      </c>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row>
    <row r="640" spans="1:108" ht="12.75" hidden="1" customHeight="1" outlineLevel="5">
      <c r="A640" s="104" t="s">
        <v>122</v>
      </c>
      <c r="B640" s="17">
        <v>0</v>
      </c>
      <c r="C640" s="20"/>
      <c r="D640" s="103" t="str">
        <f>"&lt;" &amp; A640 &amp; "&gt;" &amp; TEXT(B640,0) &amp; "&lt;/" &amp; A640 &amp; "&gt;"</f>
        <v>&lt;Driver&gt;0&lt;/Driver&gt;</v>
      </c>
      <c r="E640" s="174" t="str">
        <f t="shared" si="26"/>
        <v>Yes</v>
      </c>
      <c r="F640" s="6" t="s">
        <v>745</v>
      </c>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row>
    <row r="641" spans="1:108" ht="12.75" hidden="1" customHeight="1" outlineLevel="5">
      <c r="A641" s="104" t="s">
        <v>123</v>
      </c>
      <c r="B641" s="34">
        <f ca="1">(B644^2)/B643</f>
        <v>1.0168961718768728</v>
      </c>
      <c r="C641" s="20"/>
      <c r="D641" s="103" t="str">
        <f t="shared" ref="D641:D655" ca="1" si="27">"&lt;" &amp; A641 &amp; "&gt;" &amp; TEXT(B641,"0.000000") &amp; "&lt;/" &amp; A641 &amp; "&gt;"</f>
        <v>&lt;AR&gt;1.016896&lt;/AR&gt;</v>
      </c>
      <c r="E641" s="174" t="str">
        <f t="shared" ca="1" si="26"/>
        <v>Yes</v>
      </c>
      <c r="F641" s="6" t="s">
        <v>746</v>
      </c>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row>
    <row r="642" spans="1:108" ht="12.75" hidden="1" customHeight="1" outlineLevel="5">
      <c r="A642" s="104" t="s">
        <v>124</v>
      </c>
      <c r="B642" s="34">
        <f ca="1">B645/B646</f>
        <v>0.58450165179579239</v>
      </c>
      <c r="C642" s="20"/>
      <c r="D642" s="103" t="str">
        <f t="shared" ca="1" si="27"/>
        <v>&lt;TR&gt;0.584502&lt;/TR&gt;</v>
      </c>
      <c r="E642" s="174" t="str">
        <f t="shared" ca="1" si="26"/>
        <v>Yes</v>
      </c>
      <c r="F642" s="6" t="s">
        <v>989</v>
      </c>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row>
    <row r="643" spans="1:108" ht="12.75" hidden="1" customHeight="1" outlineLevel="5">
      <c r="A643" s="104" t="s">
        <v>6</v>
      </c>
      <c r="B643" s="34">
        <f ca="1">0.5*(c_r.W+c_W.k)*b_W.i</f>
        <v>28.999922091919018</v>
      </c>
      <c r="C643" s="20"/>
      <c r="D643" s="103" t="str">
        <f t="shared" ca="1" si="27"/>
        <v>&lt;Area&gt;28.999922&lt;/Area&gt;</v>
      </c>
      <c r="E643" s="174" t="str">
        <f t="shared" ca="1" si="26"/>
        <v>Yes</v>
      </c>
      <c r="F643" s="6" t="s">
        <v>990</v>
      </c>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row>
    <row r="644" spans="1:108" ht="12.75" hidden="1" customHeight="1" outlineLevel="5">
      <c r="A644" s="104" t="s">
        <v>7</v>
      </c>
      <c r="B644" s="31">
        <f>b_W.i</f>
        <v>5.4304612842741085</v>
      </c>
      <c r="C644" s="20"/>
      <c r="D644" s="103" t="str">
        <f t="shared" si="27"/>
        <v>&lt;Span&gt;5.430461&lt;/Span&gt;</v>
      </c>
      <c r="E644" s="174" t="str">
        <f t="shared" si="26"/>
        <v>Yes</v>
      </c>
      <c r="F644" s="6" t="s">
        <v>747</v>
      </c>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row>
    <row r="645" spans="1:108" ht="12.75" hidden="1" customHeight="1" outlineLevel="5">
      <c r="A645" s="104" t="s">
        <v>125</v>
      </c>
      <c r="B645" s="31">
        <f ca="1">c_W.k</f>
        <v>3.9398814261078683</v>
      </c>
      <c r="C645" s="20"/>
      <c r="D645" s="103" t="str">
        <f t="shared" ca="1" si="27"/>
        <v>&lt;TC&gt;3.939881&lt;/TC&gt;</v>
      </c>
      <c r="E645" s="174" t="str">
        <f t="shared" ca="1" si="26"/>
        <v>Yes</v>
      </c>
      <c r="F645" s="6" t="s">
        <v>991</v>
      </c>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row>
    <row r="646" spans="1:108" ht="12.75" hidden="1" customHeight="1" outlineLevel="5">
      <c r="A646" s="104" t="s">
        <v>126</v>
      </c>
      <c r="B646" s="31">
        <f ca="1">c_r.W</f>
        <v>6.7405821934004502</v>
      </c>
      <c r="C646" s="20"/>
      <c r="D646" s="103" t="str">
        <f t="shared" ca="1" si="27"/>
        <v>&lt;RC&gt;6.740582&lt;/RC&gt;</v>
      </c>
      <c r="E646" s="174" t="str">
        <f t="shared" ca="1" si="26"/>
        <v>Yes</v>
      </c>
      <c r="F646" s="6" t="s">
        <v>992</v>
      </c>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row>
    <row r="647" spans="1:108" ht="12.75" hidden="1" customHeight="1" outlineLevel="5">
      <c r="A647" s="104" t="s">
        <v>8</v>
      </c>
      <c r="B647" s="31">
        <f>phi_100.W.i</f>
        <v>0</v>
      </c>
      <c r="D647" s="103" t="str">
        <f t="shared" si="27"/>
        <v>&lt;Sweep&gt;0.000000&lt;/Sweep&gt;</v>
      </c>
      <c r="E647" s="174" t="str">
        <f t="shared" si="26"/>
        <v>Yes</v>
      </c>
      <c r="F647" s="6" t="s">
        <v>748</v>
      </c>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row>
    <row r="648" spans="1:108" ht="12.75" hidden="1" customHeight="1" outlineLevel="5">
      <c r="A648" s="104" t="s">
        <v>127</v>
      </c>
      <c r="B648" s="13">
        <v>1</v>
      </c>
      <c r="D648" s="103" t="str">
        <f t="shared" si="27"/>
        <v>&lt;SweepLoc&gt;1.000000&lt;/SweepLoc&gt;</v>
      </c>
      <c r="E648" s="174" t="str">
        <f t="shared" si="26"/>
        <v>Yes</v>
      </c>
      <c r="F648" s="6" t="s">
        <v>728</v>
      </c>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row>
    <row r="649" spans="1:108" ht="12.75" hidden="1" customHeight="1" outlineLevel="5">
      <c r="A649" s="104" t="s">
        <v>9</v>
      </c>
      <c r="B649" s="13">
        <v>0</v>
      </c>
      <c r="D649" s="103" t="str">
        <f t="shared" si="27"/>
        <v>&lt;Twist&gt;0.000000&lt;/Twist&gt;</v>
      </c>
      <c r="E649" s="174" t="str">
        <f t="shared" si="26"/>
        <v>Yes</v>
      </c>
      <c r="F649" s="6" t="s">
        <v>707</v>
      </c>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row>
    <row r="650" spans="1:108" ht="12.75" hidden="1" customHeight="1" outlineLevel="5">
      <c r="A650" s="104" t="s">
        <v>128</v>
      </c>
      <c r="B650" s="13">
        <v>0</v>
      </c>
      <c r="D650" s="103" t="str">
        <f t="shared" si="27"/>
        <v>&lt;TwistLoc&gt;0.000000&lt;/TwistLoc&gt;</v>
      </c>
      <c r="E650" s="174" t="str">
        <f t="shared" si="26"/>
        <v>Yes</v>
      </c>
      <c r="F650" s="6" t="s">
        <v>708</v>
      </c>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row>
    <row r="651" spans="1:108" ht="12.75" hidden="1" customHeight="1" outlineLevel="5">
      <c r="A651" s="104" t="s">
        <v>10</v>
      </c>
      <c r="B651" s="92">
        <f>ggam_W.o</f>
        <v>5.0999999999999996</v>
      </c>
      <c r="D651" s="103" t="str">
        <f t="shared" si="27"/>
        <v>&lt;Dihedral&gt;5.100000&lt;/Dihedral&gt;</v>
      </c>
      <c r="E651" s="174" t="str">
        <f t="shared" si="26"/>
        <v>Yes</v>
      </c>
      <c r="F651" s="6" t="s">
        <v>749</v>
      </c>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row>
    <row r="652" spans="1:108" ht="12.75" hidden="1" customHeight="1" outlineLevel="5">
      <c r="A652" s="104" t="s">
        <v>129</v>
      </c>
      <c r="B652" s="101">
        <v>0</v>
      </c>
      <c r="D652" s="103" t="str">
        <f t="shared" si="27"/>
        <v>&lt;Dihed_Crv1&gt;0.000000&lt;/Dihed_Crv1&gt;</v>
      </c>
      <c r="E652" s="174" t="str">
        <f t="shared" si="26"/>
        <v>Yes</v>
      </c>
      <c r="F652" s="6" t="s">
        <v>710</v>
      </c>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row>
    <row r="653" spans="1:108" ht="12.75" hidden="1" customHeight="1" outlineLevel="5">
      <c r="A653" s="104" t="s">
        <v>130</v>
      </c>
      <c r="B653" s="101">
        <v>0</v>
      </c>
      <c r="D653" s="103" t="str">
        <f t="shared" si="27"/>
        <v>&lt;Dihed_Crv2&gt;0.000000&lt;/Dihed_Crv2&gt;</v>
      </c>
      <c r="E653" s="174" t="str">
        <f t="shared" si="26"/>
        <v>Yes</v>
      </c>
      <c r="F653" s="6" t="s">
        <v>711</v>
      </c>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row>
    <row r="654" spans="1:108" ht="12.75" hidden="1" customHeight="1" outlineLevel="5">
      <c r="A654" s="104" t="s">
        <v>131</v>
      </c>
      <c r="B654" s="101">
        <v>0.75</v>
      </c>
      <c r="D654" s="103" t="str">
        <f t="shared" si="27"/>
        <v>&lt;Dihed_Crv1_Str&gt;0.750000&lt;/Dihed_Crv1_Str&gt;</v>
      </c>
      <c r="E654" s="174" t="str">
        <f t="shared" si="26"/>
        <v>Yes</v>
      </c>
      <c r="F654" s="6" t="s">
        <v>712</v>
      </c>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row>
    <row r="655" spans="1:108" ht="12.75" hidden="1" customHeight="1" outlineLevel="5">
      <c r="A655" s="104" t="s">
        <v>132</v>
      </c>
      <c r="B655" s="101">
        <v>0.75</v>
      </c>
      <c r="D655" s="103" t="str">
        <f t="shared" si="27"/>
        <v>&lt;Dihed_Crv2_Str&gt;0.750000&lt;/Dihed_Crv2_Str&gt;</v>
      </c>
      <c r="E655" s="174" t="str">
        <f t="shared" si="26"/>
        <v>Yes</v>
      </c>
      <c r="F655" s="6" t="s">
        <v>713</v>
      </c>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row>
    <row r="656" spans="1:108" ht="12.75" hidden="1" customHeight="1" outlineLevel="5">
      <c r="A656" s="104" t="s">
        <v>133</v>
      </c>
      <c r="B656" s="100" t="s">
        <v>12</v>
      </c>
      <c r="D656" s="134" t="str">
        <f>"&lt;" &amp; A656 &amp; "&gt;" &amp;IF(B656="Yes",1,0) &amp;"&lt;/" &amp;A656&amp;"&gt;"</f>
        <v>&lt;DihedRotFlag&gt;0&lt;/DihedRotFlag&gt;</v>
      </c>
      <c r="E656" s="174" t="str">
        <f t="shared" si="26"/>
        <v>Yes</v>
      </c>
      <c r="F656" s="6" t="s">
        <v>714</v>
      </c>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row>
    <row r="657" spans="1:108" ht="12.75" hidden="1" customHeight="1" outlineLevel="5">
      <c r="A657" s="104" t="s">
        <v>134</v>
      </c>
      <c r="B657" s="100" t="s">
        <v>12</v>
      </c>
      <c r="D657" s="134" t="str">
        <f>"&lt;" &amp; A657 &amp; "&gt;" &amp;IF(B657="Yes",1,0) &amp;"&lt;/" &amp;A657&amp;"&gt;"</f>
        <v>&lt;SmoothBlendFlag&gt;0&lt;/SmoothBlendFlag&gt;</v>
      </c>
      <c r="E657" s="174" t="str">
        <f t="shared" si="26"/>
        <v>Yes</v>
      </c>
      <c r="F657" s="6" t="s">
        <v>715</v>
      </c>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row>
    <row r="658" spans="1:108" ht="12.75" hidden="1" customHeight="1" outlineLevel="5">
      <c r="A658" s="104" t="s">
        <v>135</v>
      </c>
      <c r="B658" s="28">
        <v>1</v>
      </c>
      <c r="D658" s="103" t="str">
        <f>"&lt;" &amp; A658 &amp; "&gt;" &amp; TEXT(B658,0) &amp; "&lt;/" &amp; A658 &amp; "&gt;"</f>
        <v>&lt;NumInterpXsecs&gt;1&lt;/NumInterpXsecs&gt;</v>
      </c>
      <c r="E658" s="174" t="str">
        <f t="shared" si="26"/>
        <v>Yes</v>
      </c>
      <c r="F658" s="6" t="s">
        <v>716</v>
      </c>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row>
    <row r="659" spans="1:108" ht="12.75" hidden="1" customHeight="1" outlineLevel="5">
      <c r="A659" s="104" t="s">
        <v>136</v>
      </c>
      <c r="B659" s="17"/>
      <c r="D659" s="17" t="str">
        <f>"&lt;" &amp; A659 &amp; "&gt;"</f>
        <v>&lt;/Section&gt;</v>
      </c>
      <c r="E659" s="174" t="str">
        <f t="shared" si="26"/>
        <v>Yes</v>
      </c>
      <c r="F659" s="6" t="s">
        <v>717</v>
      </c>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row>
    <row r="660" spans="1:108" ht="12.75" hidden="1" customHeight="1" outlineLevel="4" collapsed="1">
      <c r="A660" s="104" t="s">
        <v>121</v>
      </c>
      <c r="B660" s="99" t="s">
        <v>387</v>
      </c>
      <c r="D660" s="17" t="str">
        <f>"&lt;" &amp; A660 &amp; "&gt;"</f>
        <v>&lt;Section&gt;</v>
      </c>
      <c r="E660" s="174" t="str">
        <f t="shared" si="26"/>
        <v>Yes</v>
      </c>
      <c r="F660" s="6" t="s">
        <v>701</v>
      </c>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row>
    <row r="661" spans="1:108" ht="12.75" hidden="1" customHeight="1" outlineLevel="5">
      <c r="A661" s="104" t="s">
        <v>122</v>
      </c>
      <c r="B661" s="17">
        <v>0</v>
      </c>
      <c r="D661" s="103" t="str">
        <f>"&lt;" &amp; A661 &amp; "&gt;" &amp; TEXT(B661,0) &amp; "&lt;/" &amp; A661 &amp; "&gt;"</f>
        <v>&lt;Driver&gt;0&lt;/Driver&gt;</v>
      </c>
      <c r="E661" s="174" t="str">
        <f t="shared" si="26"/>
        <v>Yes</v>
      </c>
      <c r="F661" s="6" t="s">
        <v>745</v>
      </c>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row>
    <row r="662" spans="1:108" ht="12.75" hidden="1" customHeight="1" outlineLevel="5">
      <c r="A662" s="104" t="s">
        <v>123</v>
      </c>
      <c r="B662" s="32">
        <f ca="1">(B665^2)/B664</f>
        <v>4.1227570453222997</v>
      </c>
      <c r="D662" s="103" t="str">
        <f t="shared" ref="D662:D676" ca="1" si="28">"&lt;" &amp; A662 &amp; "&gt;" &amp; TEXT(B662,"0.000000") &amp; "&lt;/" &amp; A662 &amp; "&gt;"</f>
        <v>&lt;AR&gt;4.122757&lt;/AR&gt;</v>
      </c>
      <c r="E662" s="174" t="str">
        <f t="shared" ca="1" si="26"/>
        <v>Yes</v>
      </c>
      <c r="F662" s="6" t="s">
        <v>993</v>
      </c>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row>
    <row r="663" spans="1:108" ht="12.75" hidden="1" customHeight="1" outlineLevel="5">
      <c r="A663" s="104" t="s">
        <v>124</v>
      </c>
      <c r="B663" s="32">
        <f ca="1">B666/B667</f>
        <v>0.42087135125145059</v>
      </c>
      <c r="D663" s="103" t="str">
        <f t="shared" ca="1" si="28"/>
        <v>&lt;TR&gt;0.420871&lt;/TR&gt;</v>
      </c>
      <c r="E663" s="174" t="str">
        <f t="shared" ca="1" si="26"/>
        <v>Yes</v>
      </c>
      <c r="F663" s="6" t="s">
        <v>994</v>
      </c>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row>
    <row r="664" spans="1:108" ht="12.75" hidden="1" customHeight="1" outlineLevel="5">
      <c r="A664" s="104" t="s">
        <v>6</v>
      </c>
      <c r="B664" s="32">
        <f ca="1">0.5*(c_W.k+c_t.W)*(b_W/2 - b_W.i)</f>
        <v>32.300077908080965</v>
      </c>
      <c r="D664" s="103" t="str">
        <f t="shared" ca="1" si="28"/>
        <v>&lt;Area&gt;32.300078&lt;/Area&gt;</v>
      </c>
      <c r="E664" s="174" t="str">
        <f t="shared" ca="1" si="26"/>
        <v>Yes</v>
      </c>
      <c r="F664" s="6" t="s">
        <v>995</v>
      </c>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row>
    <row r="665" spans="1:108" ht="12.75" hidden="1" customHeight="1" outlineLevel="5">
      <c r="A665" s="104" t="s">
        <v>7</v>
      </c>
      <c r="B665" s="93">
        <f>IF(Type_W = "Double-trapezoidal", b_W/2 - b_W.i, b_W.i)</f>
        <v>11.53973022908248</v>
      </c>
      <c r="D665" s="103" t="str">
        <f t="shared" si="28"/>
        <v>&lt;Span&gt;11.539730&lt;/Span&gt;</v>
      </c>
      <c r="E665" s="174" t="str">
        <f t="shared" si="26"/>
        <v>Yes</v>
      </c>
      <c r="F665" s="6" t="s">
        <v>750</v>
      </c>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row>
    <row r="666" spans="1:108" ht="12.75" hidden="1" customHeight="1" outlineLevel="5">
      <c r="A666" s="104" t="s">
        <v>125</v>
      </c>
      <c r="B666" s="93">
        <f ca="1">c_t.W</f>
        <v>1.6581832195765107</v>
      </c>
      <c r="D666" s="103" t="str">
        <f t="shared" ca="1" si="28"/>
        <v>&lt;TC&gt;1.658183&lt;/TC&gt;</v>
      </c>
      <c r="E666" s="174" t="str">
        <f t="shared" ca="1" si="26"/>
        <v>Yes</v>
      </c>
      <c r="F666" s="6" t="s">
        <v>996</v>
      </c>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row>
    <row r="667" spans="1:108" ht="12.75" hidden="1" customHeight="1" outlineLevel="5">
      <c r="A667" s="104" t="s">
        <v>126</v>
      </c>
      <c r="B667" s="32">
        <f ca="1">c_W.k</f>
        <v>3.9398814261078683</v>
      </c>
      <c r="D667" s="103" t="str">
        <f t="shared" ca="1" si="28"/>
        <v>&lt;RC&gt;3.939881&lt;/RC&gt;</v>
      </c>
      <c r="E667" s="174" t="str">
        <f t="shared" ca="1" si="26"/>
        <v>Yes</v>
      </c>
      <c r="F667" s="6" t="s">
        <v>997</v>
      </c>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row>
    <row r="668" spans="1:108" ht="12.75" hidden="1" customHeight="1" outlineLevel="5">
      <c r="A668" s="104" t="s">
        <v>8</v>
      </c>
      <c r="B668" s="31">
        <f ca="1">phi_0.W.o</f>
        <v>27.281923804208166</v>
      </c>
      <c r="D668" s="103" t="str">
        <f t="shared" ca="1" si="28"/>
        <v>&lt;Sweep&gt;27.281924&lt;/Sweep&gt;</v>
      </c>
      <c r="E668" s="174" t="str">
        <f t="shared" ca="1" si="26"/>
        <v>Yes</v>
      </c>
      <c r="F668" s="6" t="s">
        <v>998</v>
      </c>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row>
    <row r="669" spans="1:108" ht="12.75" hidden="1" customHeight="1" outlineLevel="5">
      <c r="A669" s="104" t="s">
        <v>127</v>
      </c>
      <c r="B669" s="16">
        <v>0</v>
      </c>
      <c r="C669" s="20"/>
      <c r="D669" s="103" t="str">
        <f t="shared" si="28"/>
        <v>&lt;SweepLoc&gt;0.000000&lt;/SweepLoc&gt;</v>
      </c>
      <c r="E669" s="174" t="str">
        <f t="shared" si="26"/>
        <v>Yes</v>
      </c>
      <c r="F669" s="6" t="s">
        <v>751</v>
      </c>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row>
    <row r="670" spans="1:108" ht="12.75" hidden="1" customHeight="1" outlineLevel="5">
      <c r="A670" s="104" t="s">
        <v>9</v>
      </c>
      <c r="B670" s="13">
        <v>0</v>
      </c>
      <c r="C670" s="20"/>
      <c r="D670" s="103" t="str">
        <f t="shared" si="28"/>
        <v>&lt;Twist&gt;0.000000&lt;/Twist&gt;</v>
      </c>
      <c r="E670" s="174" t="str">
        <f t="shared" si="26"/>
        <v>Yes</v>
      </c>
      <c r="F670" s="6" t="s">
        <v>707</v>
      </c>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row>
    <row r="671" spans="1:108" ht="12.75" hidden="1" customHeight="1" outlineLevel="5">
      <c r="A671" s="104" t="s">
        <v>128</v>
      </c>
      <c r="B671" s="13">
        <v>0</v>
      </c>
      <c r="C671" s="20"/>
      <c r="D671" s="103" t="str">
        <f t="shared" si="28"/>
        <v>&lt;TwistLoc&gt;0.000000&lt;/TwistLoc&gt;</v>
      </c>
      <c r="E671" s="174" t="str">
        <f t="shared" si="26"/>
        <v>Yes</v>
      </c>
      <c r="F671" s="6" t="s">
        <v>708</v>
      </c>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row>
    <row r="672" spans="1:108" ht="12.75" hidden="1" customHeight="1" outlineLevel="5">
      <c r="A672" s="104" t="s">
        <v>10</v>
      </c>
      <c r="B672" s="93">
        <f>ggam_W.o</f>
        <v>5.0999999999999996</v>
      </c>
      <c r="C672" s="20"/>
      <c r="D672" s="103" t="str">
        <f t="shared" si="28"/>
        <v>&lt;Dihedral&gt;5.100000&lt;/Dihedral&gt;</v>
      </c>
      <c r="E672" s="174" t="str">
        <f t="shared" si="26"/>
        <v>Yes</v>
      </c>
      <c r="F672" s="6" t="s">
        <v>749</v>
      </c>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row>
    <row r="673" spans="1:108" ht="12.75" hidden="1" customHeight="1" outlineLevel="5">
      <c r="A673" s="104" t="s">
        <v>129</v>
      </c>
      <c r="B673" s="101">
        <v>0</v>
      </c>
      <c r="C673" s="20"/>
      <c r="D673" s="103" t="str">
        <f t="shared" si="28"/>
        <v>&lt;Dihed_Crv1&gt;0.000000&lt;/Dihed_Crv1&gt;</v>
      </c>
      <c r="E673" s="174" t="str">
        <f t="shared" si="26"/>
        <v>Yes</v>
      </c>
      <c r="F673" s="6" t="s">
        <v>710</v>
      </c>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row>
    <row r="674" spans="1:108" ht="12.75" hidden="1" customHeight="1" outlineLevel="5">
      <c r="A674" s="104" t="s">
        <v>130</v>
      </c>
      <c r="B674" s="101">
        <v>0</v>
      </c>
      <c r="C674" s="20"/>
      <c r="D674" s="103" t="str">
        <f t="shared" si="28"/>
        <v>&lt;Dihed_Crv2&gt;0.000000&lt;/Dihed_Crv2&gt;</v>
      </c>
      <c r="E674" s="174" t="str">
        <f t="shared" si="26"/>
        <v>Yes</v>
      </c>
      <c r="F674" s="6" t="s">
        <v>711</v>
      </c>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row>
    <row r="675" spans="1:108" ht="12.75" hidden="1" customHeight="1" outlineLevel="5">
      <c r="A675" s="104" t="s">
        <v>131</v>
      </c>
      <c r="B675" s="101">
        <v>0.75</v>
      </c>
      <c r="C675" s="20"/>
      <c r="D675" s="103" t="str">
        <f t="shared" si="28"/>
        <v>&lt;Dihed_Crv1_Str&gt;0.750000&lt;/Dihed_Crv1_Str&gt;</v>
      </c>
      <c r="E675" s="174" t="str">
        <f t="shared" si="26"/>
        <v>Yes</v>
      </c>
      <c r="F675" s="6" t="s">
        <v>712</v>
      </c>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row>
    <row r="676" spans="1:108" ht="12.75" hidden="1" customHeight="1" outlineLevel="5">
      <c r="A676" s="104" t="s">
        <v>132</v>
      </c>
      <c r="B676" s="101">
        <v>0.75</v>
      </c>
      <c r="C676" s="20"/>
      <c r="D676" s="103" t="str">
        <f t="shared" si="28"/>
        <v>&lt;Dihed_Crv2_Str&gt;0.750000&lt;/Dihed_Crv2_Str&gt;</v>
      </c>
      <c r="E676" s="174" t="str">
        <f t="shared" si="26"/>
        <v>Yes</v>
      </c>
      <c r="F676" s="6" t="s">
        <v>713</v>
      </c>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row>
    <row r="677" spans="1:108" ht="12.75" hidden="1" customHeight="1" outlineLevel="5">
      <c r="A677" s="104" t="s">
        <v>133</v>
      </c>
      <c r="B677" s="100" t="s">
        <v>12</v>
      </c>
      <c r="C677" s="20"/>
      <c r="D677" s="134" t="str">
        <f>"&lt;" &amp; A677 &amp; "&gt;" &amp;IF(B677="Yes",1,0) &amp;"&lt;/" &amp;A677&amp;"&gt;"</f>
        <v>&lt;DihedRotFlag&gt;0&lt;/DihedRotFlag&gt;</v>
      </c>
      <c r="E677" s="174" t="str">
        <f t="shared" si="26"/>
        <v>Yes</v>
      </c>
      <c r="F677" s="6" t="s">
        <v>714</v>
      </c>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row>
    <row r="678" spans="1:108" ht="12.75" hidden="1" customHeight="1" outlineLevel="5">
      <c r="A678" s="104" t="s">
        <v>134</v>
      </c>
      <c r="B678" s="100" t="s">
        <v>12</v>
      </c>
      <c r="C678" s="20"/>
      <c r="D678" s="134" t="str">
        <f>"&lt;" &amp; A678 &amp; "&gt;" &amp;IF(B678="Yes",1,0) &amp;"&lt;/" &amp;A678&amp;"&gt;"</f>
        <v>&lt;SmoothBlendFlag&gt;0&lt;/SmoothBlendFlag&gt;</v>
      </c>
      <c r="E678" s="174" t="str">
        <f t="shared" si="26"/>
        <v>Yes</v>
      </c>
      <c r="F678" s="6" t="s">
        <v>715</v>
      </c>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row>
    <row r="679" spans="1:108" ht="12.75" hidden="1" customHeight="1" outlineLevel="5">
      <c r="A679" s="104" t="s">
        <v>135</v>
      </c>
      <c r="B679" s="28">
        <v>1</v>
      </c>
      <c r="C679" s="20"/>
      <c r="D679" s="103" t="str">
        <f>"&lt;" &amp; A679 &amp; "&gt;" &amp; TEXT(B679,0) &amp; "&lt;/" &amp; A679 &amp; "&gt;"</f>
        <v>&lt;NumInterpXsecs&gt;1&lt;/NumInterpXsecs&gt;</v>
      </c>
      <c r="E679" s="174" t="str">
        <f t="shared" si="26"/>
        <v>Yes</v>
      </c>
      <c r="F679" s="6" t="s">
        <v>716</v>
      </c>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row>
    <row r="680" spans="1:108" ht="12.75" hidden="1" customHeight="1" outlineLevel="5">
      <c r="A680" s="104" t="s">
        <v>136</v>
      </c>
      <c r="B680" s="17"/>
      <c r="C680" s="20"/>
      <c r="D680" s="17" t="str">
        <f>"&lt;" &amp; A680 &amp; "&gt;"</f>
        <v>&lt;/Section&gt;</v>
      </c>
      <c r="E680" s="174" t="str">
        <f t="shared" si="26"/>
        <v>Yes</v>
      </c>
      <c r="F680" s="6" t="s">
        <v>717</v>
      </c>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row>
    <row r="681" spans="1:108" ht="12.75" hidden="1" customHeight="1" outlineLevel="4">
      <c r="A681" s="104" t="s">
        <v>137</v>
      </c>
      <c r="B681" s="17"/>
      <c r="C681" s="20"/>
      <c r="D681" s="17" t="str">
        <f>"&lt;" &amp; A681 &amp; "&gt;"</f>
        <v>&lt;/Section_List&gt;</v>
      </c>
      <c r="E681" s="174" t="str">
        <f t="shared" si="26"/>
        <v>Yes</v>
      </c>
      <c r="F681" s="6" t="s">
        <v>718</v>
      </c>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row>
    <row r="682" spans="1:108" ht="12.75" customHeight="1" outlineLevel="3">
      <c r="A682" s="135" t="s">
        <v>138</v>
      </c>
      <c r="B682" s="109"/>
      <c r="C682" s="20" t="str">
        <f>C511</f>
        <v>Yes</v>
      </c>
      <c r="D682" s="133" t="str">
        <f>IF(C682="Yes",("&lt;"&amp;A682&amp;"&gt;"),("&lt;"&amp;A682&amp;"--&gt;"))</f>
        <v>&lt;/Component&gt;</v>
      </c>
      <c r="E682" s="174" t="str">
        <f t="shared" si="26"/>
        <v>Yes</v>
      </c>
      <c r="F682" s="6" t="s">
        <v>27</v>
      </c>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row>
    <row r="683" spans="1:108" s="24" customFormat="1" ht="12.75" customHeight="1" outlineLevel="2">
      <c r="A683" s="104" t="s">
        <v>40</v>
      </c>
      <c r="B683" s="110" t="s">
        <v>142</v>
      </c>
      <c r="C683" s="27" t="s">
        <v>11</v>
      </c>
      <c r="D683" s="6" t="str">
        <f>IF(C683="Yes",("&lt;"&amp;A683&amp;"&gt;"),("&lt;!--"&amp;A683&amp;"&gt;"))</f>
        <v>&lt;Component&gt;</v>
      </c>
      <c r="E683" s="174" t="str">
        <f t="shared" si="26"/>
        <v>Yes</v>
      </c>
      <c r="F683" s="6" t="s">
        <v>283</v>
      </c>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row>
    <row r="684" spans="1:108" ht="12.75" customHeight="1" outlineLevel="3">
      <c r="A684" s="104" t="s">
        <v>14</v>
      </c>
      <c r="B684" s="17" t="s">
        <v>282</v>
      </c>
      <c r="C684" s="20"/>
      <c r="D684" s="18" t="str">
        <f>"&lt;" &amp; A684 &amp; "&gt;" &amp; TEXT(B684,0) &amp; "&lt;/" &amp; A684 &amp; "&gt;"</f>
        <v>&lt;Type&gt;Fuselage&lt;/Type&gt;</v>
      </c>
      <c r="E684" s="174" t="str">
        <f t="shared" si="26"/>
        <v>Yes</v>
      </c>
      <c r="F684" s="6" t="s">
        <v>752</v>
      </c>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row>
    <row r="685" spans="1:108" ht="12.75" customHeight="1" outlineLevel="3" collapsed="1">
      <c r="A685" s="104" t="s">
        <v>42</v>
      </c>
      <c r="C685" s="20"/>
      <c r="D685" s="6" t="str">
        <f>"&lt;" &amp; A685 &amp; "&gt;"</f>
        <v>&lt;General_Parms&gt;</v>
      </c>
      <c r="E685" s="174" t="str">
        <f t="shared" si="26"/>
        <v>Yes</v>
      </c>
      <c r="F685" s="6" t="s">
        <v>622</v>
      </c>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row>
    <row r="686" spans="1:108" ht="12.75" hidden="1" customHeight="1" outlineLevel="4">
      <c r="A686" s="104" t="s">
        <v>1</v>
      </c>
      <c r="B686" s="17" t="s">
        <v>282</v>
      </c>
      <c r="C686" s="20"/>
      <c r="D686" s="18" t="str">
        <f>"&lt;" &amp; A686 &amp; "&gt;" &amp; TEXT(B686,0) &amp; "&lt;/" &amp; A686 &amp; "&gt;"</f>
        <v>&lt;Name&gt;Fuselage&lt;/Name&gt;</v>
      </c>
      <c r="E686" s="174" t="str">
        <f t="shared" si="26"/>
        <v>Yes</v>
      </c>
      <c r="F686" s="6" t="s">
        <v>753</v>
      </c>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row>
    <row r="687" spans="1:108" ht="12.75" hidden="1" customHeight="1" outlineLevel="4">
      <c r="A687" s="104" t="s">
        <v>43</v>
      </c>
      <c r="B687" s="6">
        <v>127</v>
      </c>
      <c r="C687" s="20"/>
      <c r="D687" s="18" t="str">
        <f>"&lt;" &amp; A687 &amp; "&gt;" &amp; TEXT(B687,"0.000000") &amp; "&lt;/" &amp; A687 &amp; "&gt;"</f>
        <v>&lt;ColorR&gt;127.000000&lt;/ColorR&gt;</v>
      </c>
      <c r="E687" s="174" t="str">
        <f t="shared" si="26"/>
        <v>Yes</v>
      </c>
      <c r="F687" s="6" t="s">
        <v>754</v>
      </c>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row>
    <row r="688" spans="1:108" ht="12.75" hidden="1" customHeight="1" outlineLevel="4">
      <c r="A688" s="104" t="s">
        <v>44</v>
      </c>
      <c r="B688" s="6">
        <v>127</v>
      </c>
      <c r="C688" s="20"/>
      <c r="D688" s="18" t="str">
        <f>"&lt;" &amp; A688 &amp; "&gt;" &amp; TEXT(B688,"0.000000") &amp; "&lt;/" &amp; A688 &amp; "&gt;"</f>
        <v>&lt;ColorG&gt;127.000000&lt;/ColorG&gt;</v>
      </c>
      <c r="E688" s="174" t="str">
        <f t="shared" si="26"/>
        <v>Yes</v>
      </c>
      <c r="F688" s="6" t="s">
        <v>755</v>
      </c>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row>
    <row r="689" spans="1:108" ht="12.75" hidden="1" customHeight="1" outlineLevel="4">
      <c r="A689" s="104" t="s">
        <v>45</v>
      </c>
      <c r="B689" s="6">
        <v>127</v>
      </c>
      <c r="C689" s="20"/>
      <c r="D689" s="18" t="str">
        <f>"&lt;" &amp; A689 &amp; "&gt;" &amp; TEXT(B689,"0.000000") &amp; "&lt;/" &amp; A689 &amp; "&gt;"</f>
        <v>&lt;ColorB&gt;127.000000&lt;/ColorB&gt;</v>
      </c>
      <c r="E689" s="174" t="str">
        <f t="shared" si="26"/>
        <v>Yes</v>
      </c>
      <c r="F689" s="6" t="s">
        <v>756</v>
      </c>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row>
    <row r="690" spans="1:108" ht="12.75" hidden="1" customHeight="1" outlineLevel="4">
      <c r="A690" s="104" t="s">
        <v>46</v>
      </c>
      <c r="B690" s="108">
        <v>0</v>
      </c>
      <c r="C690" s="20"/>
      <c r="D690" s="18" t="str">
        <f t="shared" ref="D690:D699" si="29">"&lt;" &amp; A690 &amp; "&gt;" &amp; TEXT(B690,0) &amp; "&lt;/" &amp; A690 &amp; "&gt;"</f>
        <v>&lt;Symmetry&gt;0&lt;/Symmetry&gt;</v>
      </c>
      <c r="E690" s="174" t="str">
        <f t="shared" si="26"/>
        <v>Yes</v>
      </c>
      <c r="F690" s="6" t="s">
        <v>720</v>
      </c>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row>
    <row r="691" spans="1:108" ht="12.75" hidden="1" customHeight="1" outlineLevel="4">
      <c r="A691" s="104" t="s">
        <v>47</v>
      </c>
      <c r="B691" s="108">
        <v>0</v>
      </c>
      <c r="C691" s="20"/>
      <c r="D691" s="18" t="str">
        <f t="shared" si="29"/>
        <v>&lt;RelXFormFlag&gt;0&lt;/RelXFormFlag&gt;</v>
      </c>
      <c r="E691" s="174" t="str">
        <f t="shared" si="26"/>
        <v>Yes</v>
      </c>
      <c r="F691" s="6" t="s">
        <v>628</v>
      </c>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row>
    <row r="692" spans="1:108" ht="12.75" hidden="1" customHeight="1" outlineLevel="4">
      <c r="A692" s="104" t="s">
        <v>48</v>
      </c>
      <c r="B692" s="108">
        <v>3</v>
      </c>
      <c r="C692" s="20"/>
      <c r="D692" s="18" t="str">
        <f t="shared" si="29"/>
        <v>&lt;MaterialID&gt;3&lt;/MaterialID&gt;</v>
      </c>
      <c r="E692" s="174" t="str">
        <f t="shared" si="26"/>
        <v>Yes</v>
      </c>
      <c r="F692" s="6" t="s">
        <v>757</v>
      </c>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row>
    <row r="693" spans="1:108" ht="12.75" hidden="1" customHeight="1" outlineLevel="4">
      <c r="A693" s="104" t="s">
        <v>49</v>
      </c>
      <c r="B693" s="108">
        <v>1</v>
      </c>
      <c r="C693" s="20"/>
      <c r="D693" s="18" t="str">
        <f t="shared" si="29"/>
        <v>&lt;OutputFlag&gt;1&lt;/OutputFlag&gt;</v>
      </c>
      <c r="E693" s="174" t="str">
        <f t="shared" si="26"/>
        <v>Yes</v>
      </c>
      <c r="F693" s="6" t="s">
        <v>630</v>
      </c>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row>
    <row r="694" spans="1:108" ht="12.75" hidden="1" customHeight="1" outlineLevel="4">
      <c r="A694" s="104" t="s">
        <v>50</v>
      </c>
      <c r="B694" s="108">
        <v>0</v>
      </c>
      <c r="C694" s="20"/>
      <c r="D694" s="18" t="str">
        <f t="shared" si="29"/>
        <v>&lt;OutputNameID&gt;0&lt;/OutputNameID&gt;</v>
      </c>
      <c r="E694" s="174" t="str">
        <f t="shared" si="26"/>
        <v>Yes</v>
      </c>
      <c r="F694" s="6" t="s">
        <v>631</v>
      </c>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row>
    <row r="695" spans="1:108" ht="12.75" hidden="1" customHeight="1" outlineLevel="4">
      <c r="A695" s="104" t="s">
        <v>51</v>
      </c>
      <c r="B695" s="108">
        <v>1</v>
      </c>
      <c r="C695" s="20"/>
      <c r="D695" s="18" t="str">
        <f t="shared" si="29"/>
        <v>&lt;DisplayChildrenFlag&gt;1&lt;/DisplayChildrenFlag&gt;</v>
      </c>
      <c r="E695" s="174" t="str">
        <f t="shared" si="26"/>
        <v>Yes</v>
      </c>
      <c r="F695" s="6" t="s">
        <v>632</v>
      </c>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row>
    <row r="696" spans="1:108" ht="12.75" hidden="1" customHeight="1" outlineLevel="4">
      <c r="A696" s="104" t="s">
        <v>52</v>
      </c>
      <c r="B696" s="108">
        <v>44</v>
      </c>
      <c r="C696" s="20"/>
      <c r="D696" s="18" t="str">
        <f t="shared" si="29"/>
        <v>&lt;NumPnts&gt;44&lt;/NumPnts&gt;</v>
      </c>
      <c r="E696" s="174" t="str">
        <f t="shared" si="26"/>
        <v>Yes</v>
      </c>
      <c r="F696" s="6" t="s">
        <v>758</v>
      </c>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row>
    <row r="697" spans="1:108" ht="12.75" hidden="1" customHeight="1" outlineLevel="4">
      <c r="A697" s="104" t="s">
        <v>53</v>
      </c>
      <c r="B697" s="108">
        <v>11</v>
      </c>
      <c r="C697" s="20"/>
      <c r="D697" s="18" t="str">
        <f t="shared" si="29"/>
        <v>&lt;NumXsecs&gt;11&lt;/NumXsecs&gt;</v>
      </c>
      <c r="E697" s="174" t="str">
        <f t="shared" ref="E697:E760" si="30">IF(D697=F697,"Yes","No")</f>
        <v>Yes</v>
      </c>
      <c r="F697" s="6" t="s">
        <v>732</v>
      </c>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row>
    <row r="698" spans="1:108" ht="12.75" hidden="1" customHeight="1" outlineLevel="4">
      <c r="A698" s="104" t="s">
        <v>54</v>
      </c>
      <c r="B698" s="108">
        <v>0</v>
      </c>
      <c r="C698" s="20"/>
      <c r="D698" s="18" t="str">
        <f t="shared" si="29"/>
        <v>&lt;MassPrior&gt;0&lt;/MassPrior&gt;</v>
      </c>
      <c r="E698" s="174" t="str">
        <f t="shared" si="30"/>
        <v>Yes</v>
      </c>
      <c r="F698" s="6" t="s">
        <v>635</v>
      </c>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row>
    <row r="699" spans="1:108" ht="12.75" hidden="1" customHeight="1" outlineLevel="4">
      <c r="A699" s="104" t="s">
        <v>55</v>
      </c>
      <c r="B699" s="108">
        <v>0</v>
      </c>
      <c r="C699" s="20"/>
      <c r="D699" s="18" t="str">
        <f t="shared" si="29"/>
        <v>&lt;ShellFlag&gt;0&lt;/ShellFlag&gt;</v>
      </c>
      <c r="E699" s="174" t="str">
        <f t="shared" si="30"/>
        <v>Yes</v>
      </c>
      <c r="F699" s="6" t="s">
        <v>636</v>
      </c>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row>
    <row r="700" spans="1:108" ht="12.75" hidden="1" customHeight="1" outlineLevel="4">
      <c r="A700" s="104" t="s">
        <v>56</v>
      </c>
      <c r="B700" s="92">
        <f>pos_F.x</f>
        <v>0</v>
      </c>
      <c r="C700" s="20"/>
      <c r="D700" s="18" t="str">
        <f t="shared" ref="D700:D714" si="31">"&lt;" &amp; A700 &amp; "&gt;" &amp; TEXT(B700,"0.000000") &amp; "&lt;/" &amp; A700 &amp; "&gt;"</f>
        <v>&lt;Tran_X&gt;0.000000&lt;/Tran_X&gt;</v>
      </c>
      <c r="E700" s="174" t="str">
        <f t="shared" si="30"/>
        <v>Yes</v>
      </c>
      <c r="F700" s="6" t="s">
        <v>759</v>
      </c>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row>
    <row r="701" spans="1:108" ht="12.75" hidden="1" customHeight="1" outlineLevel="4">
      <c r="A701" s="104" t="s">
        <v>57</v>
      </c>
      <c r="B701" s="92">
        <f>pos_F.y</f>
        <v>0</v>
      </c>
      <c r="C701" s="20"/>
      <c r="D701" s="18" t="str">
        <f t="shared" si="31"/>
        <v>&lt;Tran_Y&gt;0.000000&lt;/Tran_Y&gt;</v>
      </c>
      <c r="E701" s="174" t="str">
        <f t="shared" si="30"/>
        <v>Yes</v>
      </c>
      <c r="F701" s="6" t="s">
        <v>638</v>
      </c>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row>
    <row r="702" spans="1:108" ht="12.75" hidden="1" customHeight="1" outlineLevel="4">
      <c r="A702" s="104" t="s">
        <v>58</v>
      </c>
      <c r="B702" s="92">
        <f>pos_F.z</f>
        <v>0</v>
      </c>
      <c r="C702" s="20"/>
      <c r="D702" s="18" t="str">
        <f t="shared" si="31"/>
        <v>&lt;Tran_Z&gt;0.000000&lt;/Tran_Z&gt;</v>
      </c>
      <c r="E702" s="174" t="str">
        <f t="shared" si="30"/>
        <v>Yes</v>
      </c>
      <c r="F702" s="6" t="s">
        <v>760</v>
      </c>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row>
    <row r="703" spans="1:108" ht="12.75" hidden="1" customHeight="1" outlineLevel="4">
      <c r="A703" s="104" t="s">
        <v>59</v>
      </c>
      <c r="B703" s="6">
        <v>0</v>
      </c>
      <c r="C703" s="20"/>
      <c r="D703" s="18" t="str">
        <f t="shared" si="31"/>
        <v>&lt;TranRel_X&gt;0.000000&lt;/TranRel_X&gt;</v>
      </c>
      <c r="E703" s="174" t="str">
        <f t="shared" si="30"/>
        <v>Yes</v>
      </c>
      <c r="F703" s="6" t="s">
        <v>639</v>
      </c>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row>
    <row r="704" spans="1:108" ht="12.75" hidden="1" customHeight="1" outlineLevel="4">
      <c r="A704" s="104" t="s">
        <v>60</v>
      </c>
      <c r="B704" s="6">
        <v>0</v>
      </c>
      <c r="C704" s="20"/>
      <c r="D704" s="18" t="str">
        <f t="shared" si="31"/>
        <v>&lt;TranRel_Y&gt;0.000000&lt;/TranRel_Y&gt;</v>
      </c>
      <c r="E704" s="174" t="str">
        <f t="shared" si="30"/>
        <v>Yes</v>
      </c>
      <c r="F704" s="6" t="s">
        <v>640</v>
      </c>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row>
    <row r="705" spans="1:108" ht="12.75" hidden="1" customHeight="1" outlineLevel="4">
      <c r="A705" s="104" t="s">
        <v>61</v>
      </c>
      <c r="B705" s="6">
        <v>0</v>
      </c>
      <c r="C705" s="20"/>
      <c r="D705" s="18" t="str">
        <f t="shared" si="31"/>
        <v>&lt;TranRel_Z&gt;0.000000&lt;/TranRel_Z&gt;</v>
      </c>
      <c r="E705" s="174" t="str">
        <f t="shared" si="30"/>
        <v>Yes</v>
      </c>
      <c r="F705" s="6" t="s">
        <v>641</v>
      </c>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row>
    <row r="706" spans="1:108" ht="12.75" hidden="1" customHeight="1" outlineLevel="4">
      <c r="A706" s="104" t="s">
        <v>62</v>
      </c>
      <c r="B706" s="6">
        <v>0</v>
      </c>
      <c r="C706" s="20"/>
      <c r="D706" s="18" t="str">
        <f t="shared" si="31"/>
        <v>&lt;Rot_X&gt;0.000000&lt;/Rot_X&gt;</v>
      </c>
      <c r="E706" s="174" t="str">
        <f t="shared" si="30"/>
        <v>Yes</v>
      </c>
      <c r="F706" s="6" t="s">
        <v>642</v>
      </c>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row>
    <row r="707" spans="1:108" ht="12.75" hidden="1" customHeight="1" outlineLevel="4">
      <c r="A707" s="104" t="s">
        <v>63</v>
      </c>
      <c r="B707" s="6">
        <v>0</v>
      </c>
      <c r="C707" s="20"/>
      <c r="D707" s="18" t="str">
        <f t="shared" si="31"/>
        <v>&lt;Rot_Y&gt;0.000000&lt;/Rot_Y&gt;</v>
      </c>
      <c r="E707" s="174" t="str">
        <f t="shared" si="30"/>
        <v>Yes</v>
      </c>
      <c r="F707" s="6" t="s">
        <v>643</v>
      </c>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row>
    <row r="708" spans="1:108" ht="12.75" hidden="1" customHeight="1" outlineLevel="4">
      <c r="A708" s="104" t="s">
        <v>64</v>
      </c>
      <c r="B708" s="6">
        <v>0</v>
      </c>
      <c r="C708" s="20"/>
      <c r="D708" s="18" t="str">
        <f t="shared" si="31"/>
        <v>&lt;Rot_Z&gt;0.000000&lt;/Rot_Z&gt;</v>
      </c>
      <c r="E708" s="174" t="str">
        <f t="shared" si="30"/>
        <v>Yes</v>
      </c>
      <c r="F708" s="6" t="s">
        <v>644</v>
      </c>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row>
    <row r="709" spans="1:108" ht="12.75" hidden="1" customHeight="1" outlineLevel="4">
      <c r="A709" s="104" t="s">
        <v>65</v>
      </c>
      <c r="B709" s="6">
        <v>0</v>
      </c>
      <c r="C709" s="20"/>
      <c r="D709" s="18" t="str">
        <f t="shared" si="31"/>
        <v>&lt;RotRel_X&gt;0.000000&lt;/RotRel_X&gt;</v>
      </c>
      <c r="E709" s="174" t="str">
        <f t="shared" si="30"/>
        <v>Yes</v>
      </c>
      <c r="F709" s="6" t="s">
        <v>645</v>
      </c>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row>
    <row r="710" spans="1:108" ht="12.75" hidden="1" customHeight="1" outlineLevel="4">
      <c r="A710" s="104" t="s">
        <v>66</v>
      </c>
      <c r="B710" s="6">
        <v>0</v>
      </c>
      <c r="C710" s="20"/>
      <c r="D710" s="18" t="str">
        <f t="shared" si="31"/>
        <v>&lt;RotRel_Y&gt;0.000000&lt;/RotRel_Y&gt;</v>
      </c>
      <c r="E710" s="174" t="str">
        <f t="shared" si="30"/>
        <v>Yes</v>
      </c>
      <c r="F710" s="6" t="s">
        <v>646</v>
      </c>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row>
    <row r="711" spans="1:108" ht="12.75" hidden="1" customHeight="1" outlineLevel="4">
      <c r="A711" s="104" t="s">
        <v>67</v>
      </c>
      <c r="B711" s="6">
        <v>0</v>
      </c>
      <c r="C711" s="20"/>
      <c r="D711" s="18" t="str">
        <f t="shared" si="31"/>
        <v>&lt;RotRel_Z&gt;0.000000&lt;/RotRel_Z&gt;</v>
      </c>
      <c r="E711" s="174" t="str">
        <f t="shared" si="30"/>
        <v>Yes</v>
      </c>
      <c r="F711" s="6" t="s">
        <v>647</v>
      </c>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row>
    <row r="712" spans="1:108" ht="12.75" hidden="1" customHeight="1" outlineLevel="4">
      <c r="A712" s="104" t="s">
        <v>68</v>
      </c>
      <c r="B712" s="108">
        <v>0</v>
      </c>
      <c r="C712" s="20"/>
      <c r="D712" s="18" t="str">
        <f t="shared" si="31"/>
        <v>&lt;Origin&gt;0.000000&lt;/Origin&gt;</v>
      </c>
      <c r="E712" s="174" t="str">
        <f t="shared" si="30"/>
        <v>Yes</v>
      </c>
      <c r="F712" s="6" t="s">
        <v>648</v>
      </c>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row>
    <row r="713" spans="1:108" ht="12.75" hidden="1" customHeight="1" outlineLevel="4">
      <c r="A713" s="104" t="s">
        <v>69</v>
      </c>
      <c r="B713" s="108">
        <v>1</v>
      </c>
      <c r="C713" s="20"/>
      <c r="D713" s="18" t="str">
        <f t="shared" si="31"/>
        <v>&lt;Density&gt;1.000000&lt;/Density&gt;</v>
      </c>
      <c r="E713" s="174" t="str">
        <f t="shared" si="30"/>
        <v>Yes</v>
      </c>
      <c r="F713" s="6" t="s">
        <v>649</v>
      </c>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row>
    <row r="714" spans="1:108" ht="12.75" hidden="1" customHeight="1" outlineLevel="4">
      <c r="A714" s="104" t="s">
        <v>70</v>
      </c>
      <c r="B714" s="108">
        <v>1</v>
      </c>
      <c r="C714" s="20"/>
      <c r="D714" s="18" t="str">
        <f t="shared" si="31"/>
        <v>&lt;ShellMassArea&gt;1.000000&lt;/ShellMassArea&gt;</v>
      </c>
      <c r="E714" s="174" t="str">
        <f t="shared" si="30"/>
        <v>Yes</v>
      </c>
      <c r="F714" s="6" t="s">
        <v>650</v>
      </c>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row>
    <row r="715" spans="1:108" ht="12.75" hidden="1" customHeight="1" outlineLevel="4">
      <c r="A715" s="104" t="s">
        <v>71</v>
      </c>
      <c r="B715" s="108">
        <v>0</v>
      </c>
      <c r="C715" s="20"/>
      <c r="D715" s="18" t="str">
        <f>"&lt;" &amp; A715 &amp; "&gt;" &amp; TEXT(B715,0) &amp; "&lt;/" &amp; A715 &amp; "&gt;"</f>
        <v>&lt;RefFlag&gt;0&lt;/RefFlag&gt;</v>
      </c>
      <c r="E715" s="174" t="str">
        <f t="shared" si="30"/>
        <v>Yes</v>
      </c>
      <c r="F715" s="6" t="s">
        <v>651</v>
      </c>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row>
    <row r="716" spans="1:108" ht="12.75" hidden="1" customHeight="1" outlineLevel="4">
      <c r="A716" s="104" t="s">
        <v>72</v>
      </c>
      <c r="B716" s="108">
        <v>100</v>
      </c>
      <c r="C716" s="20"/>
      <c r="D716" s="18" t="str">
        <f>"&lt;" &amp; A716 &amp; "&gt;" &amp; TEXT(B716,"0.000000") &amp; "&lt;/" &amp; A716 &amp; "&gt;"</f>
        <v>&lt;RefArea&gt;100.000000&lt;/RefArea&gt;</v>
      </c>
      <c r="E716" s="174" t="str">
        <f t="shared" si="30"/>
        <v>Yes</v>
      </c>
      <c r="F716" s="6" t="s">
        <v>724</v>
      </c>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row>
    <row r="717" spans="1:108" ht="12.75" hidden="1" customHeight="1" outlineLevel="4">
      <c r="A717" s="104" t="s">
        <v>73</v>
      </c>
      <c r="B717" s="108">
        <v>10</v>
      </c>
      <c r="C717" s="20"/>
      <c r="D717" s="18" t="str">
        <f>"&lt;" &amp; A717 &amp; "&gt;" &amp; TEXT(B717,"0.000000") &amp; "&lt;/" &amp; A717 &amp; "&gt;"</f>
        <v>&lt;RefSpan&gt;10.000000&lt;/RefSpan&gt;</v>
      </c>
      <c r="E717" s="174" t="str">
        <f t="shared" si="30"/>
        <v>Yes</v>
      </c>
      <c r="F717" s="6" t="s">
        <v>653</v>
      </c>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row>
    <row r="718" spans="1:108" ht="12.75" hidden="1" customHeight="1" outlineLevel="4">
      <c r="A718" s="104" t="s">
        <v>74</v>
      </c>
      <c r="B718" s="108">
        <v>1</v>
      </c>
      <c r="C718" s="20"/>
      <c r="D718" s="18" t="str">
        <f>"&lt;" &amp; A718 &amp; "&gt;" &amp; TEXT(B718,"0.000000") &amp; "&lt;/" &amp; A718 &amp; "&gt;"</f>
        <v>&lt;RefCbar&gt;1.000000&lt;/RefCbar&gt;</v>
      </c>
      <c r="E718" s="174" t="str">
        <f t="shared" si="30"/>
        <v>Yes</v>
      </c>
      <c r="F718" s="6" t="s">
        <v>654</v>
      </c>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row>
    <row r="719" spans="1:108" ht="12.75" hidden="1" customHeight="1" outlineLevel="4">
      <c r="A719" s="104" t="s">
        <v>75</v>
      </c>
      <c r="B719" s="108">
        <v>1</v>
      </c>
      <c r="C719" s="20"/>
      <c r="D719" s="18" t="str">
        <f>"&lt;" &amp; A719 &amp; "&gt;" &amp; TEXT(B719,0) &amp; "&lt;/" &amp; A719 &amp; "&gt;"</f>
        <v>&lt;AutoRefAreaFlag&gt;1&lt;/AutoRefAreaFlag&gt;</v>
      </c>
      <c r="E719" s="174" t="str">
        <f t="shared" si="30"/>
        <v>Yes</v>
      </c>
      <c r="F719" s="6" t="s">
        <v>655</v>
      </c>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row>
    <row r="720" spans="1:108" ht="12.75" hidden="1" customHeight="1" outlineLevel="4">
      <c r="A720" s="104" t="s">
        <v>76</v>
      </c>
      <c r="B720" s="108">
        <v>1</v>
      </c>
      <c r="C720" s="20"/>
      <c r="D720" s="18" t="str">
        <f>"&lt;" &amp; A720 &amp; "&gt;" &amp; TEXT(B720,0) &amp; "&lt;/" &amp; A720 &amp; "&gt;"</f>
        <v>&lt;AutoRefSpanFlag&gt;1&lt;/AutoRefSpanFlag&gt;</v>
      </c>
      <c r="E720" s="174" t="str">
        <f t="shared" si="30"/>
        <v>Yes</v>
      </c>
      <c r="F720" s="6" t="s">
        <v>656</v>
      </c>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row>
    <row r="721" spans="1:108" ht="12.75" hidden="1" customHeight="1" outlineLevel="4">
      <c r="A721" s="104" t="s">
        <v>77</v>
      </c>
      <c r="B721" s="108">
        <v>1</v>
      </c>
      <c r="C721" s="20"/>
      <c r="D721" s="18" t="str">
        <f>"&lt;" &amp; A721 &amp; "&gt;" &amp; TEXT(B721,0) &amp; "&lt;/" &amp; A721 &amp; "&gt;"</f>
        <v>&lt;AutoRefCbarFlag&gt;1&lt;/AutoRefCbarFlag&gt;</v>
      </c>
      <c r="E721" s="174" t="str">
        <f t="shared" si="30"/>
        <v>Yes</v>
      </c>
      <c r="F721" s="6" t="s">
        <v>657</v>
      </c>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row>
    <row r="722" spans="1:108" ht="12.75" hidden="1" customHeight="1" outlineLevel="4">
      <c r="A722" s="104" t="s">
        <v>78</v>
      </c>
      <c r="B722" s="108">
        <v>0</v>
      </c>
      <c r="C722" s="20"/>
      <c r="D722" s="18" t="str">
        <f>"&lt;" &amp; A722 &amp; "&gt;" &amp; TEXT(B722,"0.000000") &amp; "&lt;/" &amp; A722 &amp; "&gt;"</f>
        <v>&lt;AeroCenter_X&gt;0.000000&lt;/AeroCenter_X&gt;</v>
      </c>
      <c r="E722" s="174" t="str">
        <f t="shared" si="30"/>
        <v>Yes</v>
      </c>
      <c r="F722" s="6" t="s">
        <v>658</v>
      </c>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row>
    <row r="723" spans="1:108" ht="12.75" hidden="1" customHeight="1" outlineLevel="4">
      <c r="A723" s="104" t="s">
        <v>79</v>
      </c>
      <c r="B723" s="108">
        <v>0</v>
      </c>
      <c r="C723" s="20"/>
      <c r="D723" s="18" t="str">
        <f>"&lt;" &amp; A723 &amp; "&gt;" &amp; TEXT(B723,"0.000000") &amp; "&lt;/" &amp; A723 &amp; "&gt;"</f>
        <v>&lt;AeroCenter_Y&gt;0.000000&lt;/AeroCenter_Y&gt;</v>
      </c>
      <c r="E723" s="174" t="str">
        <f t="shared" si="30"/>
        <v>Yes</v>
      </c>
      <c r="F723" s="6" t="s">
        <v>659</v>
      </c>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row>
    <row r="724" spans="1:108" ht="12.75" hidden="1" customHeight="1" outlineLevel="4">
      <c r="A724" s="104" t="s">
        <v>80</v>
      </c>
      <c r="B724" s="108">
        <v>0</v>
      </c>
      <c r="C724" s="20"/>
      <c r="D724" s="18" t="str">
        <f>"&lt;" &amp; A724 &amp; "&gt;" &amp; TEXT(B724,"0.000000") &amp; "&lt;/" &amp; A724 &amp; "&gt;"</f>
        <v>&lt;AeroCenter_Z&gt;0.000000&lt;/AeroCenter_Z&gt;</v>
      </c>
      <c r="E724" s="174" t="str">
        <f t="shared" si="30"/>
        <v>Yes</v>
      </c>
      <c r="F724" s="6" t="s">
        <v>660</v>
      </c>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row>
    <row r="725" spans="1:108" ht="12.75" hidden="1" customHeight="1" outlineLevel="4">
      <c r="A725" s="104" t="s">
        <v>81</v>
      </c>
      <c r="B725" s="108">
        <v>1</v>
      </c>
      <c r="C725" s="20"/>
      <c r="D725" s="18" t="str">
        <f>"&lt;" &amp; A725 &amp; "&gt;" &amp; TEXT(B725,0) &amp; "&lt;/" &amp; A725 &amp; "&gt;"</f>
        <v>&lt;AutoAeroCenterFlag&gt;1&lt;/AutoAeroCenterFlag&gt;</v>
      </c>
      <c r="E725" s="174" t="str">
        <f t="shared" si="30"/>
        <v>Yes</v>
      </c>
      <c r="F725" s="6" t="s">
        <v>661</v>
      </c>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row>
    <row r="726" spans="1:108" ht="12.75" hidden="1" customHeight="1" outlineLevel="4">
      <c r="A726" s="104" t="s">
        <v>82</v>
      </c>
      <c r="B726" s="108">
        <v>0</v>
      </c>
      <c r="C726" s="20"/>
      <c r="D726" s="18" t="str">
        <f>"&lt;" &amp; A726 &amp; "&gt;" &amp; TEXT(B726,0) &amp; "&lt;/" &amp; A726 &amp; "&gt;"</f>
        <v>&lt;WakeActiveFlag&gt;0&lt;/WakeActiveFlag&gt;</v>
      </c>
      <c r="E726" s="174" t="str">
        <f t="shared" si="30"/>
        <v>Yes</v>
      </c>
      <c r="F726" s="6" t="s">
        <v>662</v>
      </c>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row>
    <row r="727" spans="1:108" ht="12.75" hidden="1" customHeight="1" outlineLevel="4">
      <c r="A727" s="104" t="s">
        <v>83</v>
      </c>
      <c r="B727" s="108">
        <v>0</v>
      </c>
      <c r="C727" s="20"/>
      <c r="D727" s="18" t="str">
        <f>"&lt;" &amp; A727 &amp; "&gt;" &amp; TEXT(B727,0) &amp; "&lt;/" &amp; A727 &amp; "&gt;"</f>
        <v>&lt;PosAttachFlag&gt;0&lt;/PosAttachFlag&gt;</v>
      </c>
      <c r="E727" s="174" t="str">
        <f t="shared" si="30"/>
        <v>Yes</v>
      </c>
      <c r="F727" s="6" t="s">
        <v>663</v>
      </c>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row>
    <row r="728" spans="1:108" ht="12.75" hidden="1" customHeight="1" outlineLevel="4">
      <c r="A728" s="104" t="s">
        <v>84</v>
      </c>
      <c r="B728" s="108">
        <v>0</v>
      </c>
      <c r="C728" s="20"/>
      <c r="D728" s="18" t="str">
        <f>"&lt;" &amp; A728 &amp; "&gt;" &amp; TEXT(B728,"0.000000") &amp; "&lt;/" &amp; A728 &amp; "&gt;"</f>
        <v>&lt;U_Attach&gt;0.000000&lt;/U_Attach&gt;</v>
      </c>
      <c r="E728" s="174" t="str">
        <f t="shared" si="30"/>
        <v>Yes</v>
      </c>
      <c r="F728" s="6" t="s">
        <v>664</v>
      </c>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row>
    <row r="729" spans="1:108" ht="12.75" hidden="1" customHeight="1" outlineLevel="4">
      <c r="A729" s="104" t="s">
        <v>85</v>
      </c>
      <c r="B729" s="108">
        <v>0</v>
      </c>
      <c r="C729" s="20"/>
      <c r="D729" s="18" t="str">
        <f>"&lt;" &amp; A729 &amp; "&gt;" &amp; TEXT(B729,"0.000000") &amp; "&lt;/" &amp; A729 &amp; "&gt;"</f>
        <v>&lt;V_Attach&gt;0.000000&lt;/V_Attach&gt;</v>
      </c>
      <c r="E729" s="174" t="str">
        <f t="shared" si="30"/>
        <v>Yes</v>
      </c>
      <c r="F729" s="6" t="s">
        <v>665</v>
      </c>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row>
    <row r="730" spans="1:108" ht="12.75" hidden="1" customHeight="1" outlineLevel="4">
      <c r="A730" s="104" t="s">
        <v>86</v>
      </c>
      <c r="B730" s="108">
        <v>138042360</v>
      </c>
      <c r="C730" s="20"/>
      <c r="D730" s="18" t="str">
        <f>"&lt;" &amp; A730 &amp; "&gt;" &amp; TEXT(B730,0) &amp; "&lt;/" &amp; A730 &amp; "&gt;"</f>
        <v>&lt;PtrID&gt;138042360&lt;/PtrID&gt;</v>
      </c>
      <c r="E730" s="174" t="str">
        <f t="shared" si="30"/>
        <v>Yes</v>
      </c>
      <c r="F730" s="6" t="s">
        <v>761</v>
      </c>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row>
    <row r="731" spans="1:108" ht="12.75" hidden="1" customHeight="1" outlineLevel="4">
      <c r="A731" s="104" t="s">
        <v>87</v>
      </c>
      <c r="B731" s="108">
        <v>0</v>
      </c>
      <c r="C731" s="20"/>
      <c r="D731" s="18" t="str">
        <f>"&lt;" &amp; A731 &amp; "&gt;" &amp; TEXT(B731,0) &amp; "&lt;/" &amp; A731 &amp; "&gt;"</f>
        <v>&lt;Parent_PtrID&gt;0&lt;/Parent_PtrID&gt;</v>
      </c>
      <c r="E731" s="174" t="str">
        <f t="shared" si="30"/>
        <v>Yes</v>
      </c>
      <c r="F731" s="6" t="s">
        <v>666</v>
      </c>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row>
    <row r="732" spans="1:108" ht="12.75" hidden="1" customHeight="1" outlineLevel="4">
      <c r="A732" s="104" t="s">
        <v>88</v>
      </c>
      <c r="B732" s="17"/>
      <c r="C732" s="20"/>
      <c r="D732" s="6" t="str">
        <f>"&lt;" &amp; A732 &amp; "&gt;"</f>
        <v>&lt;/General_Parms&gt;</v>
      </c>
      <c r="E732" s="174" t="str">
        <f t="shared" si="30"/>
        <v>Yes</v>
      </c>
      <c r="F732" s="6" t="s">
        <v>667</v>
      </c>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row>
    <row r="733" spans="1:108" ht="12.75" customHeight="1" outlineLevel="3">
      <c r="A733" s="104" t="s">
        <v>174</v>
      </c>
      <c r="B733" s="17"/>
      <c r="C733" s="20"/>
      <c r="D733" s="6" t="str">
        <f>"&lt;" &amp; A733 &amp; "&gt;"</f>
        <v>&lt;Fuse_Parms&gt;</v>
      </c>
      <c r="E733" s="174" t="str">
        <f t="shared" si="30"/>
        <v>Yes</v>
      </c>
      <c r="F733" s="6" t="s">
        <v>762</v>
      </c>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row>
    <row r="734" spans="1:108" ht="12.75" customHeight="1" outlineLevel="4">
      <c r="A734" s="104" t="s">
        <v>175</v>
      </c>
      <c r="B734" s="92">
        <f>l_F</f>
        <v>35.799999999999997</v>
      </c>
      <c r="C734" s="20"/>
      <c r="D734" s="18" t="str">
        <f t="shared" ref="D734:D741" si="32">"&lt;" &amp; A734 &amp; "&gt;" &amp; TEXT(B734,"0.000000") &amp; "&lt;/" &amp; A734 &amp; "&gt;"</f>
        <v>&lt;Fuse_Length&gt;35.800000&lt;/Fuse_Length&gt;</v>
      </c>
      <c r="E734" s="174" t="str">
        <f t="shared" si="30"/>
        <v>Yes</v>
      </c>
      <c r="F734" s="6" t="s">
        <v>763</v>
      </c>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row>
    <row r="735" spans="1:108" ht="12.75" customHeight="1" outlineLevel="4">
      <c r="A735" s="104" t="s">
        <v>4</v>
      </c>
      <c r="B735" s="6">
        <v>0</v>
      </c>
      <c r="C735" s="20"/>
      <c r="D735" s="18" t="str">
        <f t="shared" si="32"/>
        <v>&lt;Camber&gt;0.000000&lt;/Camber&gt;</v>
      </c>
      <c r="E735" s="174" t="str">
        <f t="shared" si="30"/>
        <v>Yes</v>
      </c>
      <c r="F735" s="6" t="s">
        <v>681</v>
      </c>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row>
    <row r="736" spans="1:108" ht="12.75" customHeight="1" outlineLevel="4">
      <c r="A736" s="104" t="s">
        <v>176</v>
      </c>
      <c r="B736" s="6">
        <v>0.5</v>
      </c>
      <c r="C736" s="20"/>
      <c r="D736" s="18" t="str">
        <f t="shared" si="32"/>
        <v>&lt;Camber_Location&gt;0.500000&lt;/Camber_Location&gt;</v>
      </c>
      <c r="E736" s="174" t="str">
        <f t="shared" si="30"/>
        <v>Yes</v>
      </c>
      <c r="F736" s="6" t="s">
        <v>764</v>
      </c>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row>
    <row r="737" spans="1:108" ht="12.75" customHeight="1" outlineLevel="4">
      <c r="A737" s="104" t="s">
        <v>177</v>
      </c>
      <c r="B737" s="6">
        <v>0</v>
      </c>
      <c r="C737" s="20"/>
      <c r="D737" s="18" t="str">
        <f t="shared" si="32"/>
        <v>&lt;Aft_Offset&gt;0.000000&lt;/Aft_Offset&gt;</v>
      </c>
      <c r="E737" s="174" t="str">
        <f t="shared" si="30"/>
        <v>Yes</v>
      </c>
      <c r="F737" s="6" t="s">
        <v>765</v>
      </c>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row>
    <row r="738" spans="1:108" ht="12.75" customHeight="1" outlineLevel="4">
      <c r="A738" s="104" t="s">
        <v>178</v>
      </c>
      <c r="B738" s="6">
        <v>0</v>
      </c>
      <c r="C738" s="20"/>
      <c r="D738" s="18" t="str">
        <f t="shared" si="32"/>
        <v>&lt;Nose_Angle&gt;0.000000&lt;/Nose_Angle&gt;</v>
      </c>
      <c r="E738" s="174" t="str">
        <f t="shared" si="30"/>
        <v>Yes</v>
      </c>
      <c r="F738" s="6" t="s">
        <v>766</v>
      </c>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row>
    <row r="739" spans="1:108" ht="12.75" customHeight="1" outlineLevel="4">
      <c r="A739" s="104" t="s">
        <v>179</v>
      </c>
      <c r="B739" s="6">
        <v>1</v>
      </c>
      <c r="C739" s="20"/>
      <c r="D739" s="18" t="str">
        <f t="shared" si="32"/>
        <v>&lt;Nose_Strength&gt;1.000000&lt;/Nose_Strength&gt;</v>
      </c>
      <c r="E739" s="174" t="str">
        <f t="shared" si="30"/>
        <v>Yes</v>
      </c>
      <c r="F739" s="6" t="s">
        <v>767</v>
      </c>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row>
    <row r="740" spans="1:108" ht="12.75" customHeight="1" outlineLevel="4">
      <c r="A740" s="104" t="s">
        <v>180</v>
      </c>
      <c r="B740" s="6">
        <v>0.75</v>
      </c>
      <c r="C740" s="20"/>
      <c r="D740" s="18" t="str">
        <f t="shared" si="32"/>
        <v>&lt;Nose_Rho&gt;0.750000&lt;/Nose_Rho&gt;</v>
      </c>
      <c r="E740" s="174" t="str">
        <f t="shared" si="30"/>
        <v>Yes</v>
      </c>
      <c r="F740" s="6" t="s">
        <v>768</v>
      </c>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row>
    <row r="741" spans="1:108" ht="12.75" customHeight="1" outlineLevel="4">
      <c r="A741" s="104" t="s">
        <v>181</v>
      </c>
      <c r="B741" s="6">
        <v>0.65</v>
      </c>
      <c r="C741" s="20"/>
      <c r="D741" s="18" t="str">
        <f t="shared" si="32"/>
        <v>&lt;Aft_Rho&gt;0.650000&lt;/Aft_Rho&gt;</v>
      </c>
      <c r="E741" s="174" t="str">
        <f t="shared" si="30"/>
        <v>Yes</v>
      </c>
      <c r="F741" s="6" t="s">
        <v>769</v>
      </c>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row>
    <row r="742" spans="1:108" ht="12.75" customHeight="1" outlineLevel="4">
      <c r="A742" s="104" t="s">
        <v>182</v>
      </c>
      <c r="B742" s="108">
        <v>0</v>
      </c>
      <c r="C742" s="20"/>
      <c r="D742" s="18" t="str">
        <f>"&lt;" &amp; A742 &amp; "&gt;" &amp; TEXT(B742,0) &amp; "&lt;/" &amp; A742 &amp; "&gt;"</f>
        <v>&lt;IML_Flag&gt;0&lt;/IML_Flag&gt;</v>
      </c>
      <c r="E742" s="174" t="str">
        <f t="shared" si="30"/>
        <v>Yes</v>
      </c>
      <c r="F742" s="6" t="s">
        <v>770</v>
      </c>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row>
    <row r="743" spans="1:108" ht="12.75" customHeight="1" outlineLevel="4">
      <c r="A743" s="104" t="s">
        <v>183</v>
      </c>
      <c r="B743" s="108">
        <v>1</v>
      </c>
      <c r="C743" s="20"/>
      <c r="D743" s="18" t="str">
        <f>"&lt;" &amp; A743 &amp; "&gt;" &amp; TEXT(B743,0) &amp; "&lt;/" &amp; A743 &amp; "&gt;"</f>
        <v>&lt;Space_Type&gt;1&lt;/Space_Type&gt;</v>
      </c>
      <c r="E743" s="174" t="str">
        <f t="shared" si="30"/>
        <v>Yes</v>
      </c>
      <c r="F743" s="6" t="s">
        <v>771</v>
      </c>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row>
    <row r="744" spans="1:108" ht="12.75" customHeight="1" outlineLevel="4">
      <c r="A744" s="104" t="s">
        <v>184</v>
      </c>
      <c r="B744" s="108">
        <v>1</v>
      </c>
      <c r="C744" s="20"/>
      <c r="D744" s="18" t="str">
        <f>"&lt;" &amp; A744 &amp; "&gt;" &amp; TEXT(B744,0) &amp; "&lt;/" &amp; A744 &amp; "&gt;"</f>
        <v>&lt;Nose_Super_Flag&gt;1&lt;/Nose_Super_Flag&gt;</v>
      </c>
      <c r="E744" s="174" t="str">
        <f t="shared" si="30"/>
        <v>Yes</v>
      </c>
      <c r="F744" s="6" t="s">
        <v>772</v>
      </c>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row>
    <row r="745" spans="1:108" ht="12.75" customHeight="1" outlineLevel="4">
      <c r="A745" s="104" t="s">
        <v>185</v>
      </c>
      <c r="B745" s="108">
        <v>1</v>
      </c>
      <c r="C745" s="20"/>
      <c r="D745" s="18" t="str">
        <f>"&lt;" &amp; A745 &amp; "&gt;" &amp; TEXT(B745,0) &amp; "&lt;/" &amp; A745 &amp; "&gt;"</f>
        <v>&lt;Aft_Super_Flag&gt;1&lt;/Aft_Super_Flag&gt;</v>
      </c>
      <c r="E745" s="174" t="str">
        <f t="shared" si="30"/>
        <v>Yes</v>
      </c>
      <c r="F745" s="6" t="s">
        <v>773</v>
      </c>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row>
    <row r="746" spans="1:108" ht="12.75" customHeight="1" outlineLevel="4">
      <c r="A746" s="104" t="s">
        <v>186</v>
      </c>
      <c r="B746" s="17"/>
      <c r="C746" s="20"/>
      <c r="D746" s="6" t="str">
        <f>"&lt;" &amp; A746 &amp; "&gt;"</f>
        <v>&lt;/Fuse_Parms&gt;</v>
      </c>
      <c r="E746" s="174" t="str">
        <f t="shared" si="30"/>
        <v>Yes</v>
      </c>
      <c r="F746" s="6" t="s">
        <v>774</v>
      </c>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row>
    <row r="747" spans="1:108" ht="12.75" customHeight="1" outlineLevel="3" collapsed="1">
      <c r="A747" s="104" t="s">
        <v>187</v>
      </c>
      <c r="B747" s="17"/>
      <c r="C747" s="20"/>
      <c r="D747" s="6" t="str">
        <f>"&lt;" &amp; A747 &amp; "&gt;"</f>
        <v>&lt;Cross_Section_List&gt;</v>
      </c>
      <c r="E747" s="174" t="str">
        <f t="shared" si="30"/>
        <v>Yes</v>
      </c>
      <c r="F747" s="6" t="s">
        <v>775</v>
      </c>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row>
    <row r="748" spans="1:108" ht="12.75" hidden="1" customHeight="1" outlineLevel="4" collapsed="1">
      <c r="A748" s="104" t="s">
        <v>188</v>
      </c>
      <c r="B748" s="99" t="s">
        <v>401</v>
      </c>
      <c r="C748" s="20"/>
      <c r="D748" s="6" t="str">
        <f>"&lt;" &amp; A748 &amp; "&gt;"</f>
        <v>&lt;Cross_Section&gt;</v>
      </c>
      <c r="E748" s="174" t="str">
        <f t="shared" si="30"/>
        <v>Yes</v>
      </c>
      <c r="F748" s="6" t="s">
        <v>776</v>
      </c>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row>
    <row r="749" spans="1:108" ht="12.75" hidden="1" customHeight="1" outlineLevel="5">
      <c r="A749" s="104" t="s">
        <v>189</v>
      </c>
      <c r="B749" s="108">
        <v>45</v>
      </c>
      <c r="C749" s="20"/>
      <c r="D749" s="18" t="str">
        <f>"&lt;" &amp; A749 &amp; "&gt;" &amp; TEXT(B749,0) &amp; "&lt;/" &amp; A749 &amp; "&gt;"</f>
        <v>&lt;Num_Pnts&gt;45&lt;/Num_Pnts&gt;</v>
      </c>
      <c r="E749" s="174" t="str">
        <f t="shared" si="30"/>
        <v>Yes</v>
      </c>
      <c r="F749" s="6" t="s">
        <v>777</v>
      </c>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row>
    <row r="750" spans="1:108" ht="12.75" hidden="1" customHeight="1" outlineLevel="5">
      <c r="A750" s="104" t="s">
        <v>190</v>
      </c>
      <c r="B750" s="108">
        <v>0</v>
      </c>
      <c r="C750" s="20"/>
      <c r="D750" s="18" t="str">
        <f t="shared" ref="D750:D759" si="33">"&lt;" &amp; A750 &amp; "&gt;" &amp; TEXT(B750,"0.000000") &amp; "&lt;/" &amp; A750 &amp; "&gt;"</f>
        <v>&lt;Spine_Location&gt;0.000000&lt;/Spine_Location&gt;</v>
      </c>
      <c r="E750" s="174" t="str">
        <f t="shared" si="30"/>
        <v>Yes</v>
      </c>
      <c r="F750" s="6" t="s">
        <v>778</v>
      </c>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row>
    <row r="751" spans="1:108" ht="12.75" hidden="1" customHeight="1" outlineLevel="5">
      <c r="A751" s="104" t="s">
        <v>191</v>
      </c>
      <c r="B751" s="108">
        <v>-0.68969999999999998</v>
      </c>
      <c r="C751" s="20"/>
      <c r="D751" s="18" t="str">
        <f t="shared" si="33"/>
        <v>&lt;Z_Offset&gt;-0.689700&lt;/Z_Offset&gt;</v>
      </c>
      <c r="E751" s="174" t="str">
        <f t="shared" si="30"/>
        <v>Yes</v>
      </c>
      <c r="F751" s="6" t="s">
        <v>779</v>
      </c>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row>
    <row r="752" spans="1:108" ht="12.75" hidden="1" customHeight="1" outlineLevel="5">
      <c r="A752" s="104" t="s">
        <v>192</v>
      </c>
      <c r="B752" s="108">
        <v>0.5</v>
      </c>
      <c r="C752" s="20"/>
      <c r="D752" s="18" t="str">
        <f t="shared" si="33"/>
        <v>&lt;Top_Thick&gt;0.500000&lt;/Top_Thick&gt;</v>
      </c>
      <c r="E752" s="174" t="str">
        <f t="shared" si="30"/>
        <v>Yes</v>
      </c>
      <c r="F752" s="6" t="s">
        <v>780</v>
      </c>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row>
    <row r="753" spans="1:108" ht="12.75" hidden="1" customHeight="1" outlineLevel="5">
      <c r="A753" s="104" t="s">
        <v>193</v>
      </c>
      <c r="B753" s="108">
        <v>0.5</v>
      </c>
      <c r="C753" s="20"/>
      <c r="D753" s="18" t="str">
        <f t="shared" si="33"/>
        <v>&lt;Bot_Thick&gt;0.500000&lt;/Bot_Thick&gt;</v>
      </c>
      <c r="E753" s="174" t="str">
        <f t="shared" si="30"/>
        <v>Yes</v>
      </c>
      <c r="F753" s="6" t="s">
        <v>781</v>
      </c>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row>
    <row r="754" spans="1:108" ht="12.75" hidden="1" customHeight="1" outlineLevel="5">
      <c r="A754" s="104" t="s">
        <v>194</v>
      </c>
      <c r="B754" s="108">
        <v>0.5</v>
      </c>
      <c r="C754" s="20"/>
      <c r="D754" s="18" t="str">
        <f t="shared" si="33"/>
        <v>&lt;Side_Thick&gt;0.500000&lt;/Side_Thick&gt;</v>
      </c>
      <c r="E754" s="174" t="str">
        <f t="shared" si="30"/>
        <v>Yes</v>
      </c>
      <c r="F754" s="6" t="s">
        <v>782</v>
      </c>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row>
    <row r="755" spans="1:108" ht="12.75" hidden="1" customHeight="1" outlineLevel="5">
      <c r="A755" s="104" t="s">
        <v>195</v>
      </c>
      <c r="B755" s="108">
        <v>0.5</v>
      </c>
      <c r="C755" s="20"/>
      <c r="D755" s="18" t="str">
        <f t="shared" si="33"/>
        <v>&lt;Act_Top_Thick&gt;0.500000&lt;/Act_Top_Thick&gt;</v>
      </c>
      <c r="E755" s="174" t="str">
        <f t="shared" si="30"/>
        <v>Yes</v>
      </c>
      <c r="F755" s="6" t="s">
        <v>783</v>
      </c>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row>
    <row r="756" spans="1:108" ht="12.75" hidden="1" customHeight="1" outlineLevel="5">
      <c r="A756" s="104" t="s">
        <v>196</v>
      </c>
      <c r="B756" s="108">
        <v>0.5</v>
      </c>
      <c r="C756" s="20"/>
      <c r="D756" s="18" t="str">
        <f t="shared" si="33"/>
        <v>&lt;Act_Bot_Thick&gt;0.500000&lt;/Act_Bot_Thick&gt;</v>
      </c>
      <c r="E756" s="174" t="str">
        <f t="shared" si="30"/>
        <v>Yes</v>
      </c>
      <c r="F756" s="6" t="s">
        <v>784</v>
      </c>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row>
    <row r="757" spans="1:108" ht="12.75" hidden="1" customHeight="1" outlineLevel="5">
      <c r="A757" s="104" t="s">
        <v>197</v>
      </c>
      <c r="B757" s="108">
        <v>0.5</v>
      </c>
      <c r="C757" s="20"/>
      <c r="D757" s="18" t="str">
        <f t="shared" si="33"/>
        <v>&lt;Act_Side_Thick&gt;0.500000&lt;/Act_Side_Thick&gt;</v>
      </c>
      <c r="E757" s="174" t="str">
        <f t="shared" si="30"/>
        <v>Yes</v>
      </c>
      <c r="F757" s="6" t="s">
        <v>785</v>
      </c>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row>
    <row r="758" spans="1:108" ht="12.75" hidden="1" customHeight="1" outlineLevel="5">
      <c r="A758" s="104" t="s">
        <v>198</v>
      </c>
      <c r="B758" s="108">
        <v>0</v>
      </c>
      <c r="C758" s="20"/>
      <c r="D758" s="18" t="str">
        <f t="shared" si="33"/>
        <v>&lt;IML_X_Offset&gt;0.000000&lt;/IML_X_Offset&gt;</v>
      </c>
      <c r="E758" s="174" t="str">
        <f t="shared" si="30"/>
        <v>Yes</v>
      </c>
      <c r="F758" s="6" t="s">
        <v>786</v>
      </c>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row>
    <row r="759" spans="1:108" ht="12.75" hidden="1" customHeight="1" outlineLevel="5">
      <c r="A759" s="104" t="s">
        <v>199</v>
      </c>
      <c r="B759" s="108">
        <v>0</v>
      </c>
      <c r="C759" s="20"/>
      <c r="D759" s="18" t="str">
        <f t="shared" si="33"/>
        <v>&lt;IML_Z_Offset&gt;0.000000&lt;/IML_Z_Offset&gt;</v>
      </c>
      <c r="E759" s="174" t="str">
        <f t="shared" si="30"/>
        <v>Yes</v>
      </c>
      <c r="F759" s="6" t="s">
        <v>787</v>
      </c>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row>
    <row r="760" spans="1:108" ht="12.75" hidden="1" customHeight="1" outlineLevel="5">
      <c r="A760" s="104" t="s">
        <v>200</v>
      </c>
      <c r="B760" s="108">
        <v>0</v>
      </c>
      <c r="C760" s="20"/>
      <c r="D760" s="18" t="str">
        <f>"&lt;" &amp; A760 &amp; "&gt;" &amp; TEXT(B760,0) &amp; "&lt;/" &amp; A760 &amp; "&gt;"</f>
        <v>&lt;ML_Type&gt;0&lt;/ML_Type&gt;</v>
      </c>
      <c r="E760" s="174" t="str">
        <f t="shared" si="30"/>
        <v>Yes</v>
      </c>
      <c r="F760" s="6" t="s">
        <v>788</v>
      </c>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row>
    <row r="761" spans="1:108" ht="12.75" hidden="1" customHeight="1" outlineLevel="5">
      <c r="A761" s="104" t="s">
        <v>182</v>
      </c>
      <c r="B761" s="108">
        <v>0</v>
      </c>
      <c r="C761" s="20"/>
      <c r="D761" s="18" t="str">
        <f>"&lt;" &amp; A761 &amp; "&gt;" &amp; TEXT(B761,0) &amp; "&lt;/" &amp; A761 &amp; "&gt;"</f>
        <v>&lt;IML_Flag&gt;0&lt;/IML_Flag&gt;</v>
      </c>
      <c r="E761" s="174" t="str">
        <f t="shared" ref="E761:E824" si="34">IF(D761=F761,"Yes","No")</f>
        <v>Yes</v>
      </c>
      <c r="F761" s="6" t="s">
        <v>770</v>
      </c>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row>
    <row r="762" spans="1:108" ht="12.75" hidden="1" customHeight="1" outlineLevel="5">
      <c r="A762" s="104" t="s">
        <v>201</v>
      </c>
      <c r="B762" s="108">
        <v>0.25</v>
      </c>
      <c r="C762" s="20"/>
      <c r="D762" s="18" t="str">
        <f>"&lt;" &amp; A762 &amp; "&gt;" &amp; TEXT(B762,"0.000000") &amp; "&lt;/" &amp; A762 &amp; "&gt;"</f>
        <v>&lt;Profile_Tan_Str_1&gt;0.250000&lt;/Profile_Tan_Str_1&gt;</v>
      </c>
      <c r="E762" s="174" t="str">
        <f t="shared" si="34"/>
        <v>Yes</v>
      </c>
      <c r="F762" s="6" t="s">
        <v>789</v>
      </c>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row>
    <row r="763" spans="1:108" ht="12.75" hidden="1" customHeight="1" outlineLevel="5">
      <c r="A763" s="104" t="s">
        <v>202</v>
      </c>
      <c r="B763" s="108">
        <v>0.25</v>
      </c>
      <c r="C763" s="20"/>
      <c r="D763" s="18" t="str">
        <f>"&lt;" &amp; A763 &amp; "&gt;" &amp; TEXT(B763,"0.000000") &amp; "&lt;/" &amp; A763 &amp; "&gt;"</f>
        <v>&lt;Profile_Tan_Str_2&gt;0.250000&lt;/Profile_Tan_Str_2&gt;</v>
      </c>
      <c r="E763" s="174" t="str">
        <f t="shared" si="34"/>
        <v>Yes</v>
      </c>
      <c r="F763" s="6" t="s">
        <v>790</v>
      </c>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row>
    <row r="764" spans="1:108" ht="12.75" hidden="1" customHeight="1" outlineLevel="5">
      <c r="A764" s="104" t="s">
        <v>203</v>
      </c>
      <c r="B764" s="108">
        <v>0</v>
      </c>
      <c r="C764" s="20"/>
      <c r="D764" s="18" t="str">
        <f>"&lt;" &amp; A764 &amp; "&gt;" &amp; TEXT(B764,"0.000000") &amp; "&lt;/" &amp; A764 &amp; "&gt;"</f>
        <v>&lt;Profile_Tan_Ang&gt;0.000000&lt;/Profile_Tan_Ang&gt;</v>
      </c>
      <c r="E764" s="174" t="str">
        <f t="shared" si="34"/>
        <v>Yes</v>
      </c>
      <c r="F764" s="6" t="s">
        <v>791</v>
      </c>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row>
    <row r="765" spans="1:108" ht="12.75" hidden="1" customHeight="1" outlineLevel="5">
      <c r="A765" s="104" t="s">
        <v>204</v>
      </c>
      <c r="B765" s="108">
        <v>0</v>
      </c>
      <c r="C765" s="20"/>
      <c r="D765" s="18" t="str">
        <f>"&lt;" &amp; A765 &amp; "&gt;" &amp; TEXT(B765,0) &amp; "&lt;/" &amp; A765 &amp; "&gt;"</f>
        <v>&lt;Num_Sect_Interp_1&gt;0&lt;/Num_Sect_Interp_1&gt;</v>
      </c>
      <c r="E765" s="174" t="str">
        <f t="shared" si="34"/>
        <v>Yes</v>
      </c>
      <c r="F765" s="6" t="s">
        <v>792</v>
      </c>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row>
    <row r="766" spans="1:108" ht="12.75" hidden="1" customHeight="1" outlineLevel="5">
      <c r="A766" s="104" t="s">
        <v>205</v>
      </c>
      <c r="B766" s="108">
        <v>6</v>
      </c>
      <c r="C766" s="20"/>
      <c r="D766" s="18" t="str">
        <f>"&lt;" &amp; A766 &amp; "&gt;" &amp; TEXT(B766,0) &amp; "&lt;/" &amp; A766 &amp; "&gt;"</f>
        <v>&lt;Num_Sect_Interp_2&gt;6&lt;/Num_Sect_Interp_2&gt;</v>
      </c>
      <c r="E766" s="174" t="str">
        <f t="shared" si="34"/>
        <v>Yes</v>
      </c>
      <c r="F766" s="6" t="s">
        <v>793</v>
      </c>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row>
    <row r="767" spans="1:108" ht="12.75" hidden="1" customHeight="1" outlineLevel="5" collapsed="1">
      <c r="A767" s="104" t="s">
        <v>206</v>
      </c>
      <c r="B767" s="17"/>
      <c r="C767" s="20"/>
      <c r="D767" s="6" t="str">
        <f>"&lt;" &amp; A767 &amp; "&gt;"</f>
        <v>&lt;OML_Parms&gt;</v>
      </c>
      <c r="E767" s="174" t="str">
        <f t="shared" si="34"/>
        <v>Yes</v>
      </c>
      <c r="F767" s="6" t="s">
        <v>794</v>
      </c>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row>
    <row r="768" spans="1:108" ht="12.75" hidden="1" customHeight="1" outlineLevel="6">
      <c r="A768" s="104" t="s">
        <v>14</v>
      </c>
      <c r="B768" s="6">
        <v>1</v>
      </c>
      <c r="C768" s="20"/>
      <c r="D768" s="18" t="str">
        <f>"&lt;" &amp; A768 &amp; "&gt;" &amp; TEXT(B768,0) &amp; "&lt;/" &amp; A768 &amp; "&gt;"</f>
        <v>&lt;Type&gt;1&lt;/Type&gt;</v>
      </c>
      <c r="E768" s="174" t="str">
        <f t="shared" si="34"/>
        <v>Yes</v>
      </c>
      <c r="F768" s="6" t="s">
        <v>679</v>
      </c>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row>
    <row r="769" spans="1:108" ht="12.75" hidden="1" customHeight="1" outlineLevel="6">
      <c r="A769" s="104" t="s">
        <v>15</v>
      </c>
      <c r="B769" s="6">
        <v>0</v>
      </c>
      <c r="C769" s="20"/>
      <c r="D769" s="18" t="str">
        <f t="shared" ref="D769:D778" si="35">"&lt;" &amp; A769 &amp; "&gt;" &amp; TEXT(B769,"0.000000") &amp; "&lt;/" &amp; A769 &amp; "&gt;"</f>
        <v>&lt;Height&gt;0.000000&lt;/Height&gt;</v>
      </c>
      <c r="E769" s="174" t="str">
        <f t="shared" si="34"/>
        <v>Yes</v>
      </c>
      <c r="F769" s="6" t="s">
        <v>795</v>
      </c>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row>
    <row r="770" spans="1:108" ht="12.75" hidden="1" customHeight="1" outlineLevel="6">
      <c r="A770" s="104" t="s">
        <v>16</v>
      </c>
      <c r="B770" s="6">
        <v>0</v>
      </c>
      <c r="C770" s="20"/>
      <c r="D770" s="18" t="str">
        <f t="shared" si="35"/>
        <v>&lt;Width&gt;0.000000&lt;/Width&gt;</v>
      </c>
      <c r="E770" s="174" t="str">
        <f t="shared" si="34"/>
        <v>Yes</v>
      </c>
      <c r="F770" s="6" t="s">
        <v>796</v>
      </c>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row>
    <row r="771" spans="1:108" ht="12.75" hidden="1" customHeight="1" outlineLevel="6">
      <c r="A771" s="104" t="s">
        <v>207</v>
      </c>
      <c r="B771" s="6">
        <v>0</v>
      </c>
      <c r="C771" s="20"/>
      <c r="D771" s="18" t="str">
        <f t="shared" si="35"/>
        <v>&lt;Max_Width_Location&gt;0.000000&lt;/Max_Width_Location&gt;</v>
      </c>
      <c r="E771" s="174" t="str">
        <f t="shared" si="34"/>
        <v>Yes</v>
      </c>
      <c r="F771" s="6" t="s">
        <v>797</v>
      </c>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row>
    <row r="772" spans="1:108" ht="12.75" hidden="1" customHeight="1" outlineLevel="6">
      <c r="A772" s="104" t="s">
        <v>208</v>
      </c>
      <c r="B772" s="6">
        <v>0.5</v>
      </c>
      <c r="C772" s="20"/>
      <c r="D772" s="18" t="str">
        <f t="shared" si="35"/>
        <v>&lt;Corner_Radius&gt;0.500000&lt;/Corner_Radius&gt;</v>
      </c>
      <c r="E772" s="174" t="str">
        <f t="shared" si="34"/>
        <v>Yes</v>
      </c>
      <c r="F772" s="6" t="s">
        <v>798</v>
      </c>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row>
    <row r="773" spans="1:108" ht="12.75" hidden="1" customHeight="1" outlineLevel="6">
      <c r="A773" s="104" t="s">
        <v>209</v>
      </c>
      <c r="B773" s="6">
        <v>90</v>
      </c>
      <c r="C773" s="20"/>
      <c r="D773" s="18" t="str">
        <f t="shared" si="35"/>
        <v>&lt;Top_Tan_Angle&gt;90.000000&lt;/Top_Tan_Angle&gt;</v>
      </c>
      <c r="E773" s="174" t="str">
        <f t="shared" si="34"/>
        <v>Yes</v>
      </c>
      <c r="F773" s="6" t="s">
        <v>799</v>
      </c>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row>
    <row r="774" spans="1:108" ht="12.75" hidden="1" customHeight="1" outlineLevel="6">
      <c r="A774" s="104" t="s">
        <v>210</v>
      </c>
      <c r="B774" s="6">
        <v>90</v>
      </c>
      <c r="C774" s="20"/>
      <c r="D774" s="18" t="str">
        <f t="shared" si="35"/>
        <v>&lt;Bot_Tan_Angle&gt;90.000000&lt;/Bot_Tan_Angle&gt;</v>
      </c>
      <c r="E774" s="174" t="str">
        <f t="shared" si="34"/>
        <v>Yes</v>
      </c>
      <c r="F774" s="6" t="s">
        <v>800</v>
      </c>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row>
    <row r="775" spans="1:108" ht="12.75" hidden="1" customHeight="1" outlineLevel="6">
      <c r="A775" s="104" t="s">
        <v>211</v>
      </c>
      <c r="B775" s="6">
        <v>0.83</v>
      </c>
      <c r="C775" s="20"/>
      <c r="D775" s="18" t="str">
        <f t="shared" si="35"/>
        <v>&lt;Top_Tan_Strength&gt;0.830000&lt;/Top_Tan_Strength&gt;</v>
      </c>
      <c r="E775" s="174" t="str">
        <f t="shared" si="34"/>
        <v>Yes</v>
      </c>
      <c r="F775" s="6" t="s">
        <v>801</v>
      </c>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row>
    <row r="776" spans="1:108" ht="12.75" hidden="1" customHeight="1" outlineLevel="6">
      <c r="A776" s="104" t="s">
        <v>212</v>
      </c>
      <c r="B776" s="6">
        <v>0.83</v>
      </c>
      <c r="C776" s="20"/>
      <c r="D776" s="18" t="str">
        <f t="shared" si="35"/>
        <v>&lt;Upper_Tan_Strength&gt;0.830000&lt;/Upper_Tan_Strength&gt;</v>
      </c>
      <c r="E776" s="174" t="str">
        <f t="shared" si="34"/>
        <v>Yes</v>
      </c>
      <c r="F776" s="6" t="s">
        <v>802</v>
      </c>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row>
    <row r="777" spans="1:108" ht="12.75" hidden="1" customHeight="1" outlineLevel="6">
      <c r="A777" s="104" t="s">
        <v>213</v>
      </c>
      <c r="B777" s="6">
        <v>0.83</v>
      </c>
      <c r="C777" s="20"/>
      <c r="D777" s="18" t="str">
        <f t="shared" si="35"/>
        <v>&lt;Lower_Tan_Strength&gt;0.830000&lt;/Lower_Tan_Strength&gt;</v>
      </c>
      <c r="E777" s="174" t="str">
        <f t="shared" si="34"/>
        <v>Yes</v>
      </c>
      <c r="F777" s="6" t="s">
        <v>803</v>
      </c>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row>
    <row r="778" spans="1:108" ht="12.75" hidden="1" customHeight="1" outlineLevel="6">
      <c r="A778" s="104" t="s">
        <v>214</v>
      </c>
      <c r="B778" s="6">
        <v>0.83</v>
      </c>
      <c r="C778" s="20"/>
      <c r="D778" s="18" t="str">
        <f t="shared" si="35"/>
        <v>&lt;Bottom_Tan_Strength&gt;0.830000&lt;/Bottom_Tan_Strength&gt;</v>
      </c>
      <c r="E778" s="174" t="str">
        <f t="shared" si="34"/>
        <v>Yes</v>
      </c>
      <c r="F778" s="6" t="s">
        <v>804</v>
      </c>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row>
    <row r="779" spans="1:108" ht="12.75" hidden="1" customHeight="1" outlineLevel="6">
      <c r="A779" s="104" t="s">
        <v>215</v>
      </c>
      <c r="C779" s="20"/>
      <c r="D779" s="6" t="str">
        <f>"&lt;" &amp; A779 &amp; "&gt;"</f>
        <v>&lt;/OML_Parms&gt;</v>
      </c>
      <c r="E779" s="174" t="str">
        <f t="shared" si="34"/>
        <v>Yes</v>
      </c>
      <c r="F779" s="6" t="s">
        <v>805</v>
      </c>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row>
    <row r="780" spans="1:108" ht="12.75" hidden="1" customHeight="1" outlineLevel="5" collapsed="1">
      <c r="A780" s="104" t="s">
        <v>216</v>
      </c>
      <c r="C780" s="20"/>
      <c r="D780" s="6" t="str">
        <f>"&lt;" &amp; A780 &amp; "&gt;"</f>
        <v>&lt;IML_Parms&gt;</v>
      </c>
      <c r="E780" s="174" t="str">
        <f t="shared" si="34"/>
        <v>Yes</v>
      </c>
      <c r="F780" s="6" t="s">
        <v>806</v>
      </c>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row>
    <row r="781" spans="1:108" ht="12.75" hidden="1" customHeight="1" outlineLevel="6">
      <c r="A781" s="104" t="s">
        <v>14</v>
      </c>
      <c r="B781" s="6">
        <v>2</v>
      </c>
      <c r="C781" s="20"/>
      <c r="D781" s="18" t="str">
        <f>"&lt;" &amp; A781 &amp; "&gt;" &amp; TEXT(B781,0) &amp; "&lt;/" &amp; A781 &amp; "&gt;"</f>
        <v>&lt;Type&gt;2&lt;/Type&gt;</v>
      </c>
      <c r="E781" s="174" t="str">
        <f t="shared" si="34"/>
        <v>Yes</v>
      </c>
      <c r="F781" s="6" t="s">
        <v>807</v>
      </c>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row>
    <row r="782" spans="1:108" ht="12.75" hidden="1" customHeight="1" outlineLevel="6">
      <c r="A782" s="104" t="s">
        <v>15</v>
      </c>
      <c r="B782" s="6">
        <v>3</v>
      </c>
      <c r="C782" s="20"/>
      <c r="D782" s="18" t="str">
        <f t="shared" ref="D782:D791" si="36">"&lt;" &amp; A782 &amp; "&gt;" &amp; TEXT(B782,"0.000000") &amp; "&lt;/" &amp; A782 &amp; "&gt;"</f>
        <v>&lt;Height&gt;3.000000&lt;/Height&gt;</v>
      </c>
      <c r="E782" s="174" t="str">
        <f t="shared" si="34"/>
        <v>Yes</v>
      </c>
      <c r="F782" s="6" t="s">
        <v>808</v>
      </c>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row>
    <row r="783" spans="1:108" ht="12.75" hidden="1" customHeight="1" outlineLevel="6">
      <c r="A783" s="104" t="s">
        <v>16</v>
      </c>
      <c r="B783" s="6">
        <v>2.5</v>
      </c>
      <c r="C783" s="20"/>
      <c r="D783" s="18" t="str">
        <f t="shared" si="36"/>
        <v>&lt;Width&gt;2.500000&lt;/Width&gt;</v>
      </c>
      <c r="E783" s="174" t="str">
        <f t="shared" si="34"/>
        <v>Yes</v>
      </c>
      <c r="F783" s="6" t="s">
        <v>809</v>
      </c>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row>
    <row r="784" spans="1:108" ht="12.75" hidden="1" customHeight="1" outlineLevel="6">
      <c r="A784" s="104" t="s">
        <v>207</v>
      </c>
      <c r="B784" s="6">
        <v>0</v>
      </c>
      <c r="C784" s="20"/>
      <c r="D784" s="18" t="str">
        <f t="shared" si="36"/>
        <v>&lt;Max_Width_Location&gt;0.000000&lt;/Max_Width_Location&gt;</v>
      </c>
      <c r="E784" s="174" t="str">
        <f t="shared" si="34"/>
        <v>Yes</v>
      </c>
      <c r="F784" s="6" t="s">
        <v>797</v>
      </c>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row>
    <row r="785" spans="1:108" ht="12.75" hidden="1" customHeight="1" outlineLevel="6">
      <c r="A785" s="104" t="s">
        <v>208</v>
      </c>
      <c r="B785" s="6">
        <v>0.5</v>
      </c>
      <c r="C785" s="20"/>
      <c r="D785" s="18" t="str">
        <f t="shared" si="36"/>
        <v>&lt;Corner_Radius&gt;0.500000&lt;/Corner_Radius&gt;</v>
      </c>
      <c r="E785" s="174" t="str">
        <f t="shared" si="34"/>
        <v>Yes</v>
      </c>
      <c r="F785" s="6" t="s">
        <v>798</v>
      </c>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row>
    <row r="786" spans="1:108" ht="12.75" hidden="1" customHeight="1" outlineLevel="6">
      <c r="A786" s="104" t="s">
        <v>209</v>
      </c>
      <c r="B786" s="6">
        <v>90</v>
      </c>
      <c r="C786" s="20"/>
      <c r="D786" s="18" t="str">
        <f t="shared" si="36"/>
        <v>&lt;Top_Tan_Angle&gt;90.000000&lt;/Top_Tan_Angle&gt;</v>
      </c>
      <c r="E786" s="174" t="str">
        <f t="shared" si="34"/>
        <v>Yes</v>
      </c>
      <c r="F786" s="6" t="s">
        <v>799</v>
      </c>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row>
    <row r="787" spans="1:108" ht="12.75" hidden="1" customHeight="1" outlineLevel="6">
      <c r="A787" s="104" t="s">
        <v>210</v>
      </c>
      <c r="B787" s="6">
        <v>90</v>
      </c>
      <c r="C787" s="20"/>
      <c r="D787" s="18" t="str">
        <f t="shared" si="36"/>
        <v>&lt;Bot_Tan_Angle&gt;90.000000&lt;/Bot_Tan_Angle&gt;</v>
      </c>
      <c r="E787" s="174" t="str">
        <f t="shared" si="34"/>
        <v>Yes</v>
      </c>
      <c r="F787" s="6" t="s">
        <v>800</v>
      </c>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row>
    <row r="788" spans="1:108" ht="12.75" hidden="1" customHeight="1" outlineLevel="6">
      <c r="A788" s="104" t="s">
        <v>211</v>
      </c>
      <c r="B788" s="6">
        <v>0.83</v>
      </c>
      <c r="C788" s="20"/>
      <c r="D788" s="18" t="str">
        <f t="shared" si="36"/>
        <v>&lt;Top_Tan_Strength&gt;0.830000&lt;/Top_Tan_Strength&gt;</v>
      </c>
      <c r="E788" s="174" t="str">
        <f t="shared" si="34"/>
        <v>Yes</v>
      </c>
      <c r="F788" s="6" t="s">
        <v>801</v>
      </c>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row>
    <row r="789" spans="1:108" ht="12.75" hidden="1" customHeight="1" outlineLevel="6">
      <c r="A789" s="104" t="s">
        <v>212</v>
      </c>
      <c r="B789" s="6">
        <v>0.83</v>
      </c>
      <c r="C789" s="20"/>
      <c r="D789" s="18" t="str">
        <f t="shared" si="36"/>
        <v>&lt;Upper_Tan_Strength&gt;0.830000&lt;/Upper_Tan_Strength&gt;</v>
      </c>
      <c r="E789" s="174" t="str">
        <f t="shared" si="34"/>
        <v>Yes</v>
      </c>
      <c r="F789" s="6" t="s">
        <v>802</v>
      </c>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row>
    <row r="790" spans="1:108" ht="12.75" hidden="1" customHeight="1" outlineLevel="6">
      <c r="A790" s="104" t="s">
        <v>213</v>
      </c>
      <c r="B790" s="6">
        <v>0.83</v>
      </c>
      <c r="C790" s="20"/>
      <c r="D790" s="18" t="str">
        <f t="shared" si="36"/>
        <v>&lt;Lower_Tan_Strength&gt;0.830000&lt;/Lower_Tan_Strength&gt;</v>
      </c>
      <c r="E790" s="174" t="str">
        <f t="shared" si="34"/>
        <v>Yes</v>
      </c>
      <c r="F790" s="6" t="s">
        <v>803</v>
      </c>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row>
    <row r="791" spans="1:108" ht="12.75" hidden="1" customHeight="1" outlineLevel="6">
      <c r="A791" s="104" t="s">
        <v>214</v>
      </c>
      <c r="B791" s="6">
        <v>0.83</v>
      </c>
      <c r="C791" s="20"/>
      <c r="D791" s="18" t="str">
        <f t="shared" si="36"/>
        <v>&lt;Bottom_Tan_Strength&gt;0.830000&lt;/Bottom_Tan_Strength&gt;</v>
      </c>
      <c r="E791" s="174" t="str">
        <f t="shared" si="34"/>
        <v>Yes</v>
      </c>
      <c r="F791" s="6" t="s">
        <v>804</v>
      </c>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row>
    <row r="792" spans="1:108" ht="12.75" hidden="1" customHeight="1" outlineLevel="6">
      <c r="A792" s="104" t="s">
        <v>217</v>
      </c>
      <c r="C792" s="20"/>
      <c r="D792" s="6" t="str">
        <f>"&lt;" &amp; A792 &amp; "&gt;"</f>
        <v>&lt;/IML_Parms&gt;</v>
      </c>
      <c r="E792" s="174" t="str">
        <f t="shared" si="34"/>
        <v>Yes</v>
      </c>
      <c r="F792" s="6" t="s">
        <v>810</v>
      </c>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row>
    <row r="793" spans="1:108" ht="12.75" hidden="1" customHeight="1" outlineLevel="5">
      <c r="A793" s="104" t="s">
        <v>218</v>
      </c>
      <c r="C793" s="20"/>
      <c r="D793" s="6" t="str">
        <f>"&lt;" &amp; A793 &amp; "&gt;"</f>
        <v>&lt;/Cross_Section&gt;</v>
      </c>
      <c r="E793" s="174" t="str">
        <f t="shared" si="34"/>
        <v>Yes</v>
      </c>
      <c r="F793" s="6" t="s">
        <v>811</v>
      </c>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row>
    <row r="794" spans="1:108" ht="12.75" hidden="1" customHeight="1" outlineLevel="4">
      <c r="A794" s="104" t="s">
        <v>188</v>
      </c>
      <c r="B794" s="99" t="s">
        <v>390</v>
      </c>
      <c r="C794" s="20"/>
      <c r="D794" s="6" t="str">
        <f>"&lt;" &amp; A794 &amp; "&gt;"</f>
        <v>&lt;Cross_Section&gt;</v>
      </c>
      <c r="E794" s="174" t="str">
        <f t="shared" si="34"/>
        <v>Yes</v>
      </c>
      <c r="F794" s="6" t="s">
        <v>776</v>
      </c>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row>
    <row r="795" spans="1:108" ht="12.75" hidden="1" customHeight="1" outlineLevel="5">
      <c r="A795" s="104" t="s">
        <v>189</v>
      </c>
      <c r="B795" s="108">
        <v>45</v>
      </c>
      <c r="C795" s="20"/>
      <c r="D795" s="18" t="str">
        <f>"&lt;" &amp; A795 &amp; "&gt;" &amp; TEXT(B795,0) &amp; "&lt;/" &amp; A795 &amp; "&gt;"</f>
        <v>&lt;Num_Pnts&gt;45&lt;/Num_Pnts&gt;</v>
      </c>
      <c r="E795" s="174" t="str">
        <f t="shared" si="34"/>
        <v>Yes</v>
      </c>
      <c r="F795" s="6" t="s">
        <v>777</v>
      </c>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row>
    <row r="796" spans="1:108" ht="12.75" hidden="1" customHeight="1" outlineLevel="5">
      <c r="A796" s="104" t="s">
        <v>190</v>
      </c>
      <c r="B796" s="36">
        <f>0.33*B888</f>
        <v>2.3726815642458099E-2</v>
      </c>
      <c r="C796" s="20"/>
      <c r="D796" s="18" t="str">
        <f t="shared" ref="D796:D805" si="37">"&lt;" &amp; A796 &amp; "&gt;" &amp; TEXT(B796,"0.000000") &amp; "&lt;/" &amp; A796 &amp; "&gt;"</f>
        <v>&lt;Spine_Location&gt;0.023727&lt;/Spine_Location&gt;</v>
      </c>
      <c r="E796" s="174" t="str">
        <f t="shared" si="34"/>
        <v>Yes</v>
      </c>
      <c r="F796" s="6" t="s">
        <v>812</v>
      </c>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row>
    <row r="797" spans="1:108" ht="12.75" hidden="1" customHeight="1" outlineLevel="5">
      <c r="A797" s="104" t="s">
        <v>191</v>
      </c>
      <c r="B797" s="108">
        <v>-0.62070000000000003</v>
      </c>
      <c r="C797" s="20"/>
      <c r="D797" s="18" t="str">
        <f t="shared" si="37"/>
        <v>&lt;Z_Offset&gt;-0.620700&lt;/Z_Offset&gt;</v>
      </c>
      <c r="E797" s="174" t="str">
        <f t="shared" si="34"/>
        <v>Yes</v>
      </c>
      <c r="F797" s="6" t="s">
        <v>813</v>
      </c>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row>
    <row r="798" spans="1:108" ht="12.75" hidden="1" customHeight="1" outlineLevel="5">
      <c r="A798" s="104" t="s">
        <v>192</v>
      </c>
      <c r="B798" s="108">
        <v>0.5</v>
      </c>
      <c r="C798" s="20"/>
      <c r="D798" s="18" t="str">
        <f t="shared" si="37"/>
        <v>&lt;Top_Thick&gt;0.500000&lt;/Top_Thick&gt;</v>
      </c>
      <c r="E798" s="174" t="str">
        <f t="shared" si="34"/>
        <v>Yes</v>
      </c>
      <c r="F798" s="6" t="s">
        <v>780</v>
      </c>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row>
    <row r="799" spans="1:108" ht="12.75" hidden="1" customHeight="1" outlineLevel="5">
      <c r="A799" s="104" t="s">
        <v>193</v>
      </c>
      <c r="B799" s="108">
        <v>0.5</v>
      </c>
      <c r="C799" s="20"/>
      <c r="D799" s="18" t="str">
        <f t="shared" si="37"/>
        <v>&lt;Bot_Thick&gt;0.500000&lt;/Bot_Thick&gt;</v>
      </c>
      <c r="E799" s="174" t="str">
        <f t="shared" si="34"/>
        <v>Yes</v>
      </c>
      <c r="F799" s="6" t="s">
        <v>781</v>
      </c>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row>
    <row r="800" spans="1:108" ht="12.75" hidden="1" customHeight="1" outlineLevel="5">
      <c r="A800" s="104" t="s">
        <v>194</v>
      </c>
      <c r="B800" s="108">
        <v>0.5</v>
      </c>
      <c r="C800" s="20"/>
      <c r="D800" s="18" t="str">
        <f t="shared" si="37"/>
        <v>&lt;Side_Thick&gt;0.500000&lt;/Side_Thick&gt;</v>
      </c>
      <c r="E800" s="174" t="str">
        <f t="shared" si="34"/>
        <v>Yes</v>
      </c>
      <c r="F800" s="6" t="s">
        <v>782</v>
      </c>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row>
    <row r="801" spans="1:108" ht="12.75" hidden="1" customHeight="1" outlineLevel="5">
      <c r="A801" s="104" t="s">
        <v>195</v>
      </c>
      <c r="B801" s="108">
        <v>0.5</v>
      </c>
      <c r="C801" s="20"/>
      <c r="D801" s="18" t="str">
        <f t="shared" si="37"/>
        <v>&lt;Act_Top_Thick&gt;0.500000&lt;/Act_Top_Thick&gt;</v>
      </c>
      <c r="E801" s="174" t="str">
        <f t="shared" si="34"/>
        <v>Yes</v>
      </c>
      <c r="F801" s="6" t="s">
        <v>783</v>
      </c>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row>
    <row r="802" spans="1:108" ht="12.75" hidden="1" customHeight="1" outlineLevel="5">
      <c r="A802" s="104" t="s">
        <v>196</v>
      </c>
      <c r="B802" s="108">
        <v>0.5</v>
      </c>
      <c r="C802" s="20"/>
      <c r="D802" s="18" t="str">
        <f t="shared" si="37"/>
        <v>&lt;Act_Bot_Thick&gt;0.500000&lt;/Act_Bot_Thick&gt;</v>
      </c>
      <c r="E802" s="174" t="str">
        <f t="shared" si="34"/>
        <v>Yes</v>
      </c>
      <c r="F802" s="6" t="s">
        <v>784</v>
      </c>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row>
    <row r="803" spans="1:108" ht="12.75" hidden="1" customHeight="1" outlineLevel="5">
      <c r="A803" s="104" t="s">
        <v>197</v>
      </c>
      <c r="B803" s="108">
        <v>0.5</v>
      </c>
      <c r="C803" s="20"/>
      <c r="D803" s="18" t="str">
        <f t="shared" si="37"/>
        <v>&lt;Act_Side_Thick&gt;0.500000&lt;/Act_Side_Thick&gt;</v>
      </c>
      <c r="E803" s="174" t="str">
        <f t="shared" si="34"/>
        <v>Yes</v>
      </c>
      <c r="F803" s="6" t="s">
        <v>785</v>
      </c>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row>
    <row r="804" spans="1:108" ht="12.75" hidden="1" customHeight="1" outlineLevel="5">
      <c r="A804" s="104" t="s">
        <v>198</v>
      </c>
      <c r="B804" s="108">
        <v>0</v>
      </c>
      <c r="C804" s="20"/>
      <c r="D804" s="18" t="str">
        <f t="shared" si="37"/>
        <v>&lt;IML_X_Offset&gt;0.000000&lt;/IML_X_Offset&gt;</v>
      </c>
      <c r="E804" s="174" t="str">
        <f t="shared" si="34"/>
        <v>Yes</v>
      </c>
      <c r="F804" s="6" t="s">
        <v>786</v>
      </c>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row>
    <row r="805" spans="1:108" ht="12.75" hidden="1" customHeight="1" outlineLevel="5">
      <c r="A805" s="104" t="s">
        <v>199</v>
      </c>
      <c r="B805" s="108">
        <v>0</v>
      </c>
      <c r="C805" s="20"/>
      <c r="D805" s="18" t="str">
        <f t="shared" si="37"/>
        <v>&lt;IML_Z_Offset&gt;0.000000&lt;/IML_Z_Offset&gt;</v>
      </c>
      <c r="E805" s="174" t="str">
        <f t="shared" si="34"/>
        <v>Yes</v>
      </c>
      <c r="F805" s="6" t="s">
        <v>787</v>
      </c>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row>
    <row r="806" spans="1:108" ht="12.75" hidden="1" customHeight="1" outlineLevel="5">
      <c r="A806" s="104" t="s">
        <v>200</v>
      </c>
      <c r="B806" s="108">
        <v>0</v>
      </c>
      <c r="C806" s="20"/>
      <c r="D806" s="18" t="str">
        <f>"&lt;" &amp; A806 &amp; "&gt;" &amp; TEXT(B806,0) &amp; "&lt;/" &amp; A806 &amp; "&gt;"</f>
        <v>&lt;ML_Type&gt;0&lt;/ML_Type&gt;</v>
      </c>
      <c r="E806" s="174" t="str">
        <f t="shared" si="34"/>
        <v>Yes</v>
      </c>
      <c r="F806" s="6" t="s">
        <v>788</v>
      </c>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row>
    <row r="807" spans="1:108" ht="12.75" hidden="1" customHeight="1" outlineLevel="5">
      <c r="A807" s="104" t="s">
        <v>182</v>
      </c>
      <c r="B807" s="108">
        <v>0</v>
      </c>
      <c r="C807" s="20"/>
      <c r="D807" s="18" t="str">
        <f>"&lt;" &amp; A807 &amp; "&gt;" &amp; TEXT(B807,0) &amp; "&lt;/" &amp; A807 &amp; "&gt;"</f>
        <v>&lt;IML_Flag&gt;0&lt;/IML_Flag&gt;</v>
      </c>
      <c r="E807" s="174" t="str">
        <f t="shared" si="34"/>
        <v>Yes</v>
      </c>
      <c r="F807" s="6" t="s">
        <v>770</v>
      </c>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row>
    <row r="808" spans="1:108" ht="12.75" hidden="1" customHeight="1" outlineLevel="5">
      <c r="A808" s="104" t="s">
        <v>201</v>
      </c>
      <c r="B808" s="108">
        <v>0.25</v>
      </c>
      <c r="C808" s="20"/>
      <c r="D808" s="18" t="str">
        <f>"&lt;" &amp; A808 &amp; "&gt;" &amp; TEXT(B808,"0.000000") &amp; "&lt;/" &amp; A808 &amp; "&gt;"</f>
        <v>&lt;Profile_Tan_Str_1&gt;0.250000&lt;/Profile_Tan_Str_1&gt;</v>
      </c>
      <c r="E808" s="174" t="str">
        <f t="shared" si="34"/>
        <v>Yes</v>
      </c>
      <c r="F808" s="6" t="s">
        <v>789</v>
      </c>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row>
    <row r="809" spans="1:108" ht="12.75" hidden="1" customHeight="1" outlineLevel="5">
      <c r="A809" s="104" t="s">
        <v>202</v>
      </c>
      <c r="B809" s="108">
        <v>0.25</v>
      </c>
      <c r="C809" s="20"/>
      <c r="D809" s="18" t="str">
        <f>"&lt;" &amp; A809 &amp; "&gt;" &amp; TEXT(B809,"0.000000") &amp; "&lt;/" &amp; A809 &amp; "&gt;"</f>
        <v>&lt;Profile_Tan_Str_2&gt;0.250000&lt;/Profile_Tan_Str_2&gt;</v>
      </c>
      <c r="E809" s="174" t="str">
        <f t="shared" si="34"/>
        <v>Yes</v>
      </c>
      <c r="F809" s="6" t="s">
        <v>790</v>
      </c>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row>
    <row r="810" spans="1:108" ht="12.75" hidden="1" customHeight="1" outlineLevel="5">
      <c r="A810" s="104" t="s">
        <v>203</v>
      </c>
      <c r="B810" s="108">
        <v>0</v>
      </c>
      <c r="C810" s="20"/>
      <c r="D810" s="18" t="str">
        <f>"&lt;" &amp; A810 &amp; "&gt;" &amp; TEXT(B810,"0.000000") &amp; "&lt;/" &amp; A810 &amp; "&gt;"</f>
        <v>&lt;Profile_Tan_Ang&gt;0.000000&lt;/Profile_Tan_Ang&gt;</v>
      </c>
      <c r="E810" s="174" t="str">
        <f t="shared" si="34"/>
        <v>Yes</v>
      </c>
      <c r="F810" s="6" t="s">
        <v>791</v>
      </c>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row>
    <row r="811" spans="1:108" ht="12.75" hidden="1" customHeight="1" outlineLevel="5">
      <c r="A811" s="104" t="s">
        <v>204</v>
      </c>
      <c r="B811" s="108">
        <v>6</v>
      </c>
      <c r="C811" s="20"/>
      <c r="D811" s="18" t="str">
        <f>"&lt;" &amp; A811 &amp; "&gt;" &amp; TEXT(B811,0) &amp; "&lt;/" &amp; A811 &amp; "&gt;"</f>
        <v>&lt;Num_Sect_Interp_1&gt;6&lt;/Num_Sect_Interp_1&gt;</v>
      </c>
      <c r="E811" s="174" t="str">
        <f t="shared" si="34"/>
        <v>Yes</v>
      </c>
      <c r="F811" s="6" t="s">
        <v>814</v>
      </c>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row>
    <row r="812" spans="1:108" ht="12.75" hidden="1" customHeight="1" outlineLevel="5">
      <c r="A812" s="104" t="s">
        <v>205</v>
      </c>
      <c r="B812" s="108">
        <v>0</v>
      </c>
      <c r="C812" s="20"/>
      <c r="D812" s="18" t="str">
        <f>"&lt;" &amp; A812 &amp; "&gt;" &amp; TEXT(B812,0) &amp; "&lt;/" &amp; A812 &amp; "&gt;"</f>
        <v>&lt;Num_Sect_Interp_2&gt;0&lt;/Num_Sect_Interp_2&gt;</v>
      </c>
      <c r="E812" s="174" t="str">
        <f t="shared" si="34"/>
        <v>Yes</v>
      </c>
      <c r="F812" s="6" t="s">
        <v>815</v>
      </c>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row>
    <row r="813" spans="1:108" ht="12.75" hidden="1" customHeight="1" outlineLevel="5">
      <c r="A813" s="104" t="s">
        <v>206</v>
      </c>
      <c r="B813" s="17"/>
      <c r="C813" s="20"/>
      <c r="D813" s="6" t="str">
        <f>"&lt;" &amp; A813 &amp; "&gt;"</f>
        <v>&lt;OML_Parms&gt;</v>
      </c>
      <c r="E813" s="174" t="str">
        <f t="shared" si="34"/>
        <v>Yes</v>
      </c>
      <c r="F813" s="6" t="s">
        <v>794</v>
      </c>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row>
    <row r="814" spans="1:108" ht="12.75" hidden="1" customHeight="1" outlineLevel="6">
      <c r="A814" s="104" t="s">
        <v>14</v>
      </c>
      <c r="B814" s="6">
        <v>1</v>
      </c>
      <c r="C814" s="20"/>
      <c r="D814" s="18" t="str">
        <f>"&lt;" &amp; A814 &amp; "&gt;" &amp; TEXT(B814,0) &amp; "&lt;/" &amp; A814 &amp; "&gt;"</f>
        <v>&lt;Type&gt;1&lt;/Type&gt;</v>
      </c>
      <c r="E814" s="174" t="str">
        <f t="shared" si="34"/>
        <v>Yes</v>
      </c>
      <c r="F814" s="6" t="s">
        <v>679</v>
      </c>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row>
    <row r="815" spans="1:108" ht="12.75" hidden="1" customHeight="1" outlineLevel="6">
      <c r="A815" s="104" t="s">
        <v>15</v>
      </c>
      <c r="B815" s="35">
        <f>0.425*d_F</f>
        <v>1.6830000000000001</v>
      </c>
      <c r="C815" s="20"/>
      <c r="D815" s="18" t="str">
        <f t="shared" ref="D815:D824" si="38">"&lt;" &amp; A815 &amp; "&gt;" &amp; TEXT(B815,"0.000000") &amp; "&lt;/" &amp; A815 &amp; "&gt;"</f>
        <v>&lt;Height&gt;1.683000&lt;/Height&gt;</v>
      </c>
      <c r="E815" s="174" t="str">
        <f t="shared" si="34"/>
        <v>Yes</v>
      </c>
      <c r="F815" s="6" t="s">
        <v>816</v>
      </c>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row>
    <row r="816" spans="1:108" ht="12.75" hidden="1" customHeight="1" outlineLevel="6">
      <c r="A816" s="104" t="s">
        <v>16</v>
      </c>
      <c r="B816" s="35">
        <f>B815</f>
        <v>1.6830000000000001</v>
      </c>
      <c r="C816" s="20"/>
      <c r="D816" s="18" t="str">
        <f t="shared" si="38"/>
        <v>&lt;Width&gt;1.683000&lt;/Width&gt;</v>
      </c>
      <c r="E816" s="174" t="str">
        <f t="shared" si="34"/>
        <v>Yes</v>
      </c>
      <c r="F816" s="6" t="s">
        <v>817</v>
      </c>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row>
    <row r="817" spans="1:108" ht="12.75" hidden="1" customHeight="1" outlineLevel="6">
      <c r="A817" s="104" t="s">
        <v>207</v>
      </c>
      <c r="B817" s="6">
        <v>0</v>
      </c>
      <c r="C817" s="20"/>
      <c r="D817" s="18" t="str">
        <f t="shared" si="38"/>
        <v>&lt;Max_Width_Location&gt;0.000000&lt;/Max_Width_Location&gt;</v>
      </c>
      <c r="E817" s="174" t="str">
        <f t="shared" si="34"/>
        <v>Yes</v>
      </c>
      <c r="F817" s="6" t="s">
        <v>797</v>
      </c>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row>
    <row r="818" spans="1:108" ht="12.75" hidden="1" customHeight="1" outlineLevel="6">
      <c r="A818" s="104" t="s">
        <v>208</v>
      </c>
      <c r="B818" s="6">
        <v>0.5</v>
      </c>
      <c r="C818" s="20"/>
      <c r="D818" s="18" t="str">
        <f t="shared" si="38"/>
        <v>&lt;Corner_Radius&gt;0.500000&lt;/Corner_Radius&gt;</v>
      </c>
      <c r="E818" s="174" t="str">
        <f t="shared" si="34"/>
        <v>Yes</v>
      </c>
      <c r="F818" s="6" t="s">
        <v>798</v>
      </c>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row>
    <row r="819" spans="1:108" ht="12.75" hidden="1" customHeight="1" outlineLevel="6">
      <c r="A819" s="104" t="s">
        <v>209</v>
      </c>
      <c r="B819" s="6">
        <v>90</v>
      </c>
      <c r="C819" s="20"/>
      <c r="D819" s="18" t="str">
        <f t="shared" si="38"/>
        <v>&lt;Top_Tan_Angle&gt;90.000000&lt;/Top_Tan_Angle&gt;</v>
      </c>
      <c r="E819" s="174" t="str">
        <f t="shared" si="34"/>
        <v>Yes</v>
      </c>
      <c r="F819" s="6" t="s">
        <v>799</v>
      </c>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row>
    <row r="820" spans="1:108" ht="12.75" hidden="1" customHeight="1" outlineLevel="6">
      <c r="A820" s="104" t="s">
        <v>210</v>
      </c>
      <c r="B820" s="6">
        <v>90</v>
      </c>
      <c r="C820" s="20"/>
      <c r="D820" s="18" t="str">
        <f t="shared" si="38"/>
        <v>&lt;Bot_Tan_Angle&gt;90.000000&lt;/Bot_Tan_Angle&gt;</v>
      </c>
      <c r="E820" s="174" t="str">
        <f t="shared" si="34"/>
        <v>Yes</v>
      </c>
      <c r="F820" s="6" t="s">
        <v>800</v>
      </c>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row>
    <row r="821" spans="1:108" ht="12.75" hidden="1" customHeight="1" outlineLevel="6">
      <c r="A821" s="104" t="s">
        <v>211</v>
      </c>
      <c r="B821" s="6">
        <v>0.83</v>
      </c>
      <c r="C821" s="20"/>
      <c r="D821" s="18" t="str">
        <f t="shared" si="38"/>
        <v>&lt;Top_Tan_Strength&gt;0.830000&lt;/Top_Tan_Strength&gt;</v>
      </c>
      <c r="E821" s="174" t="str">
        <f t="shared" si="34"/>
        <v>Yes</v>
      </c>
      <c r="F821" s="6" t="s">
        <v>801</v>
      </c>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row>
    <row r="822" spans="1:108" ht="12.75" hidden="1" customHeight="1" outlineLevel="6">
      <c r="A822" s="104" t="s">
        <v>212</v>
      </c>
      <c r="B822" s="6">
        <v>0.83</v>
      </c>
      <c r="C822" s="20"/>
      <c r="D822" s="18" t="str">
        <f t="shared" si="38"/>
        <v>&lt;Upper_Tan_Strength&gt;0.830000&lt;/Upper_Tan_Strength&gt;</v>
      </c>
      <c r="E822" s="174" t="str">
        <f t="shared" si="34"/>
        <v>Yes</v>
      </c>
      <c r="F822" s="6" t="s">
        <v>802</v>
      </c>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row>
    <row r="823" spans="1:108" ht="12.75" hidden="1" customHeight="1" outlineLevel="6">
      <c r="A823" s="104" t="s">
        <v>213</v>
      </c>
      <c r="B823" s="6">
        <v>0.83</v>
      </c>
      <c r="C823" s="20"/>
      <c r="D823" s="18" t="str">
        <f t="shared" si="38"/>
        <v>&lt;Lower_Tan_Strength&gt;0.830000&lt;/Lower_Tan_Strength&gt;</v>
      </c>
      <c r="E823" s="174" t="str">
        <f t="shared" si="34"/>
        <v>Yes</v>
      </c>
      <c r="F823" s="6" t="s">
        <v>803</v>
      </c>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row>
    <row r="824" spans="1:108" ht="12.75" hidden="1" customHeight="1" outlineLevel="6">
      <c r="A824" s="104" t="s">
        <v>214</v>
      </c>
      <c r="B824" s="6">
        <v>0.83</v>
      </c>
      <c r="C824" s="20"/>
      <c r="D824" s="18" t="str">
        <f t="shared" si="38"/>
        <v>&lt;Bottom_Tan_Strength&gt;0.830000&lt;/Bottom_Tan_Strength&gt;</v>
      </c>
      <c r="E824" s="174" t="str">
        <f t="shared" si="34"/>
        <v>Yes</v>
      </c>
      <c r="F824" s="6" t="s">
        <v>804</v>
      </c>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row>
    <row r="825" spans="1:108" ht="12.75" hidden="1" customHeight="1" outlineLevel="6">
      <c r="A825" s="104" t="s">
        <v>215</v>
      </c>
      <c r="C825" s="20"/>
      <c r="D825" s="6" t="str">
        <f>"&lt;" &amp; A825 &amp; "&gt;"</f>
        <v>&lt;/OML_Parms&gt;</v>
      </c>
      <c r="E825" s="174" t="str">
        <f t="shared" ref="E825:E888" si="39">IF(D825=F825,"Yes","No")</f>
        <v>Yes</v>
      </c>
      <c r="F825" s="6" t="s">
        <v>805</v>
      </c>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row>
    <row r="826" spans="1:108" ht="12.75" hidden="1" customHeight="1" outlineLevel="5">
      <c r="A826" s="104" t="s">
        <v>216</v>
      </c>
      <c r="C826" s="20"/>
      <c r="D826" s="6" t="str">
        <f>"&lt;" &amp; A826 &amp; "&gt;"</f>
        <v>&lt;IML_Parms&gt;</v>
      </c>
      <c r="E826" s="174" t="str">
        <f t="shared" si="39"/>
        <v>Yes</v>
      </c>
      <c r="F826" s="6" t="s">
        <v>806</v>
      </c>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row>
    <row r="827" spans="1:108" ht="12.75" hidden="1" customHeight="1" outlineLevel="6">
      <c r="A827" s="104" t="s">
        <v>14</v>
      </c>
      <c r="B827" s="6">
        <v>2</v>
      </c>
      <c r="C827" s="20"/>
      <c r="D827" s="18" t="str">
        <f>"&lt;" &amp; A827 &amp; "&gt;" &amp; TEXT(B827,0) &amp; "&lt;/" &amp; A827 &amp; "&gt;"</f>
        <v>&lt;Type&gt;2&lt;/Type&gt;</v>
      </c>
      <c r="E827" s="174" t="str">
        <f t="shared" si="39"/>
        <v>Yes</v>
      </c>
      <c r="F827" s="6" t="s">
        <v>807</v>
      </c>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row>
    <row r="828" spans="1:108" ht="12.75" hidden="1" customHeight="1" outlineLevel="6">
      <c r="A828" s="104" t="s">
        <v>15</v>
      </c>
      <c r="B828" s="6">
        <v>3</v>
      </c>
      <c r="C828" s="20"/>
      <c r="D828" s="18" t="str">
        <f t="shared" ref="D828:D837" si="40">"&lt;" &amp; A828 &amp; "&gt;" &amp; TEXT(B828,"0.000000") &amp; "&lt;/" &amp; A828 &amp; "&gt;"</f>
        <v>&lt;Height&gt;3.000000&lt;/Height&gt;</v>
      </c>
      <c r="E828" s="174" t="str">
        <f t="shared" si="39"/>
        <v>Yes</v>
      </c>
      <c r="F828" s="6" t="s">
        <v>808</v>
      </c>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row>
    <row r="829" spans="1:108" ht="12.75" hidden="1" customHeight="1" outlineLevel="6">
      <c r="A829" s="104" t="s">
        <v>16</v>
      </c>
      <c r="B829" s="6">
        <v>2.5</v>
      </c>
      <c r="C829" s="20"/>
      <c r="D829" s="18" t="str">
        <f t="shared" si="40"/>
        <v>&lt;Width&gt;2.500000&lt;/Width&gt;</v>
      </c>
      <c r="E829" s="174" t="str">
        <f t="shared" si="39"/>
        <v>Yes</v>
      </c>
      <c r="F829" s="6" t="s">
        <v>809</v>
      </c>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row>
    <row r="830" spans="1:108" ht="12.75" hidden="1" customHeight="1" outlineLevel="6">
      <c r="A830" s="104" t="s">
        <v>207</v>
      </c>
      <c r="B830" s="6">
        <v>0</v>
      </c>
      <c r="C830" s="20"/>
      <c r="D830" s="18" t="str">
        <f t="shared" si="40"/>
        <v>&lt;Max_Width_Location&gt;0.000000&lt;/Max_Width_Location&gt;</v>
      </c>
      <c r="E830" s="174" t="str">
        <f t="shared" si="39"/>
        <v>Yes</v>
      </c>
      <c r="F830" s="6" t="s">
        <v>797</v>
      </c>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row>
    <row r="831" spans="1:108" ht="12.75" hidden="1" customHeight="1" outlineLevel="6">
      <c r="A831" s="104" t="s">
        <v>208</v>
      </c>
      <c r="B831" s="6">
        <v>0.5</v>
      </c>
      <c r="C831" s="20"/>
      <c r="D831" s="18" t="str">
        <f t="shared" si="40"/>
        <v>&lt;Corner_Radius&gt;0.500000&lt;/Corner_Radius&gt;</v>
      </c>
      <c r="E831" s="174" t="str">
        <f t="shared" si="39"/>
        <v>Yes</v>
      </c>
      <c r="F831" s="6" t="s">
        <v>798</v>
      </c>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row>
    <row r="832" spans="1:108" ht="12.75" hidden="1" customHeight="1" outlineLevel="6">
      <c r="A832" s="104" t="s">
        <v>209</v>
      </c>
      <c r="B832" s="6">
        <v>90</v>
      </c>
      <c r="C832" s="20"/>
      <c r="D832" s="18" t="str">
        <f t="shared" si="40"/>
        <v>&lt;Top_Tan_Angle&gt;90.000000&lt;/Top_Tan_Angle&gt;</v>
      </c>
      <c r="E832" s="174" t="str">
        <f t="shared" si="39"/>
        <v>Yes</v>
      </c>
      <c r="F832" s="6" t="s">
        <v>799</v>
      </c>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row>
    <row r="833" spans="1:108" ht="12.75" hidden="1" customHeight="1" outlineLevel="6">
      <c r="A833" s="104" t="s">
        <v>210</v>
      </c>
      <c r="B833" s="6">
        <v>90</v>
      </c>
      <c r="C833" s="20"/>
      <c r="D833" s="18" t="str">
        <f t="shared" si="40"/>
        <v>&lt;Bot_Tan_Angle&gt;90.000000&lt;/Bot_Tan_Angle&gt;</v>
      </c>
      <c r="E833" s="174" t="str">
        <f t="shared" si="39"/>
        <v>Yes</v>
      </c>
      <c r="F833" s="6" t="s">
        <v>800</v>
      </c>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row>
    <row r="834" spans="1:108" ht="12.75" hidden="1" customHeight="1" outlineLevel="6">
      <c r="A834" s="104" t="s">
        <v>211</v>
      </c>
      <c r="B834" s="6">
        <v>0.83</v>
      </c>
      <c r="C834" s="20"/>
      <c r="D834" s="18" t="str">
        <f t="shared" si="40"/>
        <v>&lt;Top_Tan_Strength&gt;0.830000&lt;/Top_Tan_Strength&gt;</v>
      </c>
      <c r="E834" s="174" t="str">
        <f t="shared" si="39"/>
        <v>Yes</v>
      </c>
      <c r="F834" s="6" t="s">
        <v>801</v>
      </c>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row>
    <row r="835" spans="1:108" ht="12.75" hidden="1" customHeight="1" outlineLevel="6">
      <c r="A835" s="104" t="s">
        <v>212</v>
      </c>
      <c r="B835" s="6">
        <v>0.83</v>
      </c>
      <c r="C835" s="20"/>
      <c r="D835" s="18" t="str">
        <f t="shared" si="40"/>
        <v>&lt;Upper_Tan_Strength&gt;0.830000&lt;/Upper_Tan_Strength&gt;</v>
      </c>
      <c r="E835" s="174" t="str">
        <f t="shared" si="39"/>
        <v>Yes</v>
      </c>
      <c r="F835" s="6" t="s">
        <v>802</v>
      </c>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row>
    <row r="836" spans="1:108" ht="12.75" hidden="1" customHeight="1" outlineLevel="6">
      <c r="A836" s="104" t="s">
        <v>213</v>
      </c>
      <c r="B836" s="6">
        <v>0.83</v>
      </c>
      <c r="C836" s="20"/>
      <c r="D836" s="18" t="str">
        <f t="shared" si="40"/>
        <v>&lt;Lower_Tan_Strength&gt;0.830000&lt;/Lower_Tan_Strength&gt;</v>
      </c>
      <c r="E836" s="174" t="str">
        <f t="shared" si="39"/>
        <v>Yes</v>
      </c>
      <c r="F836" s="6" t="s">
        <v>803</v>
      </c>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row>
    <row r="837" spans="1:108" ht="12.75" hidden="1" customHeight="1" outlineLevel="6">
      <c r="A837" s="104" t="s">
        <v>214</v>
      </c>
      <c r="B837" s="6">
        <v>0.83</v>
      </c>
      <c r="C837" s="20"/>
      <c r="D837" s="18" t="str">
        <f t="shared" si="40"/>
        <v>&lt;Bottom_Tan_Strength&gt;0.830000&lt;/Bottom_Tan_Strength&gt;</v>
      </c>
      <c r="E837" s="174" t="str">
        <f t="shared" si="39"/>
        <v>Yes</v>
      </c>
      <c r="F837" s="6" t="s">
        <v>804</v>
      </c>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row>
    <row r="838" spans="1:108" ht="12.75" hidden="1" customHeight="1" outlineLevel="6">
      <c r="A838" s="104" t="s">
        <v>217</v>
      </c>
      <c r="C838" s="20"/>
      <c r="D838" s="6" t="str">
        <f>"&lt;" &amp; A838 &amp; "&gt;"</f>
        <v>&lt;/IML_Parms&gt;</v>
      </c>
      <c r="E838" s="174" t="str">
        <f t="shared" si="39"/>
        <v>Yes</v>
      </c>
      <c r="F838" s="6" t="s">
        <v>810</v>
      </c>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row>
    <row r="839" spans="1:108" ht="12.75" hidden="1" customHeight="1" outlineLevel="5">
      <c r="A839" s="104" t="s">
        <v>218</v>
      </c>
      <c r="C839" s="20"/>
      <c r="D839" s="6" t="str">
        <f>"&lt;" &amp; A839 &amp; "&gt;"</f>
        <v>&lt;/Cross_Section&gt;</v>
      </c>
      <c r="E839" s="174" t="str">
        <f t="shared" si="39"/>
        <v>Yes</v>
      </c>
      <c r="F839" s="6" t="s">
        <v>811</v>
      </c>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row>
    <row r="840" spans="1:108" ht="12.75" hidden="1" customHeight="1" outlineLevel="4">
      <c r="A840" s="104" t="s">
        <v>188</v>
      </c>
      <c r="B840" s="99" t="s">
        <v>391</v>
      </c>
      <c r="C840" s="20"/>
      <c r="D840" s="6" t="str">
        <f>"&lt;" &amp; A840 &amp; "&gt;"</f>
        <v>&lt;Cross_Section&gt;</v>
      </c>
      <c r="E840" s="174" t="str">
        <f t="shared" si="39"/>
        <v>Yes</v>
      </c>
      <c r="F840" s="6" t="s">
        <v>776</v>
      </c>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row>
    <row r="841" spans="1:108" ht="12.75" hidden="1" customHeight="1" outlineLevel="5">
      <c r="A841" s="104" t="s">
        <v>189</v>
      </c>
      <c r="B841" s="108">
        <v>45</v>
      </c>
      <c r="C841" s="20"/>
      <c r="D841" s="18" t="str">
        <f>"&lt;" &amp; A841 &amp; "&gt;" &amp; TEXT(B841,0) &amp; "&lt;/" &amp; A841 &amp; "&gt;"</f>
        <v>&lt;Num_Pnts&gt;45&lt;/Num_Pnts&gt;</v>
      </c>
      <c r="E841" s="174" t="str">
        <f t="shared" si="39"/>
        <v>Yes</v>
      </c>
      <c r="F841" s="6" t="s">
        <v>777</v>
      </c>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row>
    <row r="842" spans="1:108" ht="12.75" hidden="1" customHeight="1" outlineLevel="5">
      <c r="A842" s="104" t="s">
        <v>190</v>
      </c>
      <c r="B842" s="36">
        <f>0.618*B888</f>
        <v>4.4433854748603348E-2</v>
      </c>
      <c r="C842" s="20"/>
      <c r="D842" s="18" t="str">
        <f t="shared" ref="D842:D851" si="41">"&lt;" &amp; A842 &amp; "&gt;" &amp; TEXT(B842,"0.000000") &amp; "&lt;/" &amp; A842 &amp; "&gt;"</f>
        <v>&lt;Spine_Location&gt;0.044434&lt;/Spine_Location&gt;</v>
      </c>
      <c r="E842" s="174" t="str">
        <f t="shared" si="39"/>
        <v>Yes</v>
      </c>
      <c r="F842" s="6" t="s">
        <v>818</v>
      </c>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row>
    <row r="843" spans="1:108" ht="12.75" hidden="1" customHeight="1" outlineLevel="5">
      <c r="A843" s="104" t="s">
        <v>191</v>
      </c>
      <c r="B843" s="108">
        <v>-0.55430000000000001</v>
      </c>
      <c r="C843" s="20"/>
      <c r="D843" s="18" t="str">
        <f t="shared" si="41"/>
        <v>&lt;Z_Offset&gt;-0.554300&lt;/Z_Offset&gt;</v>
      </c>
      <c r="E843" s="174" t="str">
        <f t="shared" si="39"/>
        <v>Yes</v>
      </c>
      <c r="F843" s="6" t="s">
        <v>819</v>
      </c>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row>
    <row r="844" spans="1:108" ht="12.75" hidden="1" customHeight="1" outlineLevel="5">
      <c r="A844" s="104" t="s">
        <v>192</v>
      </c>
      <c r="B844" s="108">
        <v>0.5</v>
      </c>
      <c r="C844" s="20"/>
      <c r="D844" s="18" t="str">
        <f t="shared" si="41"/>
        <v>&lt;Top_Thick&gt;0.500000&lt;/Top_Thick&gt;</v>
      </c>
      <c r="E844" s="174" t="str">
        <f t="shared" si="39"/>
        <v>Yes</v>
      </c>
      <c r="F844" s="6" t="s">
        <v>780</v>
      </c>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row>
    <row r="845" spans="1:108" ht="12.75" hidden="1" customHeight="1" outlineLevel="5">
      <c r="A845" s="104" t="s">
        <v>193</v>
      </c>
      <c r="B845" s="108">
        <v>0.5</v>
      </c>
      <c r="C845" s="20"/>
      <c r="D845" s="18" t="str">
        <f t="shared" si="41"/>
        <v>&lt;Bot_Thick&gt;0.500000&lt;/Bot_Thick&gt;</v>
      </c>
      <c r="E845" s="174" t="str">
        <f t="shared" si="39"/>
        <v>Yes</v>
      </c>
      <c r="F845" s="6" t="s">
        <v>781</v>
      </c>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row>
    <row r="846" spans="1:108" ht="12.75" hidden="1" customHeight="1" outlineLevel="5">
      <c r="A846" s="104" t="s">
        <v>194</v>
      </c>
      <c r="B846" s="108">
        <v>0.5</v>
      </c>
      <c r="C846" s="20"/>
      <c r="D846" s="18" t="str">
        <f t="shared" si="41"/>
        <v>&lt;Side_Thick&gt;0.500000&lt;/Side_Thick&gt;</v>
      </c>
      <c r="E846" s="174" t="str">
        <f t="shared" si="39"/>
        <v>Yes</v>
      </c>
      <c r="F846" s="6" t="s">
        <v>782</v>
      </c>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row>
    <row r="847" spans="1:108" ht="12.75" hidden="1" customHeight="1" outlineLevel="5">
      <c r="A847" s="104" t="s">
        <v>195</v>
      </c>
      <c r="B847" s="108">
        <v>0.5</v>
      </c>
      <c r="C847" s="20"/>
      <c r="D847" s="18" t="str">
        <f t="shared" si="41"/>
        <v>&lt;Act_Top_Thick&gt;0.500000&lt;/Act_Top_Thick&gt;</v>
      </c>
      <c r="E847" s="174" t="str">
        <f t="shared" si="39"/>
        <v>Yes</v>
      </c>
      <c r="F847" s="6" t="s">
        <v>783</v>
      </c>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row>
    <row r="848" spans="1:108" ht="12.75" hidden="1" customHeight="1" outlineLevel="5">
      <c r="A848" s="104" t="s">
        <v>196</v>
      </c>
      <c r="B848" s="108">
        <v>0.5</v>
      </c>
      <c r="C848" s="20"/>
      <c r="D848" s="18" t="str">
        <f t="shared" si="41"/>
        <v>&lt;Act_Bot_Thick&gt;0.500000&lt;/Act_Bot_Thick&gt;</v>
      </c>
      <c r="E848" s="174" t="str">
        <f t="shared" si="39"/>
        <v>Yes</v>
      </c>
      <c r="F848" s="6" t="s">
        <v>784</v>
      </c>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row>
    <row r="849" spans="1:108" ht="12.75" hidden="1" customHeight="1" outlineLevel="5">
      <c r="A849" s="104" t="s">
        <v>197</v>
      </c>
      <c r="B849" s="108">
        <v>0.5</v>
      </c>
      <c r="C849" s="20"/>
      <c r="D849" s="18" t="str">
        <f t="shared" si="41"/>
        <v>&lt;Act_Side_Thick&gt;0.500000&lt;/Act_Side_Thick&gt;</v>
      </c>
      <c r="E849" s="174" t="str">
        <f t="shared" si="39"/>
        <v>Yes</v>
      </c>
      <c r="F849" s="6" t="s">
        <v>785</v>
      </c>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row>
    <row r="850" spans="1:108" ht="12.75" hidden="1" customHeight="1" outlineLevel="5">
      <c r="A850" s="104" t="s">
        <v>198</v>
      </c>
      <c r="B850" s="108">
        <v>0</v>
      </c>
      <c r="C850" s="20"/>
      <c r="D850" s="18" t="str">
        <f t="shared" si="41"/>
        <v>&lt;IML_X_Offset&gt;0.000000&lt;/IML_X_Offset&gt;</v>
      </c>
      <c r="E850" s="174" t="str">
        <f t="shared" si="39"/>
        <v>Yes</v>
      </c>
      <c r="F850" s="6" t="s">
        <v>786</v>
      </c>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row>
    <row r="851" spans="1:108" ht="12.75" hidden="1" customHeight="1" outlineLevel="5">
      <c r="A851" s="104" t="s">
        <v>199</v>
      </c>
      <c r="B851" s="108">
        <v>0</v>
      </c>
      <c r="C851" s="20"/>
      <c r="D851" s="18" t="str">
        <f t="shared" si="41"/>
        <v>&lt;IML_Z_Offset&gt;0.000000&lt;/IML_Z_Offset&gt;</v>
      </c>
      <c r="E851" s="174" t="str">
        <f t="shared" si="39"/>
        <v>Yes</v>
      </c>
      <c r="F851" s="6" t="s">
        <v>787</v>
      </c>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row>
    <row r="852" spans="1:108" ht="12.75" hidden="1" customHeight="1" outlineLevel="5">
      <c r="A852" s="104" t="s">
        <v>200</v>
      </c>
      <c r="B852" s="108">
        <v>0</v>
      </c>
      <c r="C852" s="20"/>
      <c r="D852" s="18" t="str">
        <f>"&lt;" &amp; A852 &amp; "&gt;" &amp; TEXT(B852,0) &amp; "&lt;/" &amp; A852 &amp; "&gt;"</f>
        <v>&lt;ML_Type&gt;0&lt;/ML_Type&gt;</v>
      </c>
      <c r="E852" s="174" t="str">
        <f t="shared" si="39"/>
        <v>Yes</v>
      </c>
      <c r="F852" s="6" t="s">
        <v>788</v>
      </c>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row>
    <row r="853" spans="1:108" ht="12.75" hidden="1" customHeight="1" outlineLevel="5">
      <c r="A853" s="104" t="s">
        <v>182</v>
      </c>
      <c r="B853" s="108">
        <v>0</v>
      </c>
      <c r="C853" s="20"/>
      <c r="D853" s="18" t="str">
        <f>"&lt;" &amp; A853 &amp; "&gt;" &amp; TEXT(B853,0) &amp; "&lt;/" &amp; A853 &amp; "&gt;"</f>
        <v>&lt;IML_Flag&gt;0&lt;/IML_Flag&gt;</v>
      </c>
      <c r="E853" s="174" t="str">
        <f t="shared" si="39"/>
        <v>Yes</v>
      </c>
      <c r="F853" s="6" t="s">
        <v>770</v>
      </c>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row>
    <row r="854" spans="1:108" ht="12.75" hidden="1" customHeight="1" outlineLevel="5">
      <c r="A854" s="104" t="s">
        <v>201</v>
      </c>
      <c r="B854" s="108">
        <v>0.25</v>
      </c>
      <c r="C854" s="20"/>
      <c r="D854" s="18" t="str">
        <f>"&lt;" &amp; A854 &amp; "&gt;" &amp; TEXT(B854,"0.000000") &amp; "&lt;/" &amp; A854 &amp; "&gt;"</f>
        <v>&lt;Profile_Tan_Str_1&gt;0.250000&lt;/Profile_Tan_Str_1&gt;</v>
      </c>
      <c r="E854" s="174" t="str">
        <f t="shared" si="39"/>
        <v>Yes</v>
      </c>
      <c r="F854" s="6" t="s">
        <v>789</v>
      </c>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row>
    <row r="855" spans="1:108" ht="12.75" hidden="1" customHeight="1" outlineLevel="5">
      <c r="A855" s="104" t="s">
        <v>202</v>
      </c>
      <c r="B855" s="108">
        <v>0.25</v>
      </c>
      <c r="C855" s="20"/>
      <c r="D855" s="18" t="str">
        <f>"&lt;" &amp; A855 &amp; "&gt;" &amp; TEXT(B855,"0.000000") &amp; "&lt;/" &amp; A855 &amp; "&gt;"</f>
        <v>&lt;Profile_Tan_Str_2&gt;0.250000&lt;/Profile_Tan_Str_2&gt;</v>
      </c>
      <c r="E855" s="174" t="str">
        <f t="shared" si="39"/>
        <v>Yes</v>
      </c>
      <c r="F855" s="6" t="s">
        <v>790</v>
      </c>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row>
    <row r="856" spans="1:108" ht="12.75" hidden="1" customHeight="1" outlineLevel="5">
      <c r="A856" s="104" t="s">
        <v>203</v>
      </c>
      <c r="B856" s="108">
        <v>0</v>
      </c>
      <c r="C856" s="20"/>
      <c r="D856" s="18" t="str">
        <f>"&lt;" &amp; A856 &amp; "&gt;" &amp; TEXT(B856,"0.000000") &amp; "&lt;/" &amp; A856 &amp; "&gt;"</f>
        <v>&lt;Profile_Tan_Ang&gt;0.000000&lt;/Profile_Tan_Ang&gt;</v>
      </c>
      <c r="E856" s="174" t="str">
        <f t="shared" si="39"/>
        <v>Yes</v>
      </c>
      <c r="F856" s="6" t="s">
        <v>791</v>
      </c>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row>
    <row r="857" spans="1:108" ht="12.75" hidden="1" customHeight="1" outlineLevel="5">
      <c r="A857" s="104" t="s">
        <v>204</v>
      </c>
      <c r="B857" s="108">
        <v>0</v>
      </c>
      <c r="C857" s="20"/>
      <c r="D857" s="18" t="str">
        <f>"&lt;" &amp; A857 &amp; "&gt;" &amp; TEXT(B857,0) &amp; "&lt;/" &amp; A857 &amp; "&gt;"</f>
        <v>&lt;Num_Sect_Interp_1&gt;0&lt;/Num_Sect_Interp_1&gt;</v>
      </c>
      <c r="E857" s="174" t="str">
        <f t="shared" si="39"/>
        <v>Yes</v>
      </c>
      <c r="F857" s="6" t="s">
        <v>792</v>
      </c>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row>
    <row r="858" spans="1:108" ht="12.75" hidden="1" customHeight="1" outlineLevel="5">
      <c r="A858" s="104" t="s">
        <v>205</v>
      </c>
      <c r="B858" s="108">
        <v>0</v>
      </c>
      <c r="C858" s="20"/>
      <c r="D858" s="18" t="str">
        <f>"&lt;" &amp; A858 &amp; "&gt;" &amp; TEXT(B858,0) &amp; "&lt;/" &amp; A858 &amp; "&gt;"</f>
        <v>&lt;Num_Sect_Interp_2&gt;0&lt;/Num_Sect_Interp_2&gt;</v>
      </c>
      <c r="E858" s="174" t="str">
        <f t="shared" si="39"/>
        <v>Yes</v>
      </c>
      <c r="F858" s="6" t="s">
        <v>815</v>
      </c>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row>
    <row r="859" spans="1:108" ht="12.75" hidden="1" customHeight="1" outlineLevel="5">
      <c r="A859" s="104" t="s">
        <v>206</v>
      </c>
      <c r="C859" s="20"/>
      <c r="D859" s="6" t="str">
        <f>"&lt;" &amp; A859 &amp; "&gt;"</f>
        <v>&lt;OML_Parms&gt;</v>
      </c>
      <c r="E859" s="174" t="str">
        <f t="shared" si="39"/>
        <v>Yes</v>
      </c>
      <c r="F859" s="6" t="s">
        <v>794</v>
      </c>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row>
    <row r="860" spans="1:108" ht="12.75" hidden="1" customHeight="1" outlineLevel="6">
      <c r="A860" s="104" t="s">
        <v>14</v>
      </c>
      <c r="B860" s="6">
        <v>1</v>
      </c>
      <c r="C860" s="20"/>
      <c r="D860" s="18" t="str">
        <f>"&lt;" &amp; A860 &amp; "&gt;" &amp; TEXT(B860,0) &amp; "&lt;/" &amp; A860 &amp; "&gt;"</f>
        <v>&lt;Type&gt;1&lt;/Type&gt;</v>
      </c>
      <c r="E860" s="174" t="str">
        <f t="shared" si="39"/>
        <v>Yes</v>
      </c>
      <c r="F860" s="6" t="s">
        <v>679</v>
      </c>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row>
    <row r="861" spans="1:108" ht="12.75" hidden="1" customHeight="1" outlineLevel="6">
      <c r="A861" s="104" t="s">
        <v>15</v>
      </c>
      <c r="B861" s="35">
        <f>0.557*$B$999</f>
        <v>2.2057200000000003</v>
      </c>
      <c r="C861" s="20"/>
      <c r="D861" s="18" t="str">
        <f t="shared" ref="D861:D870" si="42">"&lt;" &amp; A861 &amp; "&gt;" &amp; TEXT(B861,"0.000000") &amp; "&lt;/" &amp; A861 &amp; "&gt;"</f>
        <v>&lt;Height&gt;2.205720&lt;/Height&gt;</v>
      </c>
      <c r="E861" s="174" t="str">
        <f t="shared" si="39"/>
        <v>Yes</v>
      </c>
      <c r="F861" s="6" t="s">
        <v>820</v>
      </c>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row>
    <row r="862" spans="1:108" ht="12.75" hidden="1" customHeight="1" outlineLevel="6">
      <c r="A862" s="104" t="s">
        <v>16</v>
      </c>
      <c r="B862" s="35">
        <f>B861</f>
        <v>2.2057200000000003</v>
      </c>
      <c r="C862" s="20"/>
      <c r="D862" s="18" t="str">
        <f t="shared" si="42"/>
        <v>&lt;Width&gt;2.205720&lt;/Width&gt;</v>
      </c>
      <c r="E862" s="174" t="str">
        <f t="shared" si="39"/>
        <v>Yes</v>
      </c>
      <c r="F862" s="6" t="s">
        <v>821</v>
      </c>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row>
    <row r="863" spans="1:108" ht="12.75" hidden="1" customHeight="1" outlineLevel="6">
      <c r="A863" s="104" t="s">
        <v>207</v>
      </c>
      <c r="B863" s="6">
        <v>0</v>
      </c>
      <c r="C863" s="20"/>
      <c r="D863" s="18" t="str">
        <f t="shared" si="42"/>
        <v>&lt;Max_Width_Location&gt;0.000000&lt;/Max_Width_Location&gt;</v>
      </c>
      <c r="E863" s="174" t="str">
        <f t="shared" si="39"/>
        <v>Yes</v>
      </c>
      <c r="F863" s="6" t="s">
        <v>797</v>
      </c>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row>
    <row r="864" spans="1:108" ht="12.75" hidden="1" customHeight="1" outlineLevel="6">
      <c r="A864" s="104" t="s">
        <v>208</v>
      </c>
      <c r="B864" s="6">
        <v>0.5</v>
      </c>
      <c r="C864" s="20"/>
      <c r="D864" s="18" t="str">
        <f t="shared" si="42"/>
        <v>&lt;Corner_Radius&gt;0.500000&lt;/Corner_Radius&gt;</v>
      </c>
      <c r="E864" s="174" t="str">
        <f t="shared" si="39"/>
        <v>Yes</v>
      </c>
      <c r="F864" s="6" t="s">
        <v>798</v>
      </c>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row>
    <row r="865" spans="1:108" ht="12.75" hidden="1" customHeight="1" outlineLevel="6">
      <c r="A865" s="104" t="s">
        <v>209</v>
      </c>
      <c r="B865" s="6">
        <v>90</v>
      </c>
      <c r="C865" s="20"/>
      <c r="D865" s="18" t="str">
        <f t="shared" si="42"/>
        <v>&lt;Top_Tan_Angle&gt;90.000000&lt;/Top_Tan_Angle&gt;</v>
      </c>
      <c r="E865" s="174" t="str">
        <f t="shared" si="39"/>
        <v>Yes</v>
      </c>
      <c r="F865" s="6" t="s">
        <v>799</v>
      </c>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row>
    <row r="866" spans="1:108" ht="12.75" hidden="1" customHeight="1" outlineLevel="6">
      <c r="A866" s="104" t="s">
        <v>210</v>
      </c>
      <c r="B866" s="6">
        <v>90</v>
      </c>
      <c r="C866" s="20"/>
      <c r="D866" s="18" t="str">
        <f t="shared" si="42"/>
        <v>&lt;Bot_Tan_Angle&gt;90.000000&lt;/Bot_Tan_Angle&gt;</v>
      </c>
      <c r="E866" s="174" t="str">
        <f t="shared" si="39"/>
        <v>Yes</v>
      </c>
      <c r="F866" s="6" t="s">
        <v>800</v>
      </c>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row>
    <row r="867" spans="1:108" ht="12.75" hidden="1" customHeight="1" outlineLevel="6">
      <c r="A867" s="104" t="s">
        <v>211</v>
      </c>
      <c r="B867" s="6">
        <v>0.83</v>
      </c>
      <c r="C867" s="20"/>
      <c r="D867" s="18" t="str">
        <f t="shared" si="42"/>
        <v>&lt;Top_Tan_Strength&gt;0.830000&lt;/Top_Tan_Strength&gt;</v>
      </c>
      <c r="E867" s="174" t="str">
        <f t="shared" si="39"/>
        <v>Yes</v>
      </c>
      <c r="F867" s="6" t="s">
        <v>801</v>
      </c>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row>
    <row r="868" spans="1:108" ht="12.75" hidden="1" customHeight="1" outlineLevel="6">
      <c r="A868" s="104" t="s">
        <v>212</v>
      </c>
      <c r="B868" s="6">
        <v>0.83</v>
      </c>
      <c r="C868" s="20"/>
      <c r="D868" s="18" t="str">
        <f t="shared" si="42"/>
        <v>&lt;Upper_Tan_Strength&gt;0.830000&lt;/Upper_Tan_Strength&gt;</v>
      </c>
      <c r="E868" s="174" t="str">
        <f t="shared" si="39"/>
        <v>Yes</v>
      </c>
      <c r="F868" s="6" t="s">
        <v>802</v>
      </c>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row>
    <row r="869" spans="1:108" ht="12.75" hidden="1" customHeight="1" outlineLevel="6">
      <c r="A869" s="104" t="s">
        <v>213</v>
      </c>
      <c r="B869" s="6">
        <v>0.83</v>
      </c>
      <c r="C869" s="20"/>
      <c r="D869" s="18" t="str">
        <f t="shared" si="42"/>
        <v>&lt;Lower_Tan_Strength&gt;0.830000&lt;/Lower_Tan_Strength&gt;</v>
      </c>
      <c r="E869" s="174" t="str">
        <f t="shared" si="39"/>
        <v>Yes</v>
      </c>
      <c r="F869" s="6" t="s">
        <v>803</v>
      </c>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row>
    <row r="870" spans="1:108" ht="12.75" hidden="1" customHeight="1" outlineLevel="6">
      <c r="A870" s="104" t="s">
        <v>214</v>
      </c>
      <c r="B870" s="6">
        <v>0.83</v>
      </c>
      <c r="C870" s="20"/>
      <c r="D870" s="18" t="str">
        <f t="shared" si="42"/>
        <v>&lt;Bottom_Tan_Strength&gt;0.830000&lt;/Bottom_Tan_Strength&gt;</v>
      </c>
      <c r="E870" s="174" t="str">
        <f t="shared" si="39"/>
        <v>Yes</v>
      </c>
      <c r="F870" s="6" t="s">
        <v>804</v>
      </c>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row>
    <row r="871" spans="1:108" ht="12.75" hidden="1" customHeight="1" outlineLevel="6">
      <c r="A871" s="104" t="s">
        <v>215</v>
      </c>
      <c r="C871" s="20"/>
      <c r="D871" s="6" t="str">
        <f>"&lt;" &amp; A871 &amp; "&gt;"</f>
        <v>&lt;/OML_Parms&gt;</v>
      </c>
      <c r="E871" s="174" t="str">
        <f t="shared" si="39"/>
        <v>Yes</v>
      </c>
      <c r="F871" s="6" t="s">
        <v>805</v>
      </c>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row>
    <row r="872" spans="1:108" ht="12.75" hidden="1" customHeight="1" outlineLevel="5">
      <c r="A872" s="104" t="s">
        <v>216</v>
      </c>
      <c r="C872" s="20"/>
      <c r="D872" s="6" t="str">
        <f>"&lt;" &amp; A872 &amp; "&gt;"</f>
        <v>&lt;IML_Parms&gt;</v>
      </c>
      <c r="E872" s="174" t="str">
        <f t="shared" si="39"/>
        <v>Yes</v>
      </c>
      <c r="F872" s="6" t="s">
        <v>806</v>
      </c>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row>
    <row r="873" spans="1:108" ht="12.75" hidden="1" customHeight="1" outlineLevel="6">
      <c r="A873" s="104" t="s">
        <v>14</v>
      </c>
      <c r="B873" s="6">
        <v>2</v>
      </c>
      <c r="C873" s="20"/>
      <c r="D873" s="18" t="str">
        <f>"&lt;" &amp; A873 &amp; "&gt;" &amp; TEXT(B873,0) &amp; "&lt;/" &amp; A873 &amp; "&gt;"</f>
        <v>&lt;Type&gt;2&lt;/Type&gt;</v>
      </c>
      <c r="E873" s="174" t="str">
        <f t="shared" si="39"/>
        <v>Yes</v>
      </c>
      <c r="F873" s="6" t="s">
        <v>807</v>
      </c>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row>
    <row r="874" spans="1:108" ht="12.75" hidden="1" customHeight="1" outlineLevel="6">
      <c r="A874" s="104" t="s">
        <v>15</v>
      </c>
      <c r="B874" s="6">
        <v>3</v>
      </c>
      <c r="C874" s="20"/>
      <c r="D874" s="18" t="str">
        <f t="shared" ref="D874:D883" si="43">"&lt;" &amp; A874 &amp; "&gt;" &amp; TEXT(B874,"0.000000") &amp; "&lt;/" &amp; A874 &amp; "&gt;"</f>
        <v>&lt;Height&gt;3.000000&lt;/Height&gt;</v>
      </c>
      <c r="E874" s="174" t="str">
        <f t="shared" si="39"/>
        <v>Yes</v>
      </c>
      <c r="F874" s="6" t="s">
        <v>808</v>
      </c>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row>
    <row r="875" spans="1:108" ht="12.75" hidden="1" customHeight="1" outlineLevel="6">
      <c r="A875" s="104" t="s">
        <v>16</v>
      </c>
      <c r="B875" s="6">
        <v>2.5</v>
      </c>
      <c r="C875" s="20"/>
      <c r="D875" s="18" t="str">
        <f t="shared" si="43"/>
        <v>&lt;Width&gt;2.500000&lt;/Width&gt;</v>
      </c>
      <c r="E875" s="174" t="str">
        <f t="shared" si="39"/>
        <v>Yes</v>
      </c>
      <c r="F875" s="6" t="s">
        <v>809</v>
      </c>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row>
    <row r="876" spans="1:108" ht="12.75" hidden="1" customHeight="1" outlineLevel="6">
      <c r="A876" s="104" t="s">
        <v>207</v>
      </c>
      <c r="B876" s="6">
        <v>0</v>
      </c>
      <c r="C876" s="20"/>
      <c r="D876" s="18" t="str">
        <f t="shared" si="43"/>
        <v>&lt;Max_Width_Location&gt;0.000000&lt;/Max_Width_Location&gt;</v>
      </c>
      <c r="E876" s="174" t="str">
        <f t="shared" si="39"/>
        <v>Yes</v>
      </c>
      <c r="F876" s="6" t="s">
        <v>797</v>
      </c>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row>
    <row r="877" spans="1:108" ht="12.75" hidden="1" customHeight="1" outlineLevel="6">
      <c r="A877" s="104" t="s">
        <v>208</v>
      </c>
      <c r="B877" s="6">
        <v>0.5</v>
      </c>
      <c r="C877" s="20"/>
      <c r="D877" s="18" t="str">
        <f t="shared" si="43"/>
        <v>&lt;Corner_Radius&gt;0.500000&lt;/Corner_Radius&gt;</v>
      </c>
      <c r="E877" s="174" t="str">
        <f t="shared" si="39"/>
        <v>Yes</v>
      </c>
      <c r="F877" s="6" t="s">
        <v>798</v>
      </c>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row>
    <row r="878" spans="1:108" ht="12.75" hidden="1" customHeight="1" outlineLevel="6">
      <c r="A878" s="104" t="s">
        <v>209</v>
      </c>
      <c r="B878" s="6">
        <v>90</v>
      </c>
      <c r="C878" s="20"/>
      <c r="D878" s="18" t="str">
        <f t="shared" si="43"/>
        <v>&lt;Top_Tan_Angle&gt;90.000000&lt;/Top_Tan_Angle&gt;</v>
      </c>
      <c r="E878" s="174" t="str">
        <f t="shared" si="39"/>
        <v>Yes</v>
      </c>
      <c r="F878" s="6" t="s">
        <v>799</v>
      </c>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row>
    <row r="879" spans="1:108" ht="12.75" hidden="1" customHeight="1" outlineLevel="6">
      <c r="A879" s="104" t="s">
        <v>210</v>
      </c>
      <c r="B879" s="6">
        <v>90</v>
      </c>
      <c r="C879" s="20"/>
      <c r="D879" s="18" t="str">
        <f t="shared" si="43"/>
        <v>&lt;Bot_Tan_Angle&gt;90.000000&lt;/Bot_Tan_Angle&gt;</v>
      </c>
      <c r="E879" s="174" t="str">
        <f t="shared" si="39"/>
        <v>Yes</v>
      </c>
      <c r="F879" s="6" t="s">
        <v>800</v>
      </c>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row>
    <row r="880" spans="1:108" ht="12.75" hidden="1" customHeight="1" outlineLevel="6">
      <c r="A880" s="104" t="s">
        <v>211</v>
      </c>
      <c r="B880" s="6">
        <v>0.83</v>
      </c>
      <c r="C880" s="20"/>
      <c r="D880" s="18" t="str">
        <f t="shared" si="43"/>
        <v>&lt;Top_Tan_Strength&gt;0.830000&lt;/Top_Tan_Strength&gt;</v>
      </c>
      <c r="E880" s="174" t="str">
        <f t="shared" si="39"/>
        <v>Yes</v>
      </c>
      <c r="F880" s="6" t="s">
        <v>801</v>
      </c>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row>
    <row r="881" spans="1:108" ht="12.75" hidden="1" customHeight="1" outlineLevel="6">
      <c r="A881" s="104" t="s">
        <v>212</v>
      </c>
      <c r="B881" s="6">
        <v>0.83</v>
      </c>
      <c r="C881" s="20"/>
      <c r="D881" s="18" t="str">
        <f t="shared" si="43"/>
        <v>&lt;Upper_Tan_Strength&gt;0.830000&lt;/Upper_Tan_Strength&gt;</v>
      </c>
      <c r="E881" s="174" t="str">
        <f t="shared" si="39"/>
        <v>Yes</v>
      </c>
      <c r="F881" s="6" t="s">
        <v>802</v>
      </c>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row>
    <row r="882" spans="1:108" ht="12.75" hidden="1" customHeight="1" outlineLevel="6">
      <c r="A882" s="104" t="s">
        <v>213</v>
      </c>
      <c r="B882" s="6">
        <v>0.83</v>
      </c>
      <c r="C882" s="20"/>
      <c r="D882" s="18" t="str">
        <f t="shared" si="43"/>
        <v>&lt;Lower_Tan_Strength&gt;0.830000&lt;/Lower_Tan_Strength&gt;</v>
      </c>
      <c r="E882" s="174" t="str">
        <f t="shared" si="39"/>
        <v>Yes</v>
      </c>
      <c r="F882" s="6" t="s">
        <v>803</v>
      </c>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row>
    <row r="883" spans="1:108" ht="12.75" hidden="1" customHeight="1" outlineLevel="6">
      <c r="A883" s="104" t="s">
        <v>214</v>
      </c>
      <c r="B883" s="6">
        <v>0.83</v>
      </c>
      <c r="C883" s="20"/>
      <c r="D883" s="18" t="str">
        <f t="shared" si="43"/>
        <v>&lt;Bottom_Tan_Strength&gt;0.830000&lt;/Bottom_Tan_Strength&gt;</v>
      </c>
      <c r="E883" s="174" t="str">
        <f t="shared" si="39"/>
        <v>Yes</v>
      </c>
      <c r="F883" s="6" t="s">
        <v>804</v>
      </c>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row>
    <row r="884" spans="1:108" ht="12.75" hidden="1" customHeight="1" outlineLevel="6">
      <c r="A884" s="104" t="s">
        <v>217</v>
      </c>
      <c r="C884" s="20"/>
      <c r="D884" s="6" t="str">
        <f>"&lt;" &amp; A884 &amp; "&gt;"</f>
        <v>&lt;/IML_Parms&gt;</v>
      </c>
      <c r="E884" s="174" t="str">
        <f t="shared" si="39"/>
        <v>Yes</v>
      </c>
      <c r="F884" s="6" t="s">
        <v>810</v>
      </c>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row>
    <row r="885" spans="1:108" ht="12.75" hidden="1" customHeight="1" outlineLevel="5">
      <c r="A885" s="104" t="s">
        <v>218</v>
      </c>
      <c r="C885" s="20"/>
      <c r="D885" s="6" t="str">
        <f>"&lt;" &amp; A885 &amp; "&gt;"</f>
        <v>&lt;/Cross_Section&gt;</v>
      </c>
      <c r="E885" s="174" t="str">
        <f t="shared" si="39"/>
        <v>Yes</v>
      </c>
      <c r="F885" s="6" t="s">
        <v>811</v>
      </c>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row>
    <row r="886" spans="1:108" ht="12.75" hidden="1" customHeight="1" outlineLevel="4">
      <c r="A886" s="104" t="s">
        <v>188</v>
      </c>
      <c r="B886" s="99" t="s">
        <v>392</v>
      </c>
      <c r="C886" s="20"/>
      <c r="D886" s="6" t="str">
        <f>"&lt;" &amp; A886 &amp; "&gt;"</f>
        <v>&lt;Cross_Section&gt;</v>
      </c>
      <c r="E886" s="174" t="str">
        <f t="shared" si="39"/>
        <v>Yes</v>
      </c>
      <c r="F886" s="6" t="s">
        <v>776</v>
      </c>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row>
    <row r="887" spans="1:108" ht="12.75" hidden="1" customHeight="1" outlineLevel="5">
      <c r="A887" s="104" t="s">
        <v>189</v>
      </c>
      <c r="B887" s="108">
        <v>45</v>
      </c>
      <c r="C887" s="20"/>
      <c r="D887" s="18" t="str">
        <f>"&lt;" &amp; A887 &amp; "&gt;" &amp; TEXT(B887,0) &amp; "&lt;/" &amp; A887 &amp; "&gt;"</f>
        <v>&lt;Num_Pnts&gt;45&lt;/Num_Pnts&gt;</v>
      </c>
      <c r="E887" s="174" t="str">
        <f t="shared" si="39"/>
        <v>Yes</v>
      </c>
      <c r="F887" s="6" t="s">
        <v>777</v>
      </c>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row>
    <row r="888" spans="1:108" ht="12.75" hidden="1" customHeight="1" outlineLevel="5">
      <c r="A888" s="104" t="s">
        <v>190</v>
      </c>
      <c r="B888" s="36">
        <f>l_cock.F/l_F</f>
        <v>7.1899441340782119E-2</v>
      </c>
      <c r="C888" s="20"/>
      <c r="D888" s="18" t="str">
        <f t="shared" ref="D888:D897" si="44">"&lt;" &amp; A888 &amp; "&gt;" &amp; TEXT(B888,"0.000000") &amp; "&lt;/" &amp; A888 &amp; "&gt;"</f>
        <v>&lt;Spine_Location&gt;0.071899&lt;/Spine_Location&gt;</v>
      </c>
      <c r="E888" s="174" t="str">
        <f t="shared" si="39"/>
        <v>Yes</v>
      </c>
      <c r="F888" s="6" t="s">
        <v>822</v>
      </c>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row>
    <row r="889" spans="1:108" ht="12.75" hidden="1" customHeight="1" outlineLevel="5">
      <c r="A889" s="104" t="s">
        <v>191</v>
      </c>
      <c r="B889" s="108">
        <v>-0.2268</v>
      </c>
      <c r="C889" s="20"/>
      <c r="D889" s="18" t="str">
        <f t="shared" si="44"/>
        <v>&lt;Z_Offset&gt;-0.226800&lt;/Z_Offset&gt;</v>
      </c>
      <c r="E889" s="174" t="str">
        <f t="shared" ref="E889:E952" si="45">IF(D889=F889,"Yes","No")</f>
        <v>Yes</v>
      </c>
      <c r="F889" s="6" t="s">
        <v>823</v>
      </c>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row>
    <row r="890" spans="1:108" ht="12.75" hidden="1" customHeight="1" outlineLevel="5">
      <c r="A890" s="104" t="s">
        <v>192</v>
      </c>
      <c r="B890" s="108">
        <v>0.5</v>
      </c>
      <c r="C890" s="20"/>
      <c r="D890" s="18" t="str">
        <f t="shared" si="44"/>
        <v>&lt;Top_Thick&gt;0.500000&lt;/Top_Thick&gt;</v>
      </c>
      <c r="E890" s="174" t="str">
        <f t="shared" si="45"/>
        <v>Yes</v>
      </c>
      <c r="F890" s="6" t="s">
        <v>780</v>
      </c>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row>
    <row r="891" spans="1:108" ht="12.75" hidden="1" customHeight="1" outlineLevel="5">
      <c r="A891" s="104" t="s">
        <v>193</v>
      </c>
      <c r="B891" s="108">
        <v>0.5</v>
      </c>
      <c r="C891" s="20"/>
      <c r="D891" s="18" t="str">
        <f t="shared" si="44"/>
        <v>&lt;Bot_Thick&gt;0.500000&lt;/Bot_Thick&gt;</v>
      </c>
      <c r="E891" s="174" t="str">
        <f t="shared" si="45"/>
        <v>Yes</v>
      </c>
      <c r="F891" s="6" t="s">
        <v>781</v>
      </c>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row>
    <row r="892" spans="1:108" ht="12.75" hidden="1" customHeight="1" outlineLevel="5">
      <c r="A892" s="104" t="s">
        <v>194</v>
      </c>
      <c r="B892" s="108">
        <v>0.5</v>
      </c>
      <c r="C892" s="20"/>
      <c r="D892" s="18" t="str">
        <f t="shared" si="44"/>
        <v>&lt;Side_Thick&gt;0.500000&lt;/Side_Thick&gt;</v>
      </c>
      <c r="E892" s="174" t="str">
        <f t="shared" si="45"/>
        <v>Yes</v>
      </c>
      <c r="F892" s="6" t="s">
        <v>782</v>
      </c>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row>
    <row r="893" spans="1:108" ht="12.75" hidden="1" customHeight="1" outlineLevel="5">
      <c r="A893" s="104" t="s">
        <v>195</v>
      </c>
      <c r="B893" s="108">
        <v>0.5</v>
      </c>
      <c r="C893" s="20"/>
      <c r="D893" s="18" t="str">
        <f t="shared" si="44"/>
        <v>&lt;Act_Top_Thick&gt;0.500000&lt;/Act_Top_Thick&gt;</v>
      </c>
      <c r="E893" s="174" t="str">
        <f t="shared" si="45"/>
        <v>Yes</v>
      </c>
      <c r="F893" s="6" t="s">
        <v>783</v>
      </c>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row>
    <row r="894" spans="1:108" ht="12.75" hidden="1" customHeight="1" outlineLevel="5">
      <c r="A894" s="104" t="s">
        <v>196</v>
      </c>
      <c r="B894" s="108">
        <v>0.5</v>
      </c>
      <c r="C894" s="20"/>
      <c r="D894" s="18" t="str">
        <f t="shared" si="44"/>
        <v>&lt;Act_Bot_Thick&gt;0.500000&lt;/Act_Bot_Thick&gt;</v>
      </c>
      <c r="E894" s="174" t="str">
        <f t="shared" si="45"/>
        <v>Yes</v>
      </c>
      <c r="F894" s="6" t="s">
        <v>784</v>
      </c>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row>
    <row r="895" spans="1:108" ht="12.75" hidden="1" customHeight="1" outlineLevel="5">
      <c r="A895" s="104" t="s">
        <v>197</v>
      </c>
      <c r="B895" s="108">
        <v>0.5</v>
      </c>
      <c r="C895" s="20"/>
      <c r="D895" s="18" t="str">
        <f t="shared" si="44"/>
        <v>&lt;Act_Side_Thick&gt;0.500000&lt;/Act_Side_Thick&gt;</v>
      </c>
      <c r="E895" s="174" t="str">
        <f t="shared" si="45"/>
        <v>Yes</v>
      </c>
      <c r="F895" s="6" t="s">
        <v>785</v>
      </c>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row>
    <row r="896" spans="1:108" ht="12.75" hidden="1" customHeight="1" outlineLevel="5">
      <c r="A896" s="104" t="s">
        <v>198</v>
      </c>
      <c r="B896" s="108">
        <v>0</v>
      </c>
      <c r="C896" s="20"/>
      <c r="D896" s="18" t="str">
        <f t="shared" si="44"/>
        <v>&lt;IML_X_Offset&gt;0.000000&lt;/IML_X_Offset&gt;</v>
      </c>
      <c r="E896" s="174" t="str">
        <f t="shared" si="45"/>
        <v>Yes</v>
      </c>
      <c r="F896" s="6" t="s">
        <v>786</v>
      </c>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row>
    <row r="897" spans="1:108" ht="12.75" hidden="1" customHeight="1" outlineLevel="5">
      <c r="A897" s="104" t="s">
        <v>199</v>
      </c>
      <c r="B897" s="108">
        <v>0</v>
      </c>
      <c r="C897" s="20"/>
      <c r="D897" s="18" t="str">
        <f t="shared" si="44"/>
        <v>&lt;IML_Z_Offset&gt;0.000000&lt;/IML_Z_Offset&gt;</v>
      </c>
      <c r="E897" s="174" t="str">
        <f t="shared" si="45"/>
        <v>Yes</v>
      </c>
      <c r="F897" s="6" t="s">
        <v>787</v>
      </c>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row>
    <row r="898" spans="1:108" ht="12.75" hidden="1" customHeight="1" outlineLevel="5">
      <c r="A898" s="104" t="s">
        <v>200</v>
      </c>
      <c r="B898" s="108">
        <v>0</v>
      </c>
      <c r="C898" s="20"/>
      <c r="D898" s="18" t="str">
        <f>"&lt;" &amp; A898 &amp; "&gt;" &amp; TEXT(B898,0) &amp; "&lt;/" &amp; A898 &amp; "&gt;"</f>
        <v>&lt;ML_Type&gt;0&lt;/ML_Type&gt;</v>
      </c>
      <c r="E898" s="174" t="str">
        <f t="shared" si="45"/>
        <v>Yes</v>
      </c>
      <c r="F898" s="6" t="s">
        <v>788</v>
      </c>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row>
    <row r="899" spans="1:108" ht="12.75" hidden="1" customHeight="1" outlineLevel="5">
      <c r="A899" s="104" t="s">
        <v>182</v>
      </c>
      <c r="B899" s="108">
        <v>0</v>
      </c>
      <c r="C899" s="20"/>
      <c r="D899" s="18" t="str">
        <f>"&lt;" &amp; A899 &amp; "&gt;" &amp; TEXT(B899,0) &amp; "&lt;/" &amp; A899 &amp; "&gt;"</f>
        <v>&lt;IML_Flag&gt;0&lt;/IML_Flag&gt;</v>
      </c>
      <c r="E899" s="174" t="str">
        <f t="shared" si="45"/>
        <v>Yes</v>
      </c>
      <c r="F899" s="6" t="s">
        <v>770</v>
      </c>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row>
    <row r="900" spans="1:108" ht="12.75" hidden="1" customHeight="1" outlineLevel="5">
      <c r="A900" s="104" t="s">
        <v>201</v>
      </c>
      <c r="B900" s="108">
        <v>0.25</v>
      </c>
      <c r="C900" s="20"/>
      <c r="D900" s="18" t="str">
        <f>"&lt;" &amp; A900 &amp; "&gt;" &amp; TEXT(B900,"0.000000") &amp; "&lt;/" &amp; A900 &amp; "&gt;"</f>
        <v>&lt;Profile_Tan_Str_1&gt;0.250000&lt;/Profile_Tan_Str_1&gt;</v>
      </c>
      <c r="E900" s="174" t="str">
        <f t="shared" si="45"/>
        <v>Yes</v>
      </c>
      <c r="F900" s="6" t="s">
        <v>789</v>
      </c>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row>
    <row r="901" spans="1:108" ht="12.75" hidden="1" customHeight="1" outlineLevel="5">
      <c r="A901" s="104" t="s">
        <v>202</v>
      </c>
      <c r="B901" s="108">
        <v>0.25</v>
      </c>
      <c r="C901" s="20"/>
      <c r="D901" s="18" t="str">
        <f>"&lt;" &amp; A901 &amp; "&gt;" &amp; TEXT(B901,"0.000000") &amp; "&lt;/" &amp; A901 &amp; "&gt;"</f>
        <v>&lt;Profile_Tan_Str_2&gt;0.250000&lt;/Profile_Tan_Str_2&gt;</v>
      </c>
      <c r="E901" s="174" t="str">
        <f t="shared" si="45"/>
        <v>Yes</v>
      </c>
      <c r="F901" s="6" t="s">
        <v>790</v>
      </c>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row>
    <row r="902" spans="1:108" ht="12.75" hidden="1" customHeight="1" outlineLevel="5">
      <c r="A902" s="104" t="s">
        <v>203</v>
      </c>
      <c r="B902" s="108">
        <v>0</v>
      </c>
      <c r="C902" s="20"/>
      <c r="D902" s="18" t="str">
        <f>"&lt;" &amp; A902 &amp; "&gt;" &amp; TEXT(B902,"0.000000") &amp; "&lt;/" &amp; A902 &amp; "&gt;"</f>
        <v>&lt;Profile_Tan_Ang&gt;0.000000&lt;/Profile_Tan_Ang&gt;</v>
      </c>
      <c r="E902" s="174" t="str">
        <f t="shared" si="45"/>
        <v>Yes</v>
      </c>
      <c r="F902" s="6" t="s">
        <v>791</v>
      </c>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row>
    <row r="903" spans="1:108" ht="12.75" hidden="1" customHeight="1" outlineLevel="5">
      <c r="A903" s="104" t="s">
        <v>204</v>
      </c>
      <c r="B903" s="108">
        <v>0</v>
      </c>
      <c r="C903" s="20"/>
      <c r="D903" s="18" t="str">
        <f>"&lt;" &amp; A903 &amp; "&gt;" &amp; TEXT(B903,0) &amp; "&lt;/" &amp; A903 &amp; "&gt;"</f>
        <v>&lt;Num_Sect_Interp_1&gt;0&lt;/Num_Sect_Interp_1&gt;</v>
      </c>
      <c r="E903" s="174" t="str">
        <f t="shared" si="45"/>
        <v>Yes</v>
      </c>
      <c r="F903" s="6" t="s">
        <v>792</v>
      </c>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row>
    <row r="904" spans="1:108" ht="12.75" hidden="1" customHeight="1" outlineLevel="5">
      <c r="A904" s="104" t="s">
        <v>205</v>
      </c>
      <c r="B904" s="108">
        <v>0</v>
      </c>
      <c r="C904" s="20"/>
      <c r="D904" s="18" t="str">
        <f>"&lt;" &amp; A904 &amp; "&gt;" &amp; TEXT(B904,0) &amp; "&lt;/" &amp; A904 &amp; "&gt;"</f>
        <v>&lt;Num_Sect_Interp_2&gt;0&lt;/Num_Sect_Interp_2&gt;</v>
      </c>
      <c r="E904" s="174" t="str">
        <f t="shared" si="45"/>
        <v>Yes</v>
      </c>
      <c r="F904" s="6" t="s">
        <v>815</v>
      </c>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row>
    <row r="905" spans="1:108" ht="12.75" hidden="1" customHeight="1" outlineLevel="5">
      <c r="A905" s="104" t="s">
        <v>206</v>
      </c>
      <c r="C905" s="20"/>
      <c r="D905" s="6" t="str">
        <f>"&lt;" &amp; A905 &amp; "&gt;"</f>
        <v>&lt;OML_Parms&gt;</v>
      </c>
      <c r="E905" s="174" t="str">
        <f t="shared" si="45"/>
        <v>Yes</v>
      </c>
      <c r="F905" s="6" t="s">
        <v>794</v>
      </c>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row>
    <row r="906" spans="1:108" ht="12.75" hidden="1" customHeight="1" outlineLevel="6">
      <c r="A906" s="104" t="s">
        <v>14</v>
      </c>
      <c r="B906" s="6">
        <v>1</v>
      </c>
      <c r="C906" s="20"/>
      <c r="D906" s="18" t="str">
        <f>"&lt;" &amp; A906 &amp; "&gt;" &amp; TEXT(B906,0) &amp; "&lt;/" &amp; A906 &amp; "&gt;"</f>
        <v>&lt;Type&gt;1&lt;/Type&gt;</v>
      </c>
      <c r="E906" s="174" t="str">
        <f t="shared" si="45"/>
        <v>Yes</v>
      </c>
      <c r="F906" s="6" t="s">
        <v>679</v>
      </c>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row>
    <row r="907" spans="1:108" ht="12.75" hidden="1" customHeight="1" outlineLevel="6">
      <c r="A907" s="104" t="s">
        <v>15</v>
      </c>
      <c r="B907" s="35">
        <f>0.796*$B$999</f>
        <v>3.1521600000000003</v>
      </c>
      <c r="C907" s="20"/>
      <c r="D907" s="18" t="str">
        <f t="shared" ref="D907:D916" si="46">"&lt;" &amp; A907 &amp; "&gt;" &amp; TEXT(B907,"0.000000") &amp; "&lt;/" &amp; A907 &amp; "&gt;"</f>
        <v>&lt;Height&gt;3.152160&lt;/Height&gt;</v>
      </c>
      <c r="E907" s="174" t="str">
        <f t="shared" si="45"/>
        <v>Yes</v>
      </c>
      <c r="F907" s="6" t="s">
        <v>824</v>
      </c>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row>
    <row r="908" spans="1:108" ht="12.75" hidden="1" customHeight="1" outlineLevel="6">
      <c r="A908" s="104" t="s">
        <v>16</v>
      </c>
      <c r="B908" s="35">
        <f>B907</f>
        <v>3.1521600000000003</v>
      </c>
      <c r="C908" s="20"/>
      <c r="D908" s="18" t="str">
        <f t="shared" si="46"/>
        <v>&lt;Width&gt;3.152160&lt;/Width&gt;</v>
      </c>
      <c r="E908" s="174" t="str">
        <f t="shared" si="45"/>
        <v>Yes</v>
      </c>
      <c r="F908" s="6" t="s">
        <v>825</v>
      </c>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row>
    <row r="909" spans="1:108" ht="12.75" hidden="1" customHeight="1" outlineLevel="6">
      <c r="A909" s="104" t="s">
        <v>207</v>
      </c>
      <c r="B909" s="6">
        <v>0</v>
      </c>
      <c r="C909" s="20"/>
      <c r="D909" s="18" t="str">
        <f t="shared" si="46"/>
        <v>&lt;Max_Width_Location&gt;0.000000&lt;/Max_Width_Location&gt;</v>
      </c>
      <c r="E909" s="174" t="str">
        <f t="shared" si="45"/>
        <v>Yes</v>
      </c>
      <c r="F909" s="6" t="s">
        <v>797</v>
      </c>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row>
    <row r="910" spans="1:108" ht="12.75" hidden="1" customHeight="1" outlineLevel="6">
      <c r="A910" s="104" t="s">
        <v>208</v>
      </c>
      <c r="B910" s="6">
        <v>0.5</v>
      </c>
      <c r="C910" s="20"/>
      <c r="D910" s="18" t="str">
        <f t="shared" si="46"/>
        <v>&lt;Corner_Radius&gt;0.500000&lt;/Corner_Radius&gt;</v>
      </c>
      <c r="E910" s="174" t="str">
        <f t="shared" si="45"/>
        <v>Yes</v>
      </c>
      <c r="F910" s="6" t="s">
        <v>798</v>
      </c>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row>
    <row r="911" spans="1:108" ht="12.75" hidden="1" customHeight="1" outlineLevel="6">
      <c r="A911" s="104" t="s">
        <v>209</v>
      </c>
      <c r="B911" s="6">
        <v>90</v>
      </c>
      <c r="C911" s="20"/>
      <c r="D911" s="18" t="str">
        <f t="shared" si="46"/>
        <v>&lt;Top_Tan_Angle&gt;90.000000&lt;/Top_Tan_Angle&gt;</v>
      </c>
      <c r="E911" s="174" t="str">
        <f t="shared" si="45"/>
        <v>Yes</v>
      </c>
      <c r="F911" s="6" t="s">
        <v>799</v>
      </c>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row>
    <row r="912" spans="1:108" ht="12.75" hidden="1" customHeight="1" outlineLevel="6">
      <c r="A912" s="104" t="s">
        <v>210</v>
      </c>
      <c r="B912" s="6">
        <v>90</v>
      </c>
      <c r="C912" s="20"/>
      <c r="D912" s="18" t="str">
        <f t="shared" si="46"/>
        <v>&lt;Bot_Tan_Angle&gt;90.000000&lt;/Bot_Tan_Angle&gt;</v>
      </c>
      <c r="E912" s="174" t="str">
        <f t="shared" si="45"/>
        <v>Yes</v>
      </c>
      <c r="F912" s="6" t="s">
        <v>800</v>
      </c>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row>
    <row r="913" spans="1:108" ht="12.75" hidden="1" customHeight="1" outlineLevel="6">
      <c r="A913" s="104" t="s">
        <v>211</v>
      </c>
      <c r="B913" s="6">
        <v>0.83</v>
      </c>
      <c r="C913" s="20"/>
      <c r="D913" s="18" t="str">
        <f t="shared" si="46"/>
        <v>&lt;Top_Tan_Strength&gt;0.830000&lt;/Top_Tan_Strength&gt;</v>
      </c>
      <c r="E913" s="174" t="str">
        <f t="shared" si="45"/>
        <v>Yes</v>
      </c>
      <c r="F913" s="6" t="s">
        <v>801</v>
      </c>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row>
    <row r="914" spans="1:108" ht="12.75" hidden="1" customHeight="1" outlineLevel="6">
      <c r="A914" s="104" t="s">
        <v>212</v>
      </c>
      <c r="B914" s="6">
        <v>0.83</v>
      </c>
      <c r="C914" s="20"/>
      <c r="D914" s="18" t="str">
        <f t="shared" si="46"/>
        <v>&lt;Upper_Tan_Strength&gt;0.830000&lt;/Upper_Tan_Strength&gt;</v>
      </c>
      <c r="E914" s="174" t="str">
        <f t="shared" si="45"/>
        <v>Yes</v>
      </c>
      <c r="F914" s="6" t="s">
        <v>802</v>
      </c>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row>
    <row r="915" spans="1:108" ht="12.75" hidden="1" customHeight="1" outlineLevel="6">
      <c r="A915" s="104" t="s">
        <v>213</v>
      </c>
      <c r="B915" s="6">
        <v>0.83</v>
      </c>
      <c r="C915" s="20"/>
      <c r="D915" s="18" t="str">
        <f t="shared" si="46"/>
        <v>&lt;Lower_Tan_Strength&gt;0.830000&lt;/Lower_Tan_Strength&gt;</v>
      </c>
      <c r="E915" s="174" t="str">
        <f t="shared" si="45"/>
        <v>Yes</v>
      </c>
      <c r="F915" s="6" t="s">
        <v>803</v>
      </c>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row>
    <row r="916" spans="1:108" ht="12.75" hidden="1" customHeight="1" outlineLevel="6">
      <c r="A916" s="104" t="s">
        <v>214</v>
      </c>
      <c r="B916" s="6">
        <v>0.83</v>
      </c>
      <c r="C916" s="20"/>
      <c r="D916" s="18" t="str">
        <f t="shared" si="46"/>
        <v>&lt;Bottom_Tan_Strength&gt;0.830000&lt;/Bottom_Tan_Strength&gt;</v>
      </c>
      <c r="E916" s="174" t="str">
        <f t="shared" si="45"/>
        <v>Yes</v>
      </c>
      <c r="F916" s="6" t="s">
        <v>804</v>
      </c>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row>
    <row r="917" spans="1:108" ht="12.75" hidden="1" customHeight="1" outlineLevel="6">
      <c r="A917" s="104" t="s">
        <v>215</v>
      </c>
      <c r="C917" s="20"/>
      <c r="D917" s="6" t="str">
        <f>"&lt;" &amp; A917 &amp; "&gt;"</f>
        <v>&lt;/OML_Parms&gt;</v>
      </c>
      <c r="E917" s="174" t="str">
        <f t="shared" si="45"/>
        <v>Yes</v>
      </c>
      <c r="F917" s="6" t="s">
        <v>805</v>
      </c>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row>
    <row r="918" spans="1:108" ht="12.75" hidden="1" customHeight="1" outlineLevel="5">
      <c r="A918" s="104" t="s">
        <v>216</v>
      </c>
      <c r="C918" s="20"/>
      <c r="D918" s="6" t="str">
        <f>"&lt;" &amp; A918 &amp; "&gt;"</f>
        <v>&lt;IML_Parms&gt;</v>
      </c>
      <c r="E918" s="174" t="str">
        <f t="shared" si="45"/>
        <v>Yes</v>
      </c>
      <c r="F918" s="6" t="s">
        <v>806</v>
      </c>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row>
    <row r="919" spans="1:108" ht="12.75" hidden="1" customHeight="1" outlineLevel="6">
      <c r="A919" s="104" t="s">
        <v>14</v>
      </c>
      <c r="B919" s="6">
        <v>2</v>
      </c>
      <c r="C919" s="20"/>
      <c r="D919" s="18" t="str">
        <f>"&lt;" &amp; A919 &amp; "&gt;" &amp; TEXT(B919,0) &amp; "&lt;/" &amp; A919 &amp; "&gt;"</f>
        <v>&lt;Type&gt;2&lt;/Type&gt;</v>
      </c>
      <c r="E919" s="174" t="str">
        <f t="shared" si="45"/>
        <v>Yes</v>
      </c>
      <c r="F919" s="6" t="s">
        <v>807</v>
      </c>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row>
    <row r="920" spans="1:108" ht="12.75" hidden="1" customHeight="1" outlineLevel="6">
      <c r="A920" s="104" t="s">
        <v>15</v>
      </c>
      <c r="B920" s="6">
        <v>3</v>
      </c>
      <c r="C920" s="20"/>
      <c r="D920" s="18" t="str">
        <f t="shared" ref="D920:D929" si="47">"&lt;" &amp; A920 &amp; "&gt;" &amp; TEXT(B920,"0.000000") &amp; "&lt;/" &amp; A920 &amp; "&gt;"</f>
        <v>&lt;Height&gt;3.000000&lt;/Height&gt;</v>
      </c>
      <c r="E920" s="174" t="str">
        <f t="shared" si="45"/>
        <v>Yes</v>
      </c>
      <c r="F920" s="6" t="s">
        <v>808</v>
      </c>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row>
    <row r="921" spans="1:108" ht="12.75" hidden="1" customHeight="1" outlineLevel="6">
      <c r="A921" s="104" t="s">
        <v>16</v>
      </c>
      <c r="B921" s="6">
        <v>2.5</v>
      </c>
      <c r="C921" s="20"/>
      <c r="D921" s="18" t="str">
        <f t="shared" si="47"/>
        <v>&lt;Width&gt;2.500000&lt;/Width&gt;</v>
      </c>
      <c r="E921" s="174" t="str">
        <f t="shared" si="45"/>
        <v>Yes</v>
      </c>
      <c r="F921" s="6" t="s">
        <v>809</v>
      </c>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row>
    <row r="922" spans="1:108" ht="12.75" hidden="1" customHeight="1" outlineLevel="6">
      <c r="A922" s="104" t="s">
        <v>207</v>
      </c>
      <c r="B922" s="6">
        <v>0</v>
      </c>
      <c r="C922" s="20"/>
      <c r="D922" s="18" t="str">
        <f t="shared" si="47"/>
        <v>&lt;Max_Width_Location&gt;0.000000&lt;/Max_Width_Location&gt;</v>
      </c>
      <c r="E922" s="174" t="str">
        <f t="shared" si="45"/>
        <v>Yes</v>
      </c>
      <c r="F922" s="6" t="s">
        <v>797</v>
      </c>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row>
    <row r="923" spans="1:108" ht="12.75" hidden="1" customHeight="1" outlineLevel="6">
      <c r="A923" s="104" t="s">
        <v>208</v>
      </c>
      <c r="B923" s="6">
        <v>0.5</v>
      </c>
      <c r="C923" s="20"/>
      <c r="D923" s="18" t="str">
        <f t="shared" si="47"/>
        <v>&lt;Corner_Radius&gt;0.500000&lt;/Corner_Radius&gt;</v>
      </c>
      <c r="E923" s="174" t="str">
        <f t="shared" si="45"/>
        <v>Yes</v>
      </c>
      <c r="F923" s="6" t="s">
        <v>798</v>
      </c>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row>
    <row r="924" spans="1:108" ht="12.75" hidden="1" customHeight="1" outlineLevel="6">
      <c r="A924" s="104" t="s">
        <v>209</v>
      </c>
      <c r="B924" s="6">
        <v>90</v>
      </c>
      <c r="C924" s="20"/>
      <c r="D924" s="18" t="str">
        <f t="shared" si="47"/>
        <v>&lt;Top_Tan_Angle&gt;90.000000&lt;/Top_Tan_Angle&gt;</v>
      </c>
      <c r="E924" s="174" t="str">
        <f t="shared" si="45"/>
        <v>Yes</v>
      </c>
      <c r="F924" s="6" t="s">
        <v>799</v>
      </c>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row>
    <row r="925" spans="1:108" ht="12.75" hidden="1" customHeight="1" outlineLevel="6">
      <c r="A925" s="104" t="s">
        <v>210</v>
      </c>
      <c r="B925" s="6">
        <v>90</v>
      </c>
      <c r="C925" s="20"/>
      <c r="D925" s="18" t="str">
        <f t="shared" si="47"/>
        <v>&lt;Bot_Tan_Angle&gt;90.000000&lt;/Bot_Tan_Angle&gt;</v>
      </c>
      <c r="E925" s="174" t="str">
        <f t="shared" si="45"/>
        <v>Yes</v>
      </c>
      <c r="F925" s="6" t="s">
        <v>800</v>
      </c>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row>
    <row r="926" spans="1:108" ht="12.75" hidden="1" customHeight="1" outlineLevel="6">
      <c r="A926" s="104" t="s">
        <v>211</v>
      </c>
      <c r="B926" s="6">
        <v>0.83</v>
      </c>
      <c r="C926" s="20"/>
      <c r="D926" s="18" t="str">
        <f t="shared" si="47"/>
        <v>&lt;Top_Tan_Strength&gt;0.830000&lt;/Top_Tan_Strength&gt;</v>
      </c>
      <c r="E926" s="174" t="str">
        <f t="shared" si="45"/>
        <v>Yes</v>
      </c>
      <c r="F926" s="6" t="s">
        <v>801</v>
      </c>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row>
    <row r="927" spans="1:108" ht="12.75" hidden="1" customHeight="1" outlineLevel="6">
      <c r="A927" s="104" t="s">
        <v>212</v>
      </c>
      <c r="B927" s="6">
        <v>0.83</v>
      </c>
      <c r="C927" s="20"/>
      <c r="D927" s="18" t="str">
        <f t="shared" si="47"/>
        <v>&lt;Upper_Tan_Strength&gt;0.830000&lt;/Upper_Tan_Strength&gt;</v>
      </c>
      <c r="E927" s="174" t="str">
        <f t="shared" si="45"/>
        <v>Yes</v>
      </c>
      <c r="F927" s="6" t="s">
        <v>802</v>
      </c>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row>
    <row r="928" spans="1:108" ht="12.75" hidden="1" customHeight="1" outlineLevel="6">
      <c r="A928" s="104" t="s">
        <v>213</v>
      </c>
      <c r="B928" s="6">
        <v>0.83</v>
      </c>
      <c r="C928" s="20"/>
      <c r="D928" s="18" t="str">
        <f t="shared" si="47"/>
        <v>&lt;Lower_Tan_Strength&gt;0.830000&lt;/Lower_Tan_Strength&gt;</v>
      </c>
      <c r="E928" s="174" t="str">
        <f t="shared" si="45"/>
        <v>Yes</v>
      </c>
      <c r="F928" s="6" t="s">
        <v>803</v>
      </c>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row>
    <row r="929" spans="1:108" ht="12.75" hidden="1" customHeight="1" outlineLevel="6">
      <c r="A929" s="104" t="s">
        <v>214</v>
      </c>
      <c r="B929" s="6">
        <v>0.83</v>
      </c>
      <c r="C929" s="20"/>
      <c r="D929" s="18" t="str">
        <f t="shared" si="47"/>
        <v>&lt;Bottom_Tan_Strength&gt;0.830000&lt;/Bottom_Tan_Strength&gt;</v>
      </c>
      <c r="E929" s="174" t="str">
        <f t="shared" si="45"/>
        <v>Yes</v>
      </c>
      <c r="F929" s="6" t="s">
        <v>804</v>
      </c>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row>
    <row r="930" spans="1:108" ht="12.75" hidden="1" customHeight="1" outlineLevel="6">
      <c r="A930" s="104" t="s">
        <v>217</v>
      </c>
      <c r="C930" s="20"/>
      <c r="D930" s="6" t="str">
        <f>"&lt;" &amp; A930 &amp; "&gt;"</f>
        <v>&lt;/IML_Parms&gt;</v>
      </c>
      <c r="E930" s="174" t="str">
        <f t="shared" si="45"/>
        <v>Yes</v>
      </c>
      <c r="F930" s="6" t="s">
        <v>810</v>
      </c>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row>
    <row r="931" spans="1:108" ht="12.75" hidden="1" customHeight="1" outlineLevel="5">
      <c r="A931" s="104" t="s">
        <v>218</v>
      </c>
      <c r="C931" s="20"/>
      <c r="D931" s="6" t="str">
        <f>"&lt;" &amp; A931 &amp; "&gt;"</f>
        <v>&lt;/Cross_Section&gt;</v>
      </c>
      <c r="E931" s="174" t="str">
        <f t="shared" si="45"/>
        <v>Yes</v>
      </c>
      <c r="F931" s="6" t="s">
        <v>811</v>
      </c>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row>
    <row r="932" spans="1:108" ht="12.75" hidden="1" customHeight="1" outlineLevel="4">
      <c r="A932" s="104" t="s">
        <v>188</v>
      </c>
      <c r="B932" s="99" t="s">
        <v>393</v>
      </c>
      <c r="C932" s="20"/>
      <c r="D932" s="6" t="str">
        <f>"&lt;" &amp; A932 &amp; "&gt;"</f>
        <v>&lt;Cross_Section&gt;</v>
      </c>
      <c r="E932" s="174" t="str">
        <f t="shared" si="45"/>
        <v>Yes</v>
      </c>
      <c r="F932" s="6" t="s">
        <v>776</v>
      </c>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row>
    <row r="933" spans="1:108" ht="12.75" hidden="1" customHeight="1" outlineLevel="5">
      <c r="A933" s="104" t="s">
        <v>189</v>
      </c>
      <c r="B933" s="108">
        <v>45</v>
      </c>
      <c r="C933" s="20"/>
      <c r="D933" s="18" t="str">
        <f>"&lt;" &amp; A933 &amp; "&gt;" &amp; TEXT(B933,0) &amp; "&lt;/" &amp; A933 &amp; "&gt;"</f>
        <v>&lt;Num_Pnts&gt;45&lt;/Num_Pnts&gt;</v>
      </c>
      <c r="E933" s="174" t="str">
        <f t="shared" si="45"/>
        <v>Yes</v>
      </c>
      <c r="F933" s="6" t="s">
        <v>777</v>
      </c>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row>
    <row r="934" spans="1:108" ht="12.75" hidden="1" customHeight="1" outlineLevel="5">
      <c r="A934" s="104" t="s">
        <v>190</v>
      </c>
      <c r="B934" s="36">
        <f>0.62*$B$980</f>
        <v>0.10742679593296109</v>
      </c>
      <c r="C934" s="20"/>
      <c r="D934" s="18" t="str">
        <f t="shared" ref="D934:D943" si="48">"&lt;" &amp; A934 &amp; "&gt;" &amp; TEXT(B934,"0.000000") &amp; "&lt;/" &amp; A934 &amp; "&gt;"</f>
        <v>&lt;Spine_Location&gt;0.107427&lt;/Spine_Location&gt;</v>
      </c>
      <c r="E934" s="174" t="str">
        <f t="shared" si="45"/>
        <v>Yes</v>
      </c>
      <c r="F934" s="6" t="s">
        <v>999</v>
      </c>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row>
    <row r="935" spans="1:108" ht="12.75" hidden="1" customHeight="1" outlineLevel="5">
      <c r="A935" s="104" t="s">
        <v>191</v>
      </c>
      <c r="B935" s="108">
        <v>-7.6499999999999999E-2</v>
      </c>
      <c r="C935" s="20"/>
      <c r="D935" s="18" t="str">
        <f t="shared" si="48"/>
        <v>&lt;Z_Offset&gt;-0.076500&lt;/Z_Offset&gt;</v>
      </c>
      <c r="E935" s="174" t="str">
        <f t="shared" si="45"/>
        <v>Yes</v>
      </c>
      <c r="F935" s="6" t="s">
        <v>826</v>
      </c>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row>
    <row r="936" spans="1:108" ht="12.75" hidden="1" customHeight="1" outlineLevel="5">
      <c r="A936" s="104" t="s">
        <v>192</v>
      </c>
      <c r="B936" s="108">
        <v>0.5</v>
      </c>
      <c r="C936" s="20"/>
      <c r="D936" s="18" t="str">
        <f t="shared" si="48"/>
        <v>&lt;Top_Thick&gt;0.500000&lt;/Top_Thick&gt;</v>
      </c>
      <c r="E936" s="174" t="str">
        <f t="shared" si="45"/>
        <v>Yes</v>
      </c>
      <c r="F936" s="6" t="s">
        <v>780</v>
      </c>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row>
    <row r="937" spans="1:108" ht="12.75" hidden="1" customHeight="1" outlineLevel="5">
      <c r="A937" s="104" t="s">
        <v>193</v>
      </c>
      <c r="B937" s="108">
        <v>0.5</v>
      </c>
      <c r="C937" s="20"/>
      <c r="D937" s="18" t="str">
        <f t="shared" si="48"/>
        <v>&lt;Bot_Thick&gt;0.500000&lt;/Bot_Thick&gt;</v>
      </c>
      <c r="E937" s="174" t="str">
        <f t="shared" si="45"/>
        <v>Yes</v>
      </c>
      <c r="F937" s="6" t="s">
        <v>781</v>
      </c>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row>
    <row r="938" spans="1:108" ht="12.75" hidden="1" customHeight="1" outlineLevel="5">
      <c r="A938" s="104" t="s">
        <v>194</v>
      </c>
      <c r="B938" s="108">
        <v>0.5</v>
      </c>
      <c r="C938" s="20"/>
      <c r="D938" s="18" t="str">
        <f t="shared" si="48"/>
        <v>&lt;Side_Thick&gt;0.500000&lt;/Side_Thick&gt;</v>
      </c>
      <c r="E938" s="174" t="str">
        <f t="shared" si="45"/>
        <v>Yes</v>
      </c>
      <c r="F938" s="6" t="s">
        <v>782</v>
      </c>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row>
    <row r="939" spans="1:108" ht="12.75" hidden="1" customHeight="1" outlineLevel="5">
      <c r="A939" s="104" t="s">
        <v>195</v>
      </c>
      <c r="B939" s="108">
        <v>0.5</v>
      </c>
      <c r="C939" s="20"/>
      <c r="D939" s="18" t="str">
        <f t="shared" si="48"/>
        <v>&lt;Act_Top_Thick&gt;0.500000&lt;/Act_Top_Thick&gt;</v>
      </c>
      <c r="E939" s="174" t="str">
        <f t="shared" si="45"/>
        <v>Yes</v>
      </c>
      <c r="F939" s="6" t="s">
        <v>783</v>
      </c>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row>
    <row r="940" spans="1:108" ht="12.75" hidden="1" customHeight="1" outlineLevel="5">
      <c r="A940" s="104" t="s">
        <v>196</v>
      </c>
      <c r="B940" s="108">
        <v>0.5</v>
      </c>
      <c r="C940" s="20"/>
      <c r="D940" s="18" t="str">
        <f t="shared" si="48"/>
        <v>&lt;Act_Bot_Thick&gt;0.500000&lt;/Act_Bot_Thick&gt;</v>
      </c>
      <c r="E940" s="174" t="str">
        <f t="shared" si="45"/>
        <v>Yes</v>
      </c>
      <c r="F940" s="6" t="s">
        <v>784</v>
      </c>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row>
    <row r="941" spans="1:108" ht="12.75" hidden="1" customHeight="1" outlineLevel="5">
      <c r="A941" s="104" t="s">
        <v>197</v>
      </c>
      <c r="B941" s="108">
        <v>0.5</v>
      </c>
      <c r="C941" s="20"/>
      <c r="D941" s="18" t="str">
        <f t="shared" si="48"/>
        <v>&lt;Act_Side_Thick&gt;0.500000&lt;/Act_Side_Thick&gt;</v>
      </c>
      <c r="E941" s="174" t="str">
        <f t="shared" si="45"/>
        <v>Yes</v>
      </c>
      <c r="F941" s="6" t="s">
        <v>785</v>
      </c>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row>
    <row r="942" spans="1:108" ht="12.75" hidden="1" customHeight="1" outlineLevel="5">
      <c r="A942" s="104" t="s">
        <v>198</v>
      </c>
      <c r="B942" s="108">
        <v>0</v>
      </c>
      <c r="C942" s="20"/>
      <c r="D942" s="18" t="str">
        <f t="shared" si="48"/>
        <v>&lt;IML_X_Offset&gt;0.000000&lt;/IML_X_Offset&gt;</v>
      </c>
      <c r="E942" s="174" t="str">
        <f t="shared" si="45"/>
        <v>Yes</v>
      </c>
      <c r="F942" s="6" t="s">
        <v>786</v>
      </c>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row>
    <row r="943" spans="1:108" ht="12.75" hidden="1" customHeight="1" outlineLevel="5">
      <c r="A943" s="104" t="s">
        <v>199</v>
      </c>
      <c r="B943" s="108">
        <v>0</v>
      </c>
      <c r="C943" s="20"/>
      <c r="D943" s="18" t="str">
        <f t="shared" si="48"/>
        <v>&lt;IML_Z_Offset&gt;0.000000&lt;/IML_Z_Offset&gt;</v>
      </c>
      <c r="E943" s="174" t="str">
        <f t="shared" si="45"/>
        <v>Yes</v>
      </c>
      <c r="F943" s="6" t="s">
        <v>787</v>
      </c>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row>
    <row r="944" spans="1:108" ht="12.75" hidden="1" customHeight="1" outlineLevel="5">
      <c r="A944" s="104" t="s">
        <v>200</v>
      </c>
      <c r="B944" s="108">
        <v>0</v>
      </c>
      <c r="C944" s="20"/>
      <c r="D944" s="18" t="str">
        <f>"&lt;" &amp; A944 &amp; "&gt;" &amp; TEXT(B944,0) &amp; "&lt;/" &amp; A944 &amp; "&gt;"</f>
        <v>&lt;ML_Type&gt;0&lt;/ML_Type&gt;</v>
      </c>
      <c r="E944" s="174" t="str">
        <f t="shared" si="45"/>
        <v>Yes</v>
      </c>
      <c r="F944" s="6" t="s">
        <v>788</v>
      </c>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row>
    <row r="945" spans="1:108" ht="12.75" hidden="1" customHeight="1" outlineLevel="5">
      <c r="A945" s="104" t="s">
        <v>182</v>
      </c>
      <c r="B945" s="108">
        <v>0</v>
      </c>
      <c r="C945" s="20"/>
      <c r="D945" s="18" t="str">
        <f>"&lt;" &amp; A945 &amp; "&gt;" &amp; TEXT(B945,0) &amp; "&lt;/" &amp; A945 &amp; "&gt;"</f>
        <v>&lt;IML_Flag&gt;0&lt;/IML_Flag&gt;</v>
      </c>
      <c r="E945" s="174" t="str">
        <f t="shared" si="45"/>
        <v>Yes</v>
      </c>
      <c r="F945" s="6" t="s">
        <v>770</v>
      </c>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row>
    <row r="946" spans="1:108" ht="12.75" hidden="1" customHeight="1" outlineLevel="5">
      <c r="A946" s="104" t="s">
        <v>201</v>
      </c>
      <c r="B946" s="108">
        <v>0.25</v>
      </c>
      <c r="C946" s="20"/>
      <c r="D946" s="18" t="str">
        <f>"&lt;" &amp; A946 &amp; "&gt;" &amp; TEXT(B946,"0.000000") &amp; "&lt;/" &amp; A946 &amp; "&gt;"</f>
        <v>&lt;Profile_Tan_Str_1&gt;0.250000&lt;/Profile_Tan_Str_1&gt;</v>
      </c>
      <c r="E946" s="174" t="str">
        <f t="shared" si="45"/>
        <v>Yes</v>
      </c>
      <c r="F946" s="6" t="s">
        <v>789</v>
      </c>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row>
    <row r="947" spans="1:108" ht="12.75" hidden="1" customHeight="1" outlineLevel="5">
      <c r="A947" s="104" t="s">
        <v>202</v>
      </c>
      <c r="B947" s="108">
        <v>0.25</v>
      </c>
      <c r="C947" s="20"/>
      <c r="D947" s="18" t="str">
        <f>"&lt;" &amp; A947 &amp; "&gt;" &amp; TEXT(B947,"0.000000") &amp; "&lt;/" &amp; A947 &amp; "&gt;"</f>
        <v>&lt;Profile_Tan_Str_2&gt;0.250000&lt;/Profile_Tan_Str_2&gt;</v>
      </c>
      <c r="E947" s="174" t="str">
        <f t="shared" si="45"/>
        <v>Yes</v>
      </c>
      <c r="F947" s="6" t="s">
        <v>790</v>
      </c>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row>
    <row r="948" spans="1:108" ht="12.75" hidden="1" customHeight="1" outlineLevel="5">
      <c r="A948" s="104" t="s">
        <v>203</v>
      </c>
      <c r="B948" s="108">
        <v>0</v>
      </c>
      <c r="C948" s="20"/>
      <c r="D948" s="18" t="str">
        <f>"&lt;" &amp; A948 &amp; "&gt;" &amp; TEXT(B948,"0.000000") &amp; "&lt;/" &amp; A948 &amp; "&gt;"</f>
        <v>&lt;Profile_Tan_Ang&gt;0.000000&lt;/Profile_Tan_Ang&gt;</v>
      </c>
      <c r="E948" s="174" t="str">
        <f t="shared" si="45"/>
        <v>Yes</v>
      </c>
      <c r="F948" s="6" t="s">
        <v>791</v>
      </c>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row>
    <row r="949" spans="1:108" ht="12.75" hidden="1" customHeight="1" outlineLevel="5">
      <c r="A949" s="104" t="s">
        <v>204</v>
      </c>
      <c r="B949" s="108">
        <v>0</v>
      </c>
      <c r="C949" s="20"/>
      <c r="D949" s="18" t="str">
        <f>"&lt;" &amp; A949 &amp; "&gt;" &amp; TEXT(B949,0) &amp; "&lt;/" &amp; A949 &amp; "&gt;"</f>
        <v>&lt;Num_Sect_Interp_1&gt;0&lt;/Num_Sect_Interp_1&gt;</v>
      </c>
      <c r="E949" s="174" t="str">
        <f t="shared" si="45"/>
        <v>Yes</v>
      </c>
      <c r="F949" s="6" t="s">
        <v>792</v>
      </c>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row>
    <row r="950" spans="1:108" ht="12.75" hidden="1" customHeight="1" outlineLevel="5">
      <c r="A950" s="104" t="s">
        <v>205</v>
      </c>
      <c r="B950" s="108">
        <v>0</v>
      </c>
      <c r="C950" s="20"/>
      <c r="D950" s="18" t="str">
        <f>"&lt;" &amp; A950 &amp; "&gt;" &amp; TEXT(B950,0) &amp; "&lt;/" &amp; A950 &amp; "&gt;"</f>
        <v>&lt;Num_Sect_Interp_2&gt;0&lt;/Num_Sect_Interp_2&gt;</v>
      </c>
      <c r="E950" s="174" t="str">
        <f t="shared" si="45"/>
        <v>Yes</v>
      </c>
      <c r="F950" s="6" t="s">
        <v>815</v>
      </c>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row>
    <row r="951" spans="1:108" ht="12.75" hidden="1" customHeight="1" outlineLevel="5">
      <c r="A951" s="104" t="s">
        <v>206</v>
      </c>
      <c r="C951" s="20"/>
      <c r="D951" s="6" t="str">
        <f>"&lt;" &amp; A951 &amp; "&gt;"</f>
        <v>&lt;OML_Parms&gt;</v>
      </c>
      <c r="E951" s="174" t="str">
        <f t="shared" si="45"/>
        <v>Yes</v>
      </c>
      <c r="F951" s="6" t="s">
        <v>794</v>
      </c>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row>
    <row r="952" spans="1:108" ht="12.75" hidden="1" customHeight="1" outlineLevel="6">
      <c r="A952" s="104" t="s">
        <v>14</v>
      </c>
      <c r="B952" s="6">
        <v>1</v>
      </c>
      <c r="C952" s="20"/>
      <c r="D952" s="18" t="str">
        <f>"&lt;" &amp; A952 &amp; "&gt;" &amp; TEXT(B952,0) &amp; "&lt;/" &amp; A952 &amp; "&gt;"</f>
        <v>&lt;Type&gt;1&lt;/Type&gt;</v>
      </c>
      <c r="E952" s="174" t="str">
        <f t="shared" si="45"/>
        <v>Yes</v>
      </c>
      <c r="F952" s="6" t="s">
        <v>679</v>
      </c>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row>
    <row r="953" spans="1:108" ht="12.75" hidden="1" customHeight="1" outlineLevel="6">
      <c r="A953" s="104" t="s">
        <v>15</v>
      </c>
      <c r="B953" s="35">
        <f>0.91*$B$999</f>
        <v>3.6036000000000001</v>
      </c>
      <c r="C953" s="20"/>
      <c r="D953" s="18" t="str">
        <f t="shared" ref="D953:D962" si="49">"&lt;" &amp; A953 &amp; "&gt;" &amp; TEXT(B953,"0.000000") &amp; "&lt;/" &amp; A953 &amp; "&gt;"</f>
        <v>&lt;Height&gt;3.603600&lt;/Height&gt;</v>
      </c>
      <c r="E953" s="174" t="str">
        <f t="shared" ref="E953:E1016" si="50">IF(D953=F953,"Yes","No")</f>
        <v>Yes</v>
      </c>
      <c r="F953" s="6" t="s">
        <v>827</v>
      </c>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row>
    <row r="954" spans="1:108" ht="12.75" hidden="1" customHeight="1" outlineLevel="6">
      <c r="A954" s="104" t="s">
        <v>16</v>
      </c>
      <c r="B954" s="35">
        <f>B953</f>
        <v>3.6036000000000001</v>
      </c>
      <c r="C954" s="20"/>
      <c r="D954" s="18" t="str">
        <f t="shared" si="49"/>
        <v>&lt;Width&gt;3.603600&lt;/Width&gt;</v>
      </c>
      <c r="E954" s="174" t="str">
        <f t="shared" si="50"/>
        <v>Yes</v>
      </c>
      <c r="F954" s="6" t="s">
        <v>828</v>
      </c>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row>
    <row r="955" spans="1:108" ht="12.75" hidden="1" customHeight="1" outlineLevel="6">
      <c r="A955" s="104" t="s">
        <v>207</v>
      </c>
      <c r="B955" s="6">
        <v>0</v>
      </c>
      <c r="C955" s="20"/>
      <c r="D955" s="18" t="str">
        <f t="shared" si="49"/>
        <v>&lt;Max_Width_Location&gt;0.000000&lt;/Max_Width_Location&gt;</v>
      </c>
      <c r="E955" s="174" t="str">
        <f t="shared" si="50"/>
        <v>Yes</v>
      </c>
      <c r="F955" s="6" t="s">
        <v>797</v>
      </c>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row>
    <row r="956" spans="1:108" ht="12.75" hidden="1" customHeight="1" outlineLevel="6">
      <c r="A956" s="104" t="s">
        <v>208</v>
      </c>
      <c r="B956" s="6">
        <v>0.5</v>
      </c>
      <c r="C956" s="20"/>
      <c r="D956" s="18" t="str">
        <f t="shared" si="49"/>
        <v>&lt;Corner_Radius&gt;0.500000&lt;/Corner_Radius&gt;</v>
      </c>
      <c r="E956" s="174" t="str">
        <f t="shared" si="50"/>
        <v>Yes</v>
      </c>
      <c r="F956" s="6" t="s">
        <v>798</v>
      </c>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row>
    <row r="957" spans="1:108" ht="12.75" hidden="1" customHeight="1" outlineLevel="6">
      <c r="A957" s="104" t="s">
        <v>209</v>
      </c>
      <c r="B957" s="6">
        <v>90</v>
      </c>
      <c r="C957" s="20"/>
      <c r="D957" s="18" t="str">
        <f t="shared" si="49"/>
        <v>&lt;Top_Tan_Angle&gt;90.000000&lt;/Top_Tan_Angle&gt;</v>
      </c>
      <c r="E957" s="174" t="str">
        <f t="shared" si="50"/>
        <v>Yes</v>
      </c>
      <c r="F957" s="6" t="s">
        <v>799</v>
      </c>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row>
    <row r="958" spans="1:108" ht="12.75" hidden="1" customHeight="1" outlineLevel="6">
      <c r="A958" s="104" t="s">
        <v>210</v>
      </c>
      <c r="B958" s="6">
        <v>90</v>
      </c>
      <c r="C958" s="20"/>
      <c r="D958" s="18" t="str">
        <f t="shared" si="49"/>
        <v>&lt;Bot_Tan_Angle&gt;90.000000&lt;/Bot_Tan_Angle&gt;</v>
      </c>
      <c r="E958" s="174" t="str">
        <f t="shared" si="50"/>
        <v>Yes</v>
      </c>
      <c r="F958" s="6" t="s">
        <v>800</v>
      </c>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row>
    <row r="959" spans="1:108" ht="12.75" hidden="1" customHeight="1" outlineLevel="6">
      <c r="A959" s="104" t="s">
        <v>211</v>
      </c>
      <c r="B959" s="6">
        <v>0.83</v>
      </c>
      <c r="C959" s="20"/>
      <c r="D959" s="18" t="str">
        <f t="shared" si="49"/>
        <v>&lt;Top_Tan_Strength&gt;0.830000&lt;/Top_Tan_Strength&gt;</v>
      </c>
      <c r="E959" s="174" t="str">
        <f t="shared" si="50"/>
        <v>Yes</v>
      </c>
      <c r="F959" s="6" t="s">
        <v>801</v>
      </c>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row>
    <row r="960" spans="1:108" ht="12.75" hidden="1" customHeight="1" outlineLevel="6">
      <c r="A960" s="104" t="s">
        <v>212</v>
      </c>
      <c r="B960" s="6">
        <v>0.83</v>
      </c>
      <c r="C960" s="20"/>
      <c r="D960" s="18" t="str">
        <f t="shared" si="49"/>
        <v>&lt;Upper_Tan_Strength&gt;0.830000&lt;/Upper_Tan_Strength&gt;</v>
      </c>
      <c r="E960" s="174" t="str">
        <f t="shared" si="50"/>
        <v>Yes</v>
      </c>
      <c r="F960" s="6" t="s">
        <v>802</v>
      </c>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row>
    <row r="961" spans="1:108" ht="12.75" hidden="1" customHeight="1" outlineLevel="6">
      <c r="A961" s="104" t="s">
        <v>213</v>
      </c>
      <c r="B961" s="6">
        <v>0.83</v>
      </c>
      <c r="C961" s="20"/>
      <c r="D961" s="18" t="str">
        <f t="shared" si="49"/>
        <v>&lt;Lower_Tan_Strength&gt;0.830000&lt;/Lower_Tan_Strength&gt;</v>
      </c>
      <c r="E961" s="174" t="str">
        <f t="shared" si="50"/>
        <v>Yes</v>
      </c>
      <c r="F961" s="6" t="s">
        <v>803</v>
      </c>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row>
    <row r="962" spans="1:108" ht="12.75" hidden="1" customHeight="1" outlineLevel="6">
      <c r="A962" s="104" t="s">
        <v>214</v>
      </c>
      <c r="B962" s="6">
        <v>0.83</v>
      </c>
      <c r="C962" s="20"/>
      <c r="D962" s="18" t="str">
        <f t="shared" si="49"/>
        <v>&lt;Bottom_Tan_Strength&gt;0.830000&lt;/Bottom_Tan_Strength&gt;</v>
      </c>
      <c r="E962" s="174" t="str">
        <f t="shared" si="50"/>
        <v>Yes</v>
      </c>
      <c r="F962" s="6" t="s">
        <v>804</v>
      </c>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row>
    <row r="963" spans="1:108" ht="12.75" hidden="1" customHeight="1" outlineLevel="6">
      <c r="A963" s="104" t="s">
        <v>215</v>
      </c>
      <c r="C963" s="20"/>
      <c r="D963" s="6" t="str">
        <f>"&lt;" &amp; A963 &amp; "&gt;"</f>
        <v>&lt;/OML_Parms&gt;</v>
      </c>
      <c r="E963" s="174" t="str">
        <f t="shared" si="50"/>
        <v>Yes</v>
      </c>
      <c r="F963" s="6" t="s">
        <v>805</v>
      </c>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row>
    <row r="964" spans="1:108" ht="12.75" hidden="1" customHeight="1" outlineLevel="5">
      <c r="A964" s="104" t="s">
        <v>216</v>
      </c>
      <c r="C964" s="20"/>
      <c r="D964" s="6" t="str">
        <f>"&lt;" &amp; A964 &amp; "&gt;"</f>
        <v>&lt;IML_Parms&gt;</v>
      </c>
      <c r="E964" s="174" t="str">
        <f t="shared" si="50"/>
        <v>Yes</v>
      </c>
      <c r="F964" s="6" t="s">
        <v>806</v>
      </c>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row>
    <row r="965" spans="1:108" ht="12.75" hidden="1" customHeight="1" outlineLevel="6">
      <c r="A965" s="104" t="s">
        <v>14</v>
      </c>
      <c r="B965" s="6">
        <v>2</v>
      </c>
      <c r="C965" s="20"/>
      <c r="D965" s="18" t="str">
        <f>"&lt;" &amp; A965 &amp; "&gt;" &amp; TEXT(B965,0) &amp; "&lt;/" &amp; A965 &amp; "&gt;"</f>
        <v>&lt;Type&gt;2&lt;/Type&gt;</v>
      </c>
      <c r="E965" s="174" t="str">
        <f t="shared" si="50"/>
        <v>Yes</v>
      </c>
      <c r="F965" s="6" t="s">
        <v>807</v>
      </c>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row>
    <row r="966" spans="1:108" ht="12.75" hidden="1" customHeight="1" outlineLevel="6">
      <c r="A966" s="104" t="s">
        <v>15</v>
      </c>
      <c r="B966" s="6">
        <v>3</v>
      </c>
      <c r="C966" s="20"/>
      <c r="D966" s="18" t="str">
        <f t="shared" ref="D966:D975" si="51">"&lt;" &amp; A966 &amp; "&gt;" &amp; TEXT(B966,"0.000000") &amp; "&lt;/" &amp; A966 &amp; "&gt;"</f>
        <v>&lt;Height&gt;3.000000&lt;/Height&gt;</v>
      </c>
      <c r="E966" s="174" t="str">
        <f t="shared" si="50"/>
        <v>Yes</v>
      </c>
      <c r="F966" s="6" t="s">
        <v>808</v>
      </c>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row>
    <row r="967" spans="1:108" ht="12.75" hidden="1" customHeight="1" outlineLevel="6">
      <c r="A967" s="104" t="s">
        <v>16</v>
      </c>
      <c r="B967" s="6">
        <v>2.5</v>
      </c>
      <c r="C967" s="20"/>
      <c r="D967" s="18" t="str">
        <f t="shared" si="51"/>
        <v>&lt;Width&gt;2.500000&lt;/Width&gt;</v>
      </c>
      <c r="E967" s="174" t="str">
        <f t="shared" si="50"/>
        <v>Yes</v>
      </c>
      <c r="F967" s="6" t="s">
        <v>809</v>
      </c>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row>
    <row r="968" spans="1:108" ht="12.75" hidden="1" customHeight="1" outlineLevel="6">
      <c r="A968" s="104" t="s">
        <v>207</v>
      </c>
      <c r="B968" s="6">
        <v>0</v>
      </c>
      <c r="C968" s="20"/>
      <c r="D968" s="18" t="str">
        <f t="shared" si="51"/>
        <v>&lt;Max_Width_Location&gt;0.000000&lt;/Max_Width_Location&gt;</v>
      </c>
      <c r="E968" s="174" t="str">
        <f t="shared" si="50"/>
        <v>Yes</v>
      </c>
      <c r="F968" s="6" t="s">
        <v>797</v>
      </c>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row>
    <row r="969" spans="1:108" ht="12.75" hidden="1" customHeight="1" outlineLevel="6">
      <c r="A969" s="104" t="s">
        <v>208</v>
      </c>
      <c r="B969" s="6">
        <v>0.5</v>
      </c>
      <c r="C969" s="20"/>
      <c r="D969" s="18" t="str">
        <f t="shared" si="51"/>
        <v>&lt;Corner_Radius&gt;0.500000&lt;/Corner_Radius&gt;</v>
      </c>
      <c r="E969" s="174" t="str">
        <f t="shared" si="50"/>
        <v>Yes</v>
      </c>
      <c r="F969" s="6" t="s">
        <v>798</v>
      </c>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row>
    <row r="970" spans="1:108" ht="12.75" hidden="1" customHeight="1" outlineLevel="6">
      <c r="A970" s="104" t="s">
        <v>209</v>
      </c>
      <c r="B970" s="6">
        <v>90</v>
      </c>
      <c r="C970" s="20"/>
      <c r="D970" s="18" t="str">
        <f t="shared" si="51"/>
        <v>&lt;Top_Tan_Angle&gt;90.000000&lt;/Top_Tan_Angle&gt;</v>
      </c>
      <c r="E970" s="174" t="str">
        <f t="shared" si="50"/>
        <v>Yes</v>
      </c>
      <c r="F970" s="6" t="s">
        <v>799</v>
      </c>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row>
    <row r="971" spans="1:108" ht="12.75" hidden="1" customHeight="1" outlineLevel="6">
      <c r="A971" s="104" t="s">
        <v>210</v>
      </c>
      <c r="B971" s="6">
        <v>90</v>
      </c>
      <c r="C971" s="20"/>
      <c r="D971" s="18" t="str">
        <f t="shared" si="51"/>
        <v>&lt;Bot_Tan_Angle&gt;90.000000&lt;/Bot_Tan_Angle&gt;</v>
      </c>
      <c r="E971" s="174" t="str">
        <f t="shared" si="50"/>
        <v>Yes</v>
      </c>
      <c r="F971" s="6" t="s">
        <v>800</v>
      </c>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row>
    <row r="972" spans="1:108" ht="12.75" hidden="1" customHeight="1" outlineLevel="6">
      <c r="A972" s="104" t="s">
        <v>211</v>
      </c>
      <c r="B972" s="6">
        <v>0.83</v>
      </c>
      <c r="C972" s="20"/>
      <c r="D972" s="18" t="str">
        <f t="shared" si="51"/>
        <v>&lt;Top_Tan_Strength&gt;0.830000&lt;/Top_Tan_Strength&gt;</v>
      </c>
      <c r="E972" s="174" t="str">
        <f t="shared" si="50"/>
        <v>Yes</v>
      </c>
      <c r="F972" s="6" t="s">
        <v>801</v>
      </c>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row>
    <row r="973" spans="1:108" ht="12.75" hidden="1" customHeight="1" outlineLevel="6">
      <c r="A973" s="104" t="s">
        <v>212</v>
      </c>
      <c r="B973" s="6">
        <v>0.83</v>
      </c>
      <c r="C973" s="20"/>
      <c r="D973" s="18" t="str">
        <f t="shared" si="51"/>
        <v>&lt;Upper_Tan_Strength&gt;0.830000&lt;/Upper_Tan_Strength&gt;</v>
      </c>
      <c r="E973" s="174" t="str">
        <f t="shared" si="50"/>
        <v>Yes</v>
      </c>
      <c r="F973" s="6" t="s">
        <v>802</v>
      </c>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row>
    <row r="974" spans="1:108" ht="12.75" hidden="1" customHeight="1" outlineLevel="6">
      <c r="A974" s="104" t="s">
        <v>213</v>
      </c>
      <c r="B974" s="6">
        <v>0.83</v>
      </c>
      <c r="C974" s="20"/>
      <c r="D974" s="18" t="str">
        <f t="shared" si="51"/>
        <v>&lt;Lower_Tan_Strength&gt;0.830000&lt;/Lower_Tan_Strength&gt;</v>
      </c>
      <c r="E974" s="174" t="str">
        <f t="shared" si="50"/>
        <v>Yes</v>
      </c>
      <c r="F974" s="6" t="s">
        <v>803</v>
      </c>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row>
    <row r="975" spans="1:108" ht="12.75" hidden="1" customHeight="1" outlineLevel="6">
      <c r="A975" s="104" t="s">
        <v>214</v>
      </c>
      <c r="B975" s="6">
        <v>0.83</v>
      </c>
      <c r="C975" s="20"/>
      <c r="D975" s="18" t="str">
        <f t="shared" si="51"/>
        <v>&lt;Bottom_Tan_Strength&gt;0.830000&lt;/Bottom_Tan_Strength&gt;</v>
      </c>
      <c r="E975" s="174" t="str">
        <f t="shared" si="50"/>
        <v>Yes</v>
      </c>
      <c r="F975" s="6" t="s">
        <v>804</v>
      </c>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row>
    <row r="976" spans="1:108" ht="12.75" hidden="1" customHeight="1" outlineLevel="6">
      <c r="A976" s="104" t="s">
        <v>217</v>
      </c>
      <c r="C976" s="20"/>
      <c r="D976" s="6" t="str">
        <f>"&lt;" &amp; A976 &amp; "&gt;"</f>
        <v>&lt;/IML_Parms&gt;</v>
      </c>
      <c r="E976" s="174" t="str">
        <f t="shared" si="50"/>
        <v>Yes</v>
      </c>
      <c r="F976" s="6" t="s">
        <v>810</v>
      </c>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row>
    <row r="977" spans="1:108" ht="12.75" hidden="1" customHeight="1" outlineLevel="5">
      <c r="A977" s="104" t="s">
        <v>218</v>
      </c>
      <c r="C977" s="20"/>
      <c r="D977" s="6" t="str">
        <f>"&lt;" &amp; A977 &amp; "&gt;"</f>
        <v>&lt;/Cross_Section&gt;</v>
      </c>
      <c r="E977" s="174" t="str">
        <f t="shared" si="50"/>
        <v>Yes</v>
      </c>
      <c r="F977" s="6" t="s">
        <v>811</v>
      </c>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row>
    <row r="978" spans="1:108" ht="12.75" hidden="1" customHeight="1" outlineLevel="4">
      <c r="A978" s="104" t="s">
        <v>188</v>
      </c>
      <c r="B978" s="99" t="s">
        <v>394</v>
      </c>
      <c r="C978" s="20"/>
      <c r="D978" s="6" t="str">
        <f>"&lt;" &amp; A978 &amp; "&gt;"</f>
        <v>&lt;Cross_Section&gt;</v>
      </c>
      <c r="E978" s="174" t="str">
        <f t="shared" si="50"/>
        <v>Yes</v>
      </c>
      <c r="F978" s="6" t="s">
        <v>776</v>
      </c>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row>
    <row r="979" spans="1:108" ht="12.75" hidden="1" customHeight="1" outlineLevel="5">
      <c r="A979" s="104" t="s">
        <v>189</v>
      </c>
      <c r="B979" s="108">
        <v>45</v>
      </c>
      <c r="C979" s="20"/>
      <c r="D979" s="18" t="str">
        <f>"&lt;" &amp; A979 &amp; "&gt;" &amp; TEXT(B979,0) &amp; "&lt;/" &amp; A979 &amp; "&gt;"</f>
        <v>&lt;Num_Pnts&gt;45&lt;/Num_Pnts&gt;</v>
      </c>
      <c r="E979" s="174" t="str">
        <f t="shared" si="50"/>
        <v>Yes</v>
      </c>
      <c r="F979" s="6" t="s">
        <v>777</v>
      </c>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row>
    <row r="980" spans="1:108" ht="12.75" hidden="1" customHeight="1" outlineLevel="5">
      <c r="A980" s="104" t="s">
        <v>190</v>
      </c>
      <c r="B980" s="36">
        <f>l_nose.F/l_F</f>
        <v>0.17326902569832434</v>
      </c>
      <c r="C980" s="20"/>
      <c r="D980" s="18" t="str">
        <f t="shared" ref="D980:D989" si="52">"&lt;" &amp; A980 &amp; "&gt;" &amp; TEXT(B980,"0.000000") &amp; "&lt;/" &amp; A980 &amp; "&gt;"</f>
        <v>&lt;Spine_Location&gt;0.173269&lt;/Spine_Location&gt;</v>
      </c>
      <c r="E980" s="174" t="str">
        <f t="shared" si="50"/>
        <v>Yes</v>
      </c>
      <c r="F980" s="6" t="s">
        <v>1000</v>
      </c>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row>
    <row r="981" spans="1:108" ht="12.75" hidden="1" customHeight="1" outlineLevel="5">
      <c r="A981" s="104" t="s">
        <v>191</v>
      </c>
      <c r="B981" s="108">
        <v>0</v>
      </c>
      <c r="C981" s="20"/>
      <c r="D981" s="18" t="str">
        <f t="shared" si="52"/>
        <v>&lt;Z_Offset&gt;0.000000&lt;/Z_Offset&gt;</v>
      </c>
      <c r="E981" s="174" t="str">
        <f t="shared" si="50"/>
        <v>Yes</v>
      </c>
      <c r="F981" s="6" t="s">
        <v>829</v>
      </c>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row>
    <row r="982" spans="1:108" ht="12.75" hidden="1" customHeight="1" outlineLevel="5">
      <c r="A982" s="104" t="s">
        <v>192</v>
      </c>
      <c r="B982" s="108">
        <v>0.5</v>
      </c>
      <c r="C982" s="20"/>
      <c r="D982" s="18" t="str">
        <f t="shared" si="52"/>
        <v>&lt;Top_Thick&gt;0.500000&lt;/Top_Thick&gt;</v>
      </c>
      <c r="E982" s="174" t="str">
        <f t="shared" si="50"/>
        <v>Yes</v>
      </c>
      <c r="F982" s="6" t="s">
        <v>780</v>
      </c>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row>
    <row r="983" spans="1:108" ht="12.75" hidden="1" customHeight="1" outlineLevel="5">
      <c r="A983" s="104" t="s">
        <v>193</v>
      </c>
      <c r="B983" s="108">
        <v>0.5</v>
      </c>
      <c r="C983" s="20"/>
      <c r="D983" s="18" t="str">
        <f t="shared" si="52"/>
        <v>&lt;Bot_Thick&gt;0.500000&lt;/Bot_Thick&gt;</v>
      </c>
      <c r="E983" s="174" t="str">
        <f t="shared" si="50"/>
        <v>Yes</v>
      </c>
      <c r="F983" s="6" t="s">
        <v>781</v>
      </c>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row>
    <row r="984" spans="1:108" ht="12.75" hidden="1" customHeight="1" outlineLevel="5">
      <c r="A984" s="104" t="s">
        <v>194</v>
      </c>
      <c r="B984" s="108">
        <v>0.5</v>
      </c>
      <c r="C984" s="20"/>
      <c r="D984" s="18" t="str">
        <f t="shared" si="52"/>
        <v>&lt;Side_Thick&gt;0.500000&lt;/Side_Thick&gt;</v>
      </c>
      <c r="E984" s="174" t="str">
        <f t="shared" si="50"/>
        <v>Yes</v>
      </c>
      <c r="F984" s="6" t="s">
        <v>782</v>
      </c>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row>
    <row r="985" spans="1:108" ht="12.75" hidden="1" customHeight="1" outlineLevel="5">
      <c r="A985" s="104" t="s">
        <v>195</v>
      </c>
      <c r="B985" s="108">
        <v>0.5</v>
      </c>
      <c r="C985" s="20"/>
      <c r="D985" s="18" t="str">
        <f t="shared" si="52"/>
        <v>&lt;Act_Top_Thick&gt;0.500000&lt;/Act_Top_Thick&gt;</v>
      </c>
      <c r="E985" s="174" t="str">
        <f t="shared" si="50"/>
        <v>Yes</v>
      </c>
      <c r="F985" s="6" t="s">
        <v>783</v>
      </c>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row>
    <row r="986" spans="1:108" ht="12.75" hidden="1" customHeight="1" outlineLevel="5">
      <c r="A986" s="104" t="s">
        <v>196</v>
      </c>
      <c r="B986" s="108">
        <v>0.5</v>
      </c>
      <c r="C986" s="20"/>
      <c r="D986" s="18" t="str">
        <f t="shared" si="52"/>
        <v>&lt;Act_Bot_Thick&gt;0.500000&lt;/Act_Bot_Thick&gt;</v>
      </c>
      <c r="E986" s="174" t="str">
        <f t="shared" si="50"/>
        <v>Yes</v>
      </c>
      <c r="F986" s="6" t="s">
        <v>784</v>
      </c>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row>
    <row r="987" spans="1:108" ht="12.75" hidden="1" customHeight="1" outlineLevel="5">
      <c r="A987" s="104" t="s">
        <v>197</v>
      </c>
      <c r="B987" s="108">
        <v>0.5</v>
      </c>
      <c r="C987" s="20"/>
      <c r="D987" s="18" t="str">
        <f t="shared" si="52"/>
        <v>&lt;Act_Side_Thick&gt;0.500000&lt;/Act_Side_Thick&gt;</v>
      </c>
      <c r="E987" s="174" t="str">
        <f t="shared" si="50"/>
        <v>Yes</v>
      </c>
      <c r="F987" s="6" t="s">
        <v>785</v>
      </c>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row>
    <row r="988" spans="1:108" ht="12.75" hidden="1" customHeight="1" outlineLevel="5">
      <c r="A988" s="104" t="s">
        <v>198</v>
      </c>
      <c r="B988" s="108">
        <v>0</v>
      </c>
      <c r="C988" s="20"/>
      <c r="D988" s="18" t="str">
        <f t="shared" si="52"/>
        <v>&lt;IML_X_Offset&gt;0.000000&lt;/IML_X_Offset&gt;</v>
      </c>
      <c r="E988" s="174" t="str">
        <f t="shared" si="50"/>
        <v>Yes</v>
      </c>
      <c r="F988" s="6" t="s">
        <v>786</v>
      </c>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row>
    <row r="989" spans="1:108" ht="12.75" hidden="1" customHeight="1" outlineLevel="5">
      <c r="A989" s="104" t="s">
        <v>199</v>
      </c>
      <c r="B989" s="108">
        <v>0</v>
      </c>
      <c r="C989" s="20"/>
      <c r="D989" s="18" t="str">
        <f t="shared" si="52"/>
        <v>&lt;IML_Z_Offset&gt;0.000000&lt;/IML_Z_Offset&gt;</v>
      </c>
      <c r="E989" s="174" t="str">
        <f t="shared" si="50"/>
        <v>Yes</v>
      </c>
      <c r="F989" s="6" t="s">
        <v>787</v>
      </c>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row>
    <row r="990" spans="1:108" ht="12.75" hidden="1" customHeight="1" outlineLevel="5">
      <c r="A990" s="104" t="s">
        <v>200</v>
      </c>
      <c r="B990" s="108">
        <v>0</v>
      </c>
      <c r="C990" s="20"/>
      <c r="D990" s="18" t="str">
        <f>"&lt;" &amp; A990 &amp; "&gt;" &amp; TEXT(B990,0) &amp; "&lt;/" &amp; A990 &amp; "&gt;"</f>
        <v>&lt;ML_Type&gt;0&lt;/ML_Type&gt;</v>
      </c>
      <c r="E990" s="174" t="str">
        <f t="shared" si="50"/>
        <v>Yes</v>
      </c>
      <c r="F990" s="6" t="s">
        <v>788</v>
      </c>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row>
    <row r="991" spans="1:108" ht="12.75" hidden="1" customHeight="1" outlineLevel="5">
      <c r="A991" s="104" t="s">
        <v>182</v>
      </c>
      <c r="B991" s="108">
        <v>0</v>
      </c>
      <c r="C991" s="20"/>
      <c r="D991" s="18" t="str">
        <f>"&lt;" &amp; A991 &amp; "&gt;" &amp; TEXT(B991,0) &amp; "&lt;/" &amp; A991 &amp; "&gt;"</f>
        <v>&lt;IML_Flag&gt;0&lt;/IML_Flag&gt;</v>
      </c>
      <c r="E991" s="174" t="str">
        <f t="shared" si="50"/>
        <v>Yes</v>
      </c>
      <c r="F991" s="6" t="s">
        <v>770</v>
      </c>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row>
    <row r="992" spans="1:108" ht="12.75" hidden="1" customHeight="1" outlineLevel="5">
      <c r="A992" s="104" t="s">
        <v>201</v>
      </c>
      <c r="B992" s="108">
        <v>0.25</v>
      </c>
      <c r="C992" s="20"/>
      <c r="D992" s="18" t="str">
        <f>"&lt;" &amp; A992 &amp; "&gt;" &amp; TEXT(B992,"0.000000") &amp; "&lt;/" &amp; A992 &amp; "&gt;"</f>
        <v>&lt;Profile_Tan_Str_1&gt;0.250000&lt;/Profile_Tan_Str_1&gt;</v>
      </c>
      <c r="E992" s="174" t="str">
        <f t="shared" si="50"/>
        <v>Yes</v>
      </c>
      <c r="F992" s="6" t="s">
        <v>789</v>
      </c>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row>
    <row r="993" spans="1:108" ht="12.75" hidden="1" customHeight="1" outlineLevel="5">
      <c r="A993" s="104" t="s">
        <v>202</v>
      </c>
      <c r="B993" s="108">
        <v>0.25</v>
      </c>
      <c r="C993" s="20"/>
      <c r="D993" s="18" t="str">
        <f>"&lt;" &amp; A993 &amp; "&gt;" &amp; TEXT(B993,"0.000000") &amp; "&lt;/" &amp; A993 &amp; "&gt;"</f>
        <v>&lt;Profile_Tan_Str_2&gt;0.250000&lt;/Profile_Tan_Str_2&gt;</v>
      </c>
      <c r="E993" s="174" t="str">
        <f t="shared" si="50"/>
        <v>Yes</v>
      </c>
      <c r="F993" s="6" t="s">
        <v>790</v>
      </c>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row>
    <row r="994" spans="1:108" ht="12.75" hidden="1" customHeight="1" outlineLevel="5">
      <c r="A994" s="104" t="s">
        <v>203</v>
      </c>
      <c r="B994" s="108">
        <v>0</v>
      </c>
      <c r="C994" s="20"/>
      <c r="D994" s="18" t="str">
        <f>"&lt;" &amp; A994 &amp; "&gt;" &amp; TEXT(B994,"0.000000") &amp; "&lt;/" &amp; A994 &amp; "&gt;"</f>
        <v>&lt;Profile_Tan_Ang&gt;0.000000&lt;/Profile_Tan_Ang&gt;</v>
      </c>
      <c r="E994" s="174" t="str">
        <f t="shared" si="50"/>
        <v>Yes</v>
      </c>
      <c r="F994" s="6" t="s">
        <v>791</v>
      </c>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row>
    <row r="995" spans="1:108" ht="12.75" hidden="1" customHeight="1" outlineLevel="5">
      <c r="A995" s="104" t="s">
        <v>204</v>
      </c>
      <c r="B995" s="108">
        <v>0</v>
      </c>
      <c r="C995" s="20"/>
      <c r="D995" s="18" t="str">
        <f>"&lt;" &amp; A995 &amp; "&gt;" &amp; TEXT(B995,0) &amp; "&lt;/" &amp; A995 &amp; "&gt;"</f>
        <v>&lt;Num_Sect_Interp_1&gt;0&lt;/Num_Sect_Interp_1&gt;</v>
      </c>
      <c r="E995" s="174" t="str">
        <f t="shared" si="50"/>
        <v>Yes</v>
      </c>
      <c r="F995" s="6" t="s">
        <v>792</v>
      </c>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row>
    <row r="996" spans="1:108" ht="12.75" hidden="1" customHeight="1" outlineLevel="5">
      <c r="A996" s="104" t="s">
        <v>205</v>
      </c>
      <c r="B996" s="108">
        <v>0</v>
      </c>
      <c r="C996" s="20"/>
      <c r="D996" s="18" t="str">
        <f>"&lt;" &amp; A996 &amp; "&gt;" &amp; TEXT(B996,0) &amp; "&lt;/" &amp; A996 &amp; "&gt;"</f>
        <v>&lt;Num_Sect_Interp_2&gt;0&lt;/Num_Sect_Interp_2&gt;</v>
      </c>
      <c r="E996" s="174" t="str">
        <f t="shared" si="50"/>
        <v>Yes</v>
      </c>
      <c r="F996" s="6" t="s">
        <v>815</v>
      </c>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row>
    <row r="997" spans="1:108" ht="12.75" hidden="1" customHeight="1" outlineLevel="5">
      <c r="A997" s="104" t="s">
        <v>206</v>
      </c>
      <c r="C997" s="20"/>
      <c r="D997" s="6" t="str">
        <f>"&lt;" &amp; A997 &amp; "&gt;"</f>
        <v>&lt;OML_Parms&gt;</v>
      </c>
      <c r="E997" s="174" t="str">
        <f t="shared" si="50"/>
        <v>Yes</v>
      </c>
      <c r="F997" s="6" t="s">
        <v>794</v>
      </c>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row>
    <row r="998" spans="1:108" ht="12.75" hidden="1" customHeight="1" outlineLevel="6">
      <c r="A998" s="104" t="s">
        <v>14</v>
      </c>
      <c r="B998" s="6">
        <v>1</v>
      </c>
      <c r="C998" s="20"/>
      <c r="D998" s="18" t="str">
        <f>"&lt;" &amp; A998 &amp; "&gt;" &amp; TEXT(B998,0) &amp; "&lt;/" &amp; A998 &amp; "&gt;"</f>
        <v>&lt;Type&gt;1&lt;/Type&gt;</v>
      </c>
      <c r="E998" s="174" t="str">
        <f t="shared" si="50"/>
        <v>Yes</v>
      </c>
      <c r="F998" s="6" t="s">
        <v>679</v>
      </c>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row>
    <row r="999" spans="1:108" ht="12.75" hidden="1" customHeight="1" outlineLevel="6">
      <c r="A999" s="104" t="s">
        <v>15</v>
      </c>
      <c r="B999" s="35">
        <f>Input!$D$69</f>
        <v>3.96</v>
      </c>
      <c r="C999" s="20"/>
      <c r="D999" s="18" t="str">
        <f t="shared" ref="D999:D1008" si="53">"&lt;" &amp; A999 &amp; "&gt;" &amp; TEXT(B999,"0.000000") &amp; "&lt;/" &amp; A999 &amp; "&gt;"</f>
        <v>&lt;Height&gt;3.960000&lt;/Height&gt;</v>
      </c>
      <c r="E999" s="174" t="str">
        <f t="shared" si="50"/>
        <v>Yes</v>
      </c>
      <c r="F999" s="6" t="s">
        <v>830</v>
      </c>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row>
    <row r="1000" spans="1:108" ht="12.75" hidden="1" customHeight="1" outlineLevel="6">
      <c r="A1000" s="104" t="s">
        <v>16</v>
      </c>
      <c r="B1000" s="35">
        <f>B999</f>
        <v>3.96</v>
      </c>
      <c r="C1000" s="20"/>
      <c r="D1000" s="18" t="str">
        <f t="shared" si="53"/>
        <v>&lt;Width&gt;3.960000&lt;/Width&gt;</v>
      </c>
      <c r="E1000" s="174" t="str">
        <f t="shared" si="50"/>
        <v>Yes</v>
      </c>
      <c r="F1000" s="6" t="s">
        <v>831</v>
      </c>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row>
    <row r="1001" spans="1:108" ht="12.75" hidden="1" customHeight="1" outlineLevel="6">
      <c r="A1001" s="104" t="s">
        <v>207</v>
      </c>
      <c r="B1001" s="6">
        <v>0</v>
      </c>
      <c r="C1001" s="20"/>
      <c r="D1001" s="18" t="str">
        <f t="shared" si="53"/>
        <v>&lt;Max_Width_Location&gt;0.000000&lt;/Max_Width_Location&gt;</v>
      </c>
      <c r="E1001" s="174" t="str">
        <f t="shared" si="50"/>
        <v>Yes</v>
      </c>
      <c r="F1001" s="6" t="s">
        <v>797</v>
      </c>
      <c r="G1001" s="6"/>
      <c r="H1001" s="6"/>
      <c r="I1001" s="6"/>
      <c r="J1001" s="6"/>
      <c r="K1001" s="6"/>
      <c r="L1001" s="6"/>
      <c r="M1001" s="6"/>
      <c r="N1001" s="6"/>
      <c r="O1001" s="6"/>
      <c r="P1001" s="6"/>
      <c r="Q1001" s="6"/>
      <c r="R1001" s="6"/>
      <c r="S1001" s="6"/>
      <c r="T1001" s="6"/>
      <c r="U1001" s="6"/>
      <c r="V1001" s="6"/>
      <c r="W1001" s="6"/>
      <c r="X1001" s="6"/>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c r="BU1001" s="6"/>
      <c r="BV1001" s="6"/>
      <c r="BW1001" s="6"/>
      <c r="BX1001" s="6"/>
      <c r="BY1001" s="6"/>
      <c r="BZ1001" s="6"/>
      <c r="CA1001" s="6"/>
      <c r="CB1001" s="6"/>
      <c r="CC1001" s="6"/>
      <c r="CD1001" s="6"/>
      <c r="CE1001" s="6"/>
      <c r="CF1001" s="6"/>
      <c r="CG1001" s="6"/>
      <c r="CH1001" s="6"/>
      <c r="CI1001" s="6"/>
      <c r="CJ1001" s="6"/>
      <c r="CK1001" s="6"/>
      <c r="CL1001" s="6"/>
      <c r="CM1001" s="6"/>
      <c r="CN1001" s="6"/>
      <c r="CO1001" s="6"/>
      <c r="CP1001" s="6"/>
      <c r="CQ1001" s="6"/>
      <c r="CR1001" s="6"/>
      <c r="CS1001" s="6"/>
      <c r="CT1001" s="6"/>
      <c r="CU1001" s="6"/>
      <c r="CV1001" s="6"/>
      <c r="CW1001" s="6"/>
      <c r="CX1001" s="6"/>
      <c r="CY1001" s="6"/>
      <c r="CZ1001" s="6"/>
      <c r="DA1001" s="6"/>
      <c r="DB1001" s="6"/>
      <c r="DC1001" s="6"/>
      <c r="DD1001" s="6"/>
    </row>
    <row r="1002" spans="1:108" ht="12.75" hidden="1" customHeight="1" outlineLevel="6">
      <c r="A1002" s="104" t="s">
        <v>208</v>
      </c>
      <c r="B1002" s="6">
        <v>0.5</v>
      </c>
      <c r="C1002" s="20"/>
      <c r="D1002" s="18" t="str">
        <f t="shared" si="53"/>
        <v>&lt;Corner_Radius&gt;0.500000&lt;/Corner_Radius&gt;</v>
      </c>
      <c r="E1002" s="174" t="str">
        <f t="shared" si="50"/>
        <v>Yes</v>
      </c>
      <c r="F1002" s="6" t="s">
        <v>798</v>
      </c>
      <c r="G1002" s="6"/>
      <c r="H1002" s="6"/>
      <c r="I1002" s="6"/>
      <c r="J1002" s="6"/>
      <c r="K1002" s="6"/>
      <c r="L1002" s="6"/>
      <c r="M1002" s="6"/>
      <c r="N1002" s="6"/>
      <c r="O1002" s="6"/>
      <c r="P1002" s="6"/>
      <c r="Q1002" s="6"/>
      <c r="R1002" s="6"/>
      <c r="S1002" s="6"/>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c r="BU1002" s="6"/>
      <c r="BV1002" s="6"/>
      <c r="BW1002" s="6"/>
      <c r="BX1002" s="6"/>
      <c r="BY1002" s="6"/>
      <c r="BZ1002" s="6"/>
      <c r="CA1002" s="6"/>
      <c r="CB1002" s="6"/>
      <c r="CC1002" s="6"/>
      <c r="CD1002" s="6"/>
      <c r="CE1002" s="6"/>
      <c r="CF1002" s="6"/>
      <c r="CG1002" s="6"/>
      <c r="CH1002" s="6"/>
      <c r="CI1002" s="6"/>
      <c r="CJ1002" s="6"/>
      <c r="CK1002" s="6"/>
      <c r="CL1002" s="6"/>
      <c r="CM1002" s="6"/>
      <c r="CN1002" s="6"/>
      <c r="CO1002" s="6"/>
      <c r="CP1002" s="6"/>
      <c r="CQ1002" s="6"/>
      <c r="CR1002" s="6"/>
      <c r="CS1002" s="6"/>
      <c r="CT1002" s="6"/>
      <c r="CU1002" s="6"/>
      <c r="CV1002" s="6"/>
      <c r="CW1002" s="6"/>
      <c r="CX1002" s="6"/>
      <c r="CY1002" s="6"/>
      <c r="CZ1002" s="6"/>
      <c r="DA1002" s="6"/>
      <c r="DB1002" s="6"/>
      <c r="DC1002" s="6"/>
      <c r="DD1002" s="6"/>
    </row>
    <row r="1003" spans="1:108" ht="12.75" hidden="1" customHeight="1" outlineLevel="6">
      <c r="A1003" s="104" t="s">
        <v>209</v>
      </c>
      <c r="B1003" s="6">
        <v>90</v>
      </c>
      <c r="C1003" s="20"/>
      <c r="D1003" s="18" t="str">
        <f t="shared" si="53"/>
        <v>&lt;Top_Tan_Angle&gt;90.000000&lt;/Top_Tan_Angle&gt;</v>
      </c>
      <c r="E1003" s="174" t="str">
        <f t="shared" si="50"/>
        <v>Yes</v>
      </c>
      <c r="F1003" s="6" t="s">
        <v>799</v>
      </c>
      <c r="G1003" s="6"/>
      <c r="H1003" s="6"/>
      <c r="I1003" s="6"/>
      <c r="J1003" s="6"/>
      <c r="K1003" s="6"/>
      <c r="L1003" s="6"/>
      <c r="M1003" s="6"/>
      <c r="N1003" s="6"/>
      <c r="O1003" s="6"/>
      <c r="P1003" s="6"/>
      <c r="Q1003" s="6"/>
      <c r="R1003" s="6"/>
      <c r="S1003" s="6"/>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c r="BU1003" s="6"/>
      <c r="BV1003" s="6"/>
      <c r="BW1003" s="6"/>
      <c r="BX1003" s="6"/>
      <c r="BY1003" s="6"/>
      <c r="BZ1003" s="6"/>
      <c r="CA1003" s="6"/>
      <c r="CB1003" s="6"/>
      <c r="CC1003" s="6"/>
      <c r="CD1003" s="6"/>
      <c r="CE1003" s="6"/>
      <c r="CF1003" s="6"/>
      <c r="CG1003" s="6"/>
      <c r="CH1003" s="6"/>
      <c r="CI1003" s="6"/>
      <c r="CJ1003" s="6"/>
      <c r="CK1003" s="6"/>
      <c r="CL1003" s="6"/>
      <c r="CM1003" s="6"/>
      <c r="CN1003" s="6"/>
      <c r="CO1003" s="6"/>
      <c r="CP1003" s="6"/>
      <c r="CQ1003" s="6"/>
      <c r="CR1003" s="6"/>
      <c r="CS1003" s="6"/>
      <c r="CT1003" s="6"/>
      <c r="CU1003" s="6"/>
      <c r="CV1003" s="6"/>
      <c r="CW1003" s="6"/>
      <c r="CX1003" s="6"/>
      <c r="CY1003" s="6"/>
      <c r="CZ1003" s="6"/>
      <c r="DA1003" s="6"/>
      <c r="DB1003" s="6"/>
      <c r="DC1003" s="6"/>
      <c r="DD1003" s="6"/>
    </row>
    <row r="1004" spans="1:108" ht="12.75" hidden="1" customHeight="1" outlineLevel="6">
      <c r="A1004" s="104" t="s">
        <v>210</v>
      </c>
      <c r="B1004" s="6">
        <v>90</v>
      </c>
      <c r="C1004" s="20"/>
      <c r="D1004" s="18" t="str">
        <f t="shared" si="53"/>
        <v>&lt;Bot_Tan_Angle&gt;90.000000&lt;/Bot_Tan_Angle&gt;</v>
      </c>
      <c r="E1004" s="174" t="str">
        <f t="shared" si="50"/>
        <v>Yes</v>
      </c>
      <c r="F1004" s="6" t="s">
        <v>800</v>
      </c>
      <c r="G1004" s="6"/>
      <c r="H1004" s="6"/>
      <c r="I1004" s="6"/>
      <c r="J1004" s="6"/>
      <c r="K1004" s="6"/>
      <c r="L1004" s="6"/>
      <c r="M1004" s="6"/>
      <c r="N1004" s="6"/>
      <c r="O1004" s="6"/>
      <c r="P1004" s="6"/>
      <c r="Q1004" s="6"/>
      <c r="R1004" s="6"/>
      <c r="S1004" s="6"/>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c r="BU1004" s="6"/>
      <c r="BV1004" s="6"/>
      <c r="BW1004" s="6"/>
      <c r="BX1004" s="6"/>
      <c r="BY1004" s="6"/>
      <c r="BZ1004" s="6"/>
      <c r="CA1004" s="6"/>
      <c r="CB1004" s="6"/>
      <c r="CC1004" s="6"/>
      <c r="CD1004" s="6"/>
      <c r="CE1004" s="6"/>
      <c r="CF1004" s="6"/>
      <c r="CG1004" s="6"/>
      <c r="CH1004" s="6"/>
      <c r="CI1004" s="6"/>
      <c r="CJ1004" s="6"/>
      <c r="CK1004" s="6"/>
      <c r="CL1004" s="6"/>
      <c r="CM1004" s="6"/>
      <c r="CN1004" s="6"/>
      <c r="CO1004" s="6"/>
      <c r="CP1004" s="6"/>
      <c r="CQ1004" s="6"/>
      <c r="CR1004" s="6"/>
      <c r="CS1004" s="6"/>
      <c r="CT1004" s="6"/>
      <c r="CU1004" s="6"/>
      <c r="CV1004" s="6"/>
      <c r="CW1004" s="6"/>
      <c r="CX1004" s="6"/>
      <c r="CY1004" s="6"/>
      <c r="CZ1004" s="6"/>
      <c r="DA1004" s="6"/>
      <c r="DB1004" s="6"/>
      <c r="DC1004" s="6"/>
      <c r="DD1004" s="6"/>
    </row>
    <row r="1005" spans="1:108" ht="12.75" hidden="1" customHeight="1" outlineLevel="6">
      <c r="A1005" s="104" t="s">
        <v>211</v>
      </c>
      <c r="B1005" s="6">
        <v>0.83</v>
      </c>
      <c r="C1005" s="20"/>
      <c r="D1005" s="18" t="str">
        <f t="shared" si="53"/>
        <v>&lt;Top_Tan_Strength&gt;0.830000&lt;/Top_Tan_Strength&gt;</v>
      </c>
      <c r="E1005" s="174" t="str">
        <f t="shared" si="50"/>
        <v>Yes</v>
      </c>
      <c r="F1005" s="6" t="s">
        <v>801</v>
      </c>
      <c r="G1005" s="6"/>
      <c r="H1005" s="6"/>
      <c r="I1005" s="6"/>
      <c r="J1005" s="6"/>
      <c r="K1005" s="6"/>
      <c r="L1005" s="6"/>
      <c r="M1005" s="6"/>
      <c r="N1005" s="6"/>
      <c r="O1005" s="6"/>
      <c r="P1005" s="6"/>
      <c r="Q1005" s="6"/>
      <c r="R1005" s="6"/>
      <c r="S1005" s="6"/>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c r="BU1005" s="6"/>
      <c r="BV1005" s="6"/>
      <c r="BW1005" s="6"/>
      <c r="BX1005" s="6"/>
      <c r="BY1005" s="6"/>
      <c r="BZ1005" s="6"/>
      <c r="CA1005" s="6"/>
      <c r="CB1005" s="6"/>
      <c r="CC1005" s="6"/>
      <c r="CD1005" s="6"/>
      <c r="CE1005" s="6"/>
      <c r="CF1005" s="6"/>
      <c r="CG1005" s="6"/>
      <c r="CH1005" s="6"/>
      <c r="CI1005" s="6"/>
      <c r="CJ1005" s="6"/>
      <c r="CK1005" s="6"/>
      <c r="CL1005" s="6"/>
      <c r="CM1005" s="6"/>
      <c r="CN1005" s="6"/>
      <c r="CO1005" s="6"/>
      <c r="CP1005" s="6"/>
      <c r="CQ1005" s="6"/>
      <c r="CR1005" s="6"/>
      <c r="CS1005" s="6"/>
      <c r="CT1005" s="6"/>
      <c r="CU1005" s="6"/>
      <c r="CV1005" s="6"/>
      <c r="CW1005" s="6"/>
      <c r="CX1005" s="6"/>
      <c r="CY1005" s="6"/>
      <c r="CZ1005" s="6"/>
      <c r="DA1005" s="6"/>
      <c r="DB1005" s="6"/>
      <c r="DC1005" s="6"/>
      <c r="DD1005" s="6"/>
    </row>
    <row r="1006" spans="1:108" ht="12.75" hidden="1" customHeight="1" outlineLevel="6">
      <c r="A1006" s="104" t="s">
        <v>212</v>
      </c>
      <c r="B1006" s="6">
        <v>0.83</v>
      </c>
      <c r="C1006" s="20"/>
      <c r="D1006" s="18" t="str">
        <f t="shared" si="53"/>
        <v>&lt;Upper_Tan_Strength&gt;0.830000&lt;/Upper_Tan_Strength&gt;</v>
      </c>
      <c r="E1006" s="174" t="str">
        <f t="shared" si="50"/>
        <v>Yes</v>
      </c>
      <c r="F1006" s="6" t="s">
        <v>802</v>
      </c>
      <c r="G1006" s="6"/>
      <c r="H1006" s="6"/>
      <c r="I1006" s="6"/>
      <c r="J1006" s="6"/>
      <c r="K1006" s="6"/>
      <c r="L1006" s="6"/>
      <c r="M1006" s="6"/>
      <c r="N1006" s="6"/>
      <c r="O1006" s="6"/>
      <c r="P1006" s="6"/>
      <c r="Q1006" s="6"/>
      <c r="R1006" s="6"/>
      <c r="S1006" s="6"/>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c r="BU1006" s="6"/>
      <c r="BV1006" s="6"/>
      <c r="BW1006" s="6"/>
      <c r="BX1006" s="6"/>
      <c r="BY1006" s="6"/>
      <c r="BZ1006" s="6"/>
      <c r="CA1006" s="6"/>
      <c r="CB1006" s="6"/>
      <c r="CC1006" s="6"/>
      <c r="CD1006" s="6"/>
      <c r="CE1006" s="6"/>
      <c r="CF1006" s="6"/>
      <c r="CG1006" s="6"/>
      <c r="CH1006" s="6"/>
      <c r="CI1006" s="6"/>
      <c r="CJ1006" s="6"/>
      <c r="CK1006" s="6"/>
      <c r="CL1006" s="6"/>
      <c r="CM1006" s="6"/>
      <c r="CN1006" s="6"/>
      <c r="CO1006" s="6"/>
      <c r="CP1006" s="6"/>
      <c r="CQ1006" s="6"/>
      <c r="CR1006" s="6"/>
      <c r="CS1006" s="6"/>
      <c r="CT1006" s="6"/>
      <c r="CU1006" s="6"/>
      <c r="CV1006" s="6"/>
      <c r="CW1006" s="6"/>
      <c r="CX1006" s="6"/>
      <c r="CY1006" s="6"/>
      <c r="CZ1006" s="6"/>
      <c r="DA1006" s="6"/>
      <c r="DB1006" s="6"/>
      <c r="DC1006" s="6"/>
      <c r="DD1006" s="6"/>
    </row>
    <row r="1007" spans="1:108" ht="12.75" hidden="1" customHeight="1" outlineLevel="6">
      <c r="A1007" s="104" t="s">
        <v>213</v>
      </c>
      <c r="B1007" s="6">
        <v>0.83</v>
      </c>
      <c r="C1007" s="20"/>
      <c r="D1007" s="18" t="str">
        <f t="shared" si="53"/>
        <v>&lt;Lower_Tan_Strength&gt;0.830000&lt;/Lower_Tan_Strength&gt;</v>
      </c>
      <c r="E1007" s="174" t="str">
        <f t="shared" si="50"/>
        <v>Yes</v>
      </c>
      <c r="F1007" s="6" t="s">
        <v>803</v>
      </c>
      <c r="G1007" s="6"/>
      <c r="H1007" s="6"/>
      <c r="I1007" s="6"/>
      <c r="J1007" s="6"/>
      <c r="K1007" s="6"/>
      <c r="L1007" s="6"/>
      <c r="M1007" s="6"/>
      <c r="N1007" s="6"/>
      <c r="O1007" s="6"/>
      <c r="P1007" s="6"/>
      <c r="Q1007" s="6"/>
      <c r="R1007" s="6"/>
      <c r="S1007" s="6"/>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c r="BU1007" s="6"/>
      <c r="BV1007" s="6"/>
      <c r="BW1007" s="6"/>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row>
    <row r="1008" spans="1:108" ht="12.75" hidden="1" customHeight="1" outlineLevel="6">
      <c r="A1008" s="104" t="s">
        <v>214</v>
      </c>
      <c r="B1008" s="6">
        <v>0.83</v>
      </c>
      <c r="C1008" s="20"/>
      <c r="D1008" s="18" t="str">
        <f t="shared" si="53"/>
        <v>&lt;Bottom_Tan_Strength&gt;0.830000&lt;/Bottom_Tan_Strength&gt;</v>
      </c>
      <c r="E1008" s="174" t="str">
        <f t="shared" si="50"/>
        <v>Yes</v>
      </c>
      <c r="F1008" s="6" t="s">
        <v>804</v>
      </c>
      <c r="G1008" s="6"/>
      <c r="H1008" s="6"/>
      <c r="I1008" s="6"/>
      <c r="J1008" s="6"/>
      <c r="K1008" s="6"/>
      <c r="L1008" s="6"/>
      <c r="M1008" s="6"/>
      <c r="N1008" s="6"/>
      <c r="O1008" s="6"/>
      <c r="P1008" s="6"/>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c r="BU1008" s="6"/>
      <c r="BV1008" s="6"/>
      <c r="BW1008" s="6"/>
      <c r="BX1008" s="6"/>
      <c r="BY1008" s="6"/>
      <c r="BZ1008" s="6"/>
      <c r="CA1008" s="6"/>
      <c r="CB1008" s="6"/>
      <c r="CC1008" s="6"/>
      <c r="CD1008" s="6"/>
      <c r="CE1008" s="6"/>
      <c r="CF1008" s="6"/>
      <c r="CG1008" s="6"/>
      <c r="CH1008" s="6"/>
      <c r="CI1008" s="6"/>
      <c r="CJ1008" s="6"/>
      <c r="CK1008" s="6"/>
      <c r="CL1008" s="6"/>
      <c r="CM1008" s="6"/>
      <c r="CN1008" s="6"/>
      <c r="CO1008" s="6"/>
      <c r="CP1008" s="6"/>
      <c r="CQ1008" s="6"/>
      <c r="CR1008" s="6"/>
      <c r="CS1008" s="6"/>
      <c r="CT1008" s="6"/>
      <c r="CU1008" s="6"/>
      <c r="CV1008" s="6"/>
      <c r="CW1008" s="6"/>
      <c r="CX1008" s="6"/>
      <c r="CY1008" s="6"/>
      <c r="CZ1008" s="6"/>
      <c r="DA1008" s="6"/>
      <c r="DB1008" s="6"/>
      <c r="DC1008" s="6"/>
      <c r="DD1008" s="6"/>
    </row>
    <row r="1009" spans="1:108" ht="12.75" hidden="1" customHeight="1" outlineLevel="6">
      <c r="A1009" s="104" t="s">
        <v>215</v>
      </c>
      <c r="C1009" s="20"/>
      <c r="D1009" s="6" t="str">
        <f>"&lt;" &amp; A1009 &amp; "&gt;"</f>
        <v>&lt;/OML_Parms&gt;</v>
      </c>
      <c r="E1009" s="174" t="str">
        <f t="shared" si="50"/>
        <v>Yes</v>
      </c>
      <c r="F1009" s="6" t="s">
        <v>805</v>
      </c>
      <c r="G1009" s="6"/>
      <c r="H1009" s="6"/>
      <c r="I1009" s="6"/>
      <c r="J1009" s="6"/>
      <c r="K1009" s="6"/>
      <c r="L1009" s="6"/>
      <c r="M1009" s="6"/>
      <c r="N1009" s="6"/>
      <c r="O1009" s="6"/>
      <c r="P1009" s="6"/>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row>
    <row r="1010" spans="1:108" ht="12.75" hidden="1" customHeight="1" outlineLevel="5">
      <c r="A1010" s="104" t="s">
        <v>216</v>
      </c>
      <c r="C1010" s="20"/>
      <c r="D1010" s="6" t="str">
        <f>"&lt;" &amp; A1010 &amp; "&gt;"</f>
        <v>&lt;IML_Parms&gt;</v>
      </c>
      <c r="E1010" s="174" t="str">
        <f t="shared" si="50"/>
        <v>Yes</v>
      </c>
      <c r="F1010" s="6" t="s">
        <v>806</v>
      </c>
      <c r="G1010" s="6"/>
      <c r="H1010" s="6"/>
      <c r="I1010" s="6"/>
      <c r="J1010" s="6"/>
      <c r="K1010" s="6"/>
      <c r="L1010" s="6"/>
      <c r="M1010" s="6"/>
      <c r="N1010" s="6"/>
      <c r="O1010" s="6"/>
      <c r="P1010" s="6"/>
      <c r="Q1010" s="6"/>
      <c r="R1010" s="6"/>
      <c r="S1010" s="6"/>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c r="BU1010" s="6"/>
      <c r="BV1010" s="6"/>
      <c r="BW1010" s="6"/>
      <c r="BX1010" s="6"/>
      <c r="BY1010" s="6"/>
      <c r="BZ1010" s="6"/>
      <c r="CA1010" s="6"/>
      <c r="CB1010" s="6"/>
      <c r="CC1010" s="6"/>
      <c r="CD1010" s="6"/>
      <c r="CE1010" s="6"/>
      <c r="CF1010" s="6"/>
      <c r="CG1010" s="6"/>
      <c r="CH1010" s="6"/>
      <c r="CI1010" s="6"/>
      <c r="CJ1010" s="6"/>
      <c r="CK1010" s="6"/>
      <c r="CL1010" s="6"/>
      <c r="CM1010" s="6"/>
      <c r="CN1010" s="6"/>
      <c r="CO1010" s="6"/>
      <c r="CP1010" s="6"/>
      <c r="CQ1010" s="6"/>
      <c r="CR1010" s="6"/>
      <c r="CS1010" s="6"/>
      <c r="CT1010" s="6"/>
      <c r="CU1010" s="6"/>
      <c r="CV1010" s="6"/>
      <c r="CW1010" s="6"/>
      <c r="CX1010" s="6"/>
      <c r="CY1010" s="6"/>
      <c r="CZ1010" s="6"/>
      <c r="DA1010" s="6"/>
      <c r="DB1010" s="6"/>
      <c r="DC1010" s="6"/>
      <c r="DD1010" s="6"/>
    </row>
    <row r="1011" spans="1:108" ht="12.75" hidden="1" customHeight="1" outlineLevel="6">
      <c r="A1011" s="104" t="s">
        <v>14</v>
      </c>
      <c r="B1011" s="6">
        <v>2</v>
      </c>
      <c r="C1011" s="20"/>
      <c r="D1011" s="18" t="str">
        <f>"&lt;" &amp; A1011 &amp; "&gt;" &amp; TEXT(B1011,0) &amp; "&lt;/" &amp; A1011 &amp; "&gt;"</f>
        <v>&lt;Type&gt;2&lt;/Type&gt;</v>
      </c>
      <c r="E1011" s="174" t="str">
        <f t="shared" si="50"/>
        <v>Yes</v>
      </c>
      <c r="F1011" s="6" t="s">
        <v>807</v>
      </c>
      <c r="G1011" s="6"/>
      <c r="H1011" s="6"/>
      <c r="I1011" s="6"/>
      <c r="J1011" s="6"/>
      <c r="K1011" s="6"/>
      <c r="L1011" s="6"/>
      <c r="M1011" s="6"/>
      <c r="N1011" s="6"/>
      <c r="O1011" s="6"/>
      <c r="P1011" s="6"/>
      <c r="Q1011" s="6"/>
      <c r="R1011" s="6"/>
      <c r="S1011" s="6"/>
      <c r="T1011" s="6"/>
      <c r="U1011" s="6"/>
      <c r="V1011" s="6"/>
      <c r="W1011" s="6"/>
      <c r="X1011" s="6"/>
      <c r="Y1011" s="6"/>
      <c r="Z1011" s="6"/>
      <c r="AA1011" s="6"/>
      <c r="AB1011" s="6"/>
      <c r="AC1011" s="6"/>
      <c r="AD1011" s="6"/>
      <c r="AE1011" s="6"/>
      <c r="AF1011" s="6"/>
      <c r="AG1011" s="6"/>
      <c r="AH1011" s="6"/>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c r="BU1011" s="6"/>
      <c r="BV1011" s="6"/>
      <c r="BW1011" s="6"/>
      <c r="BX1011" s="6"/>
      <c r="BY1011" s="6"/>
      <c r="BZ1011" s="6"/>
      <c r="CA1011" s="6"/>
      <c r="CB1011" s="6"/>
      <c r="CC1011" s="6"/>
      <c r="CD1011" s="6"/>
      <c r="CE1011" s="6"/>
      <c r="CF1011" s="6"/>
      <c r="CG1011" s="6"/>
      <c r="CH1011" s="6"/>
      <c r="CI1011" s="6"/>
      <c r="CJ1011" s="6"/>
      <c r="CK1011" s="6"/>
      <c r="CL1011" s="6"/>
      <c r="CM1011" s="6"/>
      <c r="CN1011" s="6"/>
      <c r="CO1011" s="6"/>
      <c r="CP1011" s="6"/>
      <c r="CQ1011" s="6"/>
      <c r="CR1011" s="6"/>
      <c r="CS1011" s="6"/>
      <c r="CT1011" s="6"/>
      <c r="CU1011" s="6"/>
      <c r="CV1011" s="6"/>
      <c r="CW1011" s="6"/>
      <c r="CX1011" s="6"/>
      <c r="CY1011" s="6"/>
      <c r="CZ1011" s="6"/>
      <c r="DA1011" s="6"/>
      <c r="DB1011" s="6"/>
      <c r="DC1011" s="6"/>
      <c r="DD1011" s="6"/>
    </row>
    <row r="1012" spans="1:108" ht="12.75" hidden="1" customHeight="1" outlineLevel="6">
      <c r="A1012" s="104" t="s">
        <v>15</v>
      </c>
      <c r="B1012" s="6">
        <v>3</v>
      </c>
      <c r="C1012" s="20"/>
      <c r="D1012" s="18" t="str">
        <f t="shared" ref="D1012:D1021" si="54">"&lt;" &amp; A1012 &amp; "&gt;" &amp; TEXT(B1012,"0.000000") &amp; "&lt;/" &amp; A1012 &amp; "&gt;"</f>
        <v>&lt;Height&gt;3.000000&lt;/Height&gt;</v>
      </c>
      <c r="E1012" s="174" t="str">
        <f t="shared" si="50"/>
        <v>Yes</v>
      </c>
      <c r="F1012" s="6" t="s">
        <v>808</v>
      </c>
      <c r="G1012" s="6"/>
      <c r="H1012" s="6"/>
      <c r="I1012" s="6"/>
      <c r="J1012" s="6"/>
      <c r="K1012" s="6"/>
      <c r="L1012" s="6"/>
      <c r="M1012" s="6"/>
      <c r="N1012" s="6"/>
      <c r="O1012" s="6"/>
      <c r="P1012" s="6"/>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c r="BU1012" s="6"/>
      <c r="BV1012" s="6"/>
      <c r="BW1012" s="6"/>
      <c r="BX1012" s="6"/>
      <c r="BY1012" s="6"/>
      <c r="BZ1012" s="6"/>
      <c r="CA1012" s="6"/>
      <c r="CB1012" s="6"/>
      <c r="CC1012" s="6"/>
      <c r="CD1012" s="6"/>
      <c r="CE1012" s="6"/>
      <c r="CF1012" s="6"/>
      <c r="CG1012" s="6"/>
      <c r="CH1012" s="6"/>
      <c r="CI1012" s="6"/>
      <c r="CJ1012" s="6"/>
      <c r="CK1012" s="6"/>
      <c r="CL1012" s="6"/>
      <c r="CM1012" s="6"/>
      <c r="CN1012" s="6"/>
      <c r="CO1012" s="6"/>
      <c r="CP1012" s="6"/>
      <c r="CQ1012" s="6"/>
      <c r="CR1012" s="6"/>
      <c r="CS1012" s="6"/>
      <c r="CT1012" s="6"/>
      <c r="CU1012" s="6"/>
      <c r="CV1012" s="6"/>
      <c r="CW1012" s="6"/>
      <c r="CX1012" s="6"/>
      <c r="CY1012" s="6"/>
      <c r="CZ1012" s="6"/>
      <c r="DA1012" s="6"/>
      <c r="DB1012" s="6"/>
      <c r="DC1012" s="6"/>
      <c r="DD1012" s="6"/>
    </row>
    <row r="1013" spans="1:108" ht="12.75" hidden="1" customHeight="1" outlineLevel="6">
      <c r="A1013" s="104" t="s">
        <v>16</v>
      </c>
      <c r="B1013" s="6">
        <v>2.5</v>
      </c>
      <c r="C1013" s="20"/>
      <c r="D1013" s="18" t="str">
        <f t="shared" si="54"/>
        <v>&lt;Width&gt;2.500000&lt;/Width&gt;</v>
      </c>
      <c r="E1013" s="174" t="str">
        <f t="shared" si="50"/>
        <v>Yes</v>
      </c>
      <c r="F1013" s="6" t="s">
        <v>809</v>
      </c>
      <c r="G1013" s="6"/>
      <c r="H1013" s="6"/>
      <c r="I1013" s="6"/>
      <c r="J1013" s="6"/>
      <c r="K1013" s="6"/>
      <c r="L1013" s="6"/>
      <c r="M1013" s="6"/>
      <c r="N1013" s="6"/>
      <c r="O1013" s="6"/>
      <c r="P1013" s="6"/>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c r="BU1013" s="6"/>
      <c r="BV1013" s="6"/>
      <c r="BW1013" s="6"/>
      <c r="BX1013" s="6"/>
      <c r="BY1013" s="6"/>
      <c r="BZ1013" s="6"/>
      <c r="CA1013" s="6"/>
      <c r="CB1013" s="6"/>
      <c r="CC1013" s="6"/>
      <c r="CD1013" s="6"/>
      <c r="CE1013" s="6"/>
      <c r="CF1013" s="6"/>
      <c r="CG1013" s="6"/>
      <c r="CH1013" s="6"/>
      <c r="CI1013" s="6"/>
      <c r="CJ1013" s="6"/>
      <c r="CK1013" s="6"/>
      <c r="CL1013" s="6"/>
      <c r="CM1013" s="6"/>
      <c r="CN1013" s="6"/>
      <c r="CO1013" s="6"/>
      <c r="CP1013" s="6"/>
      <c r="CQ1013" s="6"/>
      <c r="CR1013" s="6"/>
      <c r="CS1013" s="6"/>
      <c r="CT1013" s="6"/>
      <c r="CU1013" s="6"/>
      <c r="CV1013" s="6"/>
      <c r="CW1013" s="6"/>
      <c r="CX1013" s="6"/>
      <c r="CY1013" s="6"/>
      <c r="CZ1013" s="6"/>
      <c r="DA1013" s="6"/>
      <c r="DB1013" s="6"/>
      <c r="DC1013" s="6"/>
      <c r="DD1013" s="6"/>
    </row>
    <row r="1014" spans="1:108" ht="12.75" hidden="1" customHeight="1" outlineLevel="6">
      <c r="A1014" s="104" t="s">
        <v>207</v>
      </c>
      <c r="B1014" s="6">
        <v>0</v>
      </c>
      <c r="C1014" s="20"/>
      <c r="D1014" s="18" t="str">
        <f t="shared" si="54"/>
        <v>&lt;Max_Width_Location&gt;0.000000&lt;/Max_Width_Location&gt;</v>
      </c>
      <c r="E1014" s="174" t="str">
        <f t="shared" si="50"/>
        <v>Yes</v>
      </c>
      <c r="F1014" s="6" t="s">
        <v>797</v>
      </c>
      <c r="G1014" s="6"/>
      <c r="H1014" s="6"/>
      <c r="I1014" s="6"/>
      <c r="J1014" s="6"/>
      <c r="K1014" s="6"/>
      <c r="L1014" s="6"/>
      <c r="M1014" s="6"/>
      <c r="N1014" s="6"/>
      <c r="O1014" s="6"/>
      <c r="P1014" s="6"/>
      <c r="Q1014" s="6"/>
      <c r="R1014" s="6"/>
      <c r="S1014" s="6"/>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c r="BU1014" s="6"/>
      <c r="BV1014" s="6"/>
      <c r="BW1014" s="6"/>
      <c r="BX1014" s="6"/>
      <c r="BY1014" s="6"/>
      <c r="BZ1014" s="6"/>
      <c r="CA1014" s="6"/>
      <c r="CB1014" s="6"/>
      <c r="CC1014" s="6"/>
      <c r="CD1014" s="6"/>
      <c r="CE1014" s="6"/>
      <c r="CF1014" s="6"/>
      <c r="CG1014" s="6"/>
      <c r="CH1014" s="6"/>
      <c r="CI1014" s="6"/>
      <c r="CJ1014" s="6"/>
      <c r="CK1014" s="6"/>
      <c r="CL1014" s="6"/>
      <c r="CM1014" s="6"/>
      <c r="CN1014" s="6"/>
      <c r="CO1014" s="6"/>
      <c r="CP1014" s="6"/>
      <c r="CQ1014" s="6"/>
      <c r="CR1014" s="6"/>
      <c r="CS1014" s="6"/>
      <c r="CT1014" s="6"/>
      <c r="CU1014" s="6"/>
      <c r="CV1014" s="6"/>
      <c r="CW1014" s="6"/>
      <c r="CX1014" s="6"/>
      <c r="CY1014" s="6"/>
      <c r="CZ1014" s="6"/>
      <c r="DA1014" s="6"/>
      <c r="DB1014" s="6"/>
      <c r="DC1014" s="6"/>
      <c r="DD1014" s="6"/>
    </row>
    <row r="1015" spans="1:108" ht="12.75" hidden="1" customHeight="1" outlineLevel="6">
      <c r="A1015" s="104" t="s">
        <v>208</v>
      </c>
      <c r="B1015" s="6">
        <v>0.5</v>
      </c>
      <c r="C1015" s="20"/>
      <c r="D1015" s="18" t="str">
        <f t="shared" si="54"/>
        <v>&lt;Corner_Radius&gt;0.500000&lt;/Corner_Radius&gt;</v>
      </c>
      <c r="E1015" s="174" t="str">
        <f t="shared" si="50"/>
        <v>Yes</v>
      </c>
      <c r="F1015" s="6" t="s">
        <v>798</v>
      </c>
      <c r="G1015" s="6"/>
      <c r="H1015" s="6"/>
      <c r="I1015" s="6"/>
      <c r="J1015" s="6"/>
      <c r="K1015" s="6"/>
      <c r="L1015" s="6"/>
      <c r="M1015" s="6"/>
      <c r="N1015" s="6"/>
      <c r="O1015" s="6"/>
      <c r="P1015" s="6"/>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row>
    <row r="1016" spans="1:108" ht="12.75" hidden="1" customHeight="1" outlineLevel="6">
      <c r="A1016" s="104" t="s">
        <v>209</v>
      </c>
      <c r="B1016" s="6">
        <v>90</v>
      </c>
      <c r="C1016" s="20"/>
      <c r="D1016" s="18" t="str">
        <f t="shared" si="54"/>
        <v>&lt;Top_Tan_Angle&gt;90.000000&lt;/Top_Tan_Angle&gt;</v>
      </c>
      <c r="E1016" s="174" t="str">
        <f t="shared" si="50"/>
        <v>Yes</v>
      </c>
      <c r="F1016" s="6" t="s">
        <v>799</v>
      </c>
      <c r="G1016" s="6"/>
      <c r="H1016" s="6"/>
      <c r="I1016" s="6"/>
      <c r="J1016" s="6"/>
      <c r="K1016" s="6"/>
      <c r="L1016" s="6"/>
      <c r="M1016" s="6"/>
      <c r="N1016" s="6"/>
      <c r="O1016" s="6"/>
      <c r="P1016" s="6"/>
      <c r="Q1016" s="6"/>
      <c r="R1016" s="6"/>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c r="BU1016" s="6"/>
      <c r="BV1016" s="6"/>
      <c r="BW1016" s="6"/>
      <c r="BX1016" s="6"/>
      <c r="BY1016" s="6"/>
      <c r="BZ1016" s="6"/>
      <c r="CA1016" s="6"/>
      <c r="CB1016" s="6"/>
      <c r="CC1016" s="6"/>
      <c r="CD1016" s="6"/>
      <c r="CE1016" s="6"/>
      <c r="CF1016" s="6"/>
      <c r="CG1016" s="6"/>
      <c r="CH1016" s="6"/>
      <c r="CI1016" s="6"/>
      <c r="CJ1016" s="6"/>
      <c r="CK1016" s="6"/>
      <c r="CL1016" s="6"/>
      <c r="CM1016" s="6"/>
      <c r="CN1016" s="6"/>
      <c r="CO1016" s="6"/>
      <c r="CP1016" s="6"/>
      <c r="CQ1016" s="6"/>
      <c r="CR1016" s="6"/>
      <c r="CS1016" s="6"/>
      <c r="CT1016" s="6"/>
      <c r="CU1016" s="6"/>
      <c r="CV1016" s="6"/>
      <c r="CW1016" s="6"/>
      <c r="CX1016" s="6"/>
      <c r="CY1016" s="6"/>
      <c r="CZ1016" s="6"/>
      <c r="DA1016" s="6"/>
      <c r="DB1016" s="6"/>
      <c r="DC1016" s="6"/>
      <c r="DD1016" s="6"/>
    </row>
    <row r="1017" spans="1:108" ht="12.75" hidden="1" customHeight="1" outlineLevel="6">
      <c r="A1017" s="104" t="s">
        <v>210</v>
      </c>
      <c r="B1017" s="6">
        <v>90</v>
      </c>
      <c r="C1017" s="20"/>
      <c r="D1017" s="18" t="str">
        <f t="shared" si="54"/>
        <v>&lt;Bot_Tan_Angle&gt;90.000000&lt;/Bot_Tan_Angle&gt;</v>
      </c>
      <c r="E1017" s="174" t="str">
        <f t="shared" ref="E1017:E1080" si="55">IF(D1017=F1017,"Yes","No")</f>
        <v>Yes</v>
      </c>
      <c r="F1017" s="6" t="s">
        <v>800</v>
      </c>
      <c r="G1017" s="6"/>
      <c r="H1017" s="6"/>
      <c r="I1017" s="6"/>
      <c r="J1017" s="6"/>
      <c r="K1017" s="6"/>
      <c r="L1017" s="6"/>
      <c r="M1017" s="6"/>
      <c r="N1017" s="6"/>
      <c r="O1017" s="6"/>
      <c r="P1017" s="6"/>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c r="BU1017" s="6"/>
      <c r="BV1017" s="6"/>
      <c r="BW1017" s="6"/>
      <c r="BX1017" s="6"/>
      <c r="BY1017" s="6"/>
      <c r="BZ1017" s="6"/>
      <c r="CA1017" s="6"/>
      <c r="CB1017" s="6"/>
      <c r="CC1017" s="6"/>
      <c r="CD1017" s="6"/>
      <c r="CE1017" s="6"/>
      <c r="CF1017" s="6"/>
      <c r="CG1017" s="6"/>
      <c r="CH1017" s="6"/>
      <c r="CI1017" s="6"/>
      <c r="CJ1017" s="6"/>
      <c r="CK1017" s="6"/>
      <c r="CL1017" s="6"/>
      <c r="CM1017" s="6"/>
      <c r="CN1017" s="6"/>
      <c r="CO1017" s="6"/>
      <c r="CP1017" s="6"/>
      <c r="CQ1017" s="6"/>
      <c r="CR1017" s="6"/>
      <c r="CS1017" s="6"/>
      <c r="CT1017" s="6"/>
      <c r="CU1017" s="6"/>
      <c r="CV1017" s="6"/>
      <c r="CW1017" s="6"/>
      <c r="CX1017" s="6"/>
      <c r="CY1017" s="6"/>
      <c r="CZ1017" s="6"/>
      <c r="DA1017" s="6"/>
      <c r="DB1017" s="6"/>
      <c r="DC1017" s="6"/>
      <c r="DD1017" s="6"/>
    </row>
    <row r="1018" spans="1:108" ht="12.75" hidden="1" customHeight="1" outlineLevel="6">
      <c r="A1018" s="104" t="s">
        <v>211</v>
      </c>
      <c r="B1018" s="6">
        <v>0.83</v>
      </c>
      <c r="C1018" s="20"/>
      <c r="D1018" s="18" t="str">
        <f t="shared" si="54"/>
        <v>&lt;Top_Tan_Strength&gt;0.830000&lt;/Top_Tan_Strength&gt;</v>
      </c>
      <c r="E1018" s="174" t="str">
        <f t="shared" si="55"/>
        <v>Yes</v>
      </c>
      <c r="F1018" s="6" t="s">
        <v>801</v>
      </c>
      <c r="G1018" s="6"/>
      <c r="H1018" s="6"/>
      <c r="I1018" s="6"/>
      <c r="J1018" s="6"/>
      <c r="K1018" s="6"/>
      <c r="L1018" s="6"/>
      <c r="M1018" s="6"/>
      <c r="N1018" s="6"/>
      <c r="O1018" s="6"/>
      <c r="P1018" s="6"/>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c r="BU1018" s="6"/>
      <c r="BV1018" s="6"/>
      <c r="BW1018" s="6"/>
      <c r="BX1018" s="6"/>
      <c r="BY1018" s="6"/>
      <c r="BZ1018" s="6"/>
      <c r="CA1018" s="6"/>
      <c r="CB1018" s="6"/>
      <c r="CC1018" s="6"/>
      <c r="CD1018" s="6"/>
      <c r="CE1018" s="6"/>
      <c r="CF1018" s="6"/>
      <c r="CG1018" s="6"/>
      <c r="CH1018" s="6"/>
      <c r="CI1018" s="6"/>
      <c r="CJ1018" s="6"/>
      <c r="CK1018" s="6"/>
      <c r="CL1018" s="6"/>
      <c r="CM1018" s="6"/>
      <c r="CN1018" s="6"/>
      <c r="CO1018" s="6"/>
      <c r="CP1018" s="6"/>
      <c r="CQ1018" s="6"/>
      <c r="CR1018" s="6"/>
      <c r="CS1018" s="6"/>
      <c r="CT1018" s="6"/>
      <c r="CU1018" s="6"/>
      <c r="CV1018" s="6"/>
      <c r="CW1018" s="6"/>
      <c r="CX1018" s="6"/>
      <c r="CY1018" s="6"/>
      <c r="CZ1018" s="6"/>
      <c r="DA1018" s="6"/>
      <c r="DB1018" s="6"/>
      <c r="DC1018" s="6"/>
      <c r="DD1018" s="6"/>
    </row>
    <row r="1019" spans="1:108" ht="12.75" hidden="1" customHeight="1" outlineLevel="6">
      <c r="A1019" s="104" t="s">
        <v>212</v>
      </c>
      <c r="B1019" s="6">
        <v>0.83</v>
      </c>
      <c r="C1019" s="20"/>
      <c r="D1019" s="18" t="str">
        <f t="shared" si="54"/>
        <v>&lt;Upper_Tan_Strength&gt;0.830000&lt;/Upper_Tan_Strength&gt;</v>
      </c>
      <c r="E1019" s="174" t="str">
        <f t="shared" si="55"/>
        <v>Yes</v>
      </c>
      <c r="F1019" s="6" t="s">
        <v>802</v>
      </c>
      <c r="G1019" s="6"/>
      <c r="H1019" s="6"/>
      <c r="I1019" s="6"/>
      <c r="J1019" s="6"/>
      <c r="K1019" s="6"/>
      <c r="L1019" s="6"/>
      <c r="M1019" s="6"/>
      <c r="N1019" s="6"/>
      <c r="O1019" s="6"/>
      <c r="P1019" s="6"/>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c r="BU1019" s="6"/>
      <c r="BV1019" s="6"/>
      <c r="BW1019" s="6"/>
      <c r="BX1019" s="6"/>
      <c r="BY1019" s="6"/>
      <c r="BZ1019" s="6"/>
      <c r="CA1019" s="6"/>
      <c r="CB1019" s="6"/>
      <c r="CC1019" s="6"/>
      <c r="CD1019" s="6"/>
      <c r="CE1019" s="6"/>
      <c r="CF1019" s="6"/>
      <c r="CG1019" s="6"/>
      <c r="CH1019" s="6"/>
      <c r="CI1019" s="6"/>
      <c r="CJ1019" s="6"/>
      <c r="CK1019" s="6"/>
      <c r="CL1019" s="6"/>
      <c r="CM1019" s="6"/>
      <c r="CN1019" s="6"/>
      <c r="CO1019" s="6"/>
      <c r="CP1019" s="6"/>
      <c r="CQ1019" s="6"/>
      <c r="CR1019" s="6"/>
      <c r="CS1019" s="6"/>
      <c r="CT1019" s="6"/>
      <c r="CU1019" s="6"/>
      <c r="CV1019" s="6"/>
      <c r="CW1019" s="6"/>
      <c r="CX1019" s="6"/>
      <c r="CY1019" s="6"/>
      <c r="CZ1019" s="6"/>
      <c r="DA1019" s="6"/>
      <c r="DB1019" s="6"/>
      <c r="DC1019" s="6"/>
      <c r="DD1019" s="6"/>
    </row>
    <row r="1020" spans="1:108" ht="12.75" hidden="1" customHeight="1" outlineLevel="6">
      <c r="A1020" s="104" t="s">
        <v>213</v>
      </c>
      <c r="B1020" s="6">
        <v>0.83</v>
      </c>
      <c r="C1020" s="20"/>
      <c r="D1020" s="18" t="str">
        <f t="shared" si="54"/>
        <v>&lt;Lower_Tan_Strength&gt;0.830000&lt;/Lower_Tan_Strength&gt;</v>
      </c>
      <c r="E1020" s="174" t="str">
        <f t="shared" si="55"/>
        <v>Yes</v>
      </c>
      <c r="F1020" s="6" t="s">
        <v>803</v>
      </c>
      <c r="G1020" s="6"/>
      <c r="H1020" s="6"/>
      <c r="I1020" s="6"/>
      <c r="J1020" s="6"/>
      <c r="K1020" s="6"/>
      <c r="L1020" s="6"/>
      <c r="M1020" s="6"/>
      <c r="N1020" s="6"/>
      <c r="O1020" s="6"/>
      <c r="P1020" s="6"/>
      <c r="Q1020" s="6"/>
      <c r="R1020" s="6"/>
      <c r="S1020" s="6"/>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c r="BU1020" s="6"/>
      <c r="BV1020" s="6"/>
      <c r="BW1020" s="6"/>
      <c r="BX1020" s="6"/>
      <c r="BY1020" s="6"/>
      <c r="BZ1020" s="6"/>
      <c r="CA1020" s="6"/>
      <c r="CB1020" s="6"/>
      <c r="CC1020" s="6"/>
      <c r="CD1020" s="6"/>
      <c r="CE1020" s="6"/>
      <c r="CF1020" s="6"/>
      <c r="CG1020" s="6"/>
      <c r="CH1020" s="6"/>
      <c r="CI1020" s="6"/>
      <c r="CJ1020" s="6"/>
      <c r="CK1020" s="6"/>
      <c r="CL1020" s="6"/>
      <c r="CM1020" s="6"/>
      <c r="CN1020" s="6"/>
      <c r="CO1020" s="6"/>
      <c r="CP1020" s="6"/>
      <c r="CQ1020" s="6"/>
      <c r="CR1020" s="6"/>
      <c r="CS1020" s="6"/>
      <c r="CT1020" s="6"/>
      <c r="CU1020" s="6"/>
      <c r="CV1020" s="6"/>
      <c r="CW1020" s="6"/>
      <c r="CX1020" s="6"/>
      <c r="CY1020" s="6"/>
      <c r="CZ1020" s="6"/>
      <c r="DA1020" s="6"/>
      <c r="DB1020" s="6"/>
      <c r="DC1020" s="6"/>
      <c r="DD1020" s="6"/>
    </row>
    <row r="1021" spans="1:108" ht="12.75" hidden="1" customHeight="1" outlineLevel="6">
      <c r="A1021" s="104" t="s">
        <v>214</v>
      </c>
      <c r="B1021" s="6">
        <v>0.83</v>
      </c>
      <c r="C1021" s="20"/>
      <c r="D1021" s="18" t="str">
        <f t="shared" si="54"/>
        <v>&lt;Bottom_Tan_Strength&gt;0.830000&lt;/Bottom_Tan_Strength&gt;</v>
      </c>
      <c r="E1021" s="174" t="str">
        <f t="shared" si="55"/>
        <v>Yes</v>
      </c>
      <c r="F1021" s="6" t="s">
        <v>804</v>
      </c>
      <c r="G1021" s="6"/>
      <c r="H1021" s="6"/>
      <c r="I1021" s="6"/>
      <c r="J1021" s="6"/>
      <c r="K1021" s="6"/>
      <c r="L1021" s="6"/>
      <c r="M1021" s="6"/>
      <c r="N1021" s="6"/>
      <c r="O1021" s="6"/>
      <c r="P1021" s="6"/>
      <c r="Q1021" s="6"/>
      <c r="R1021" s="6"/>
      <c r="S1021" s="6"/>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c r="BU1021" s="6"/>
      <c r="BV1021" s="6"/>
      <c r="BW1021" s="6"/>
      <c r="BX1021" s="6"/>
      <c r="BY1021" s="6"/>
      <c r="BZ1021" s="6"/>
      <c r="CA1021" s="6"/>
      <c r="CB1021" s="6"/>
      <c r="CC1021" s="6"/>
      <c r="CD1021" s="6"/>
      <c r="CE1021" s="6"/>
      <c r="CF1021" s="6"/>
      <c r="CG1021" s="6"/>
      <c r="CH1021" s="6"/>
      <c r="CI1021" s="6"/>
      <c r="CJ1021" s="6"/>
      <c r="CK1021" s="6"/>
      <c r="CL1021" s="6"/>
      <c r="CM1021" s="6"/>
      <c r="CN1021" s="6"/>
      <c r="CO1021" s="6"/>
      <c r="CP1021" s="6"/>
      <c r="CQ1021" s="6"/>
      <c r="CR1021" s="6"/>
      <c r="CS1021" s="6"/>
      <c r="CT1021" s="6"/>
      <c r="CU1021" s="6"/>
      <c r="CV1021" s="6"/>
      <c r="CW1021" s="6"/>
      <c r="CX1021" s="6"/>
      <c r="CY1021" s="6"/>
      <c r="CZ1021" s="6"/>
      <c r="DA1021" s="6"/>
      <c r="DB1021" s="6"/>
      <c r="DC1021" s="6"/>
      <c r="DD1021" s="6"/>
    </row>
    <row r="1022" spans="1:108" ht="12.75" hidden="1" customHeight="1" outlineLevel="6">
      <c r="A1022" s="104" t="s">
        <v>217</v>
      </c>
      <c r="C1022" s="20"/>
      <c r="D1022" s="6" t="str">
        <f>"&lt;" &amp; A1022 &amp; "&gt;"</f>
        <v>&lt;/IML_Parms&gt;</v>
      </c>
      <c r="E1022" s="174" t="str">
        <f t="shared" si="55"/>
        <v>Yes</v>
      </c>
      <c r="F1022" s="6" t="s">
        <v>810</v>
      </c>
      <c r="G1022" s="6"/>
      <c r="H1022" s="6"/>
      <c r="I1022" s="6"/>
      <c r="J1022" s="6"/>
      <c r="K1022" s="6"/>
      <c r="L1022" s="6"/>
      <c r="M1022" s="6"/>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c r="BU1022" s="6"/>
      <c r="BV1022" s="6"/>
      <c r="BW1022" s="6"/>
      <c r="BX1022" s="6"/>
      <c r="BY1022" s="6"/>
      <c r="BZ1022" s="6"/>
      <c r="CA1022" s="6"/>
      <c r="CB1022" s="6"/>
      <c r="CC1022" s="6"/>
      <c r="CD1022" s="6"/>
      <c r="CE1022" s="6"/>
      <c r="CF1022" s="6"/>
      <c r="CG1022" s="6"/>
      <c r="CH1022" s="6"/>
      <c r="CI1022" s="6"/>
      <c r="CJ1022" s="6"/>
      <c r="CK1022" s="6"/>
      <c r="CL1022" s="6"/>
      <c r="CM1022" s="6"/>
      <c r="CN1022" s="6"/>
      <c r="CO1022" s="6"/>
      <c r="CP1022" s="6"/>
      <c r="CQ1022" s="6"/>
      <c r="CR1022" s="6"/>
      <c r="CS1022" s="6"/>
      <c r="CT1022" s="6"/>
      <c r="CU1022" s="6"/>
      <c r="CV1022" s="6"/>
      <c r="CW1022" s="6"/>
      <c r="CX1022" s="6"/>
      <c r="CY1022" s="6"/>
      <c r="CZ1022" s="6"/>
      <c r="DA1022" s="6"/>
      <c r="DB1022" s="6"/>
      <c r="DC1022" s="6"/>
      <c r="DD1022" s="6"/>
    </row>
    <row r="1023" spans="1:108" ht="12.75" hidden="1" customHeight="1" outlineLevel="5">
      <c r="A1023" s="104" t="s">
        <v>218</v>
      </c>
      <c r="C1023" s="20"/>
      <c r="D1023" s="6" t="str">
        <f>"&lt;" &amp; A1023 &amp; "&gt;"</f>
        <v>&lt;/Cross_Section&gt;</v>
      </c>
      <c r="E1023" s="174" t="str">
        <f t="shared" si="55"/>
        <v>Yes</v>
      </c>
      <c r="F1023" s="6" t="s">
        <v>811</v>
      </c>
      <c r="G1023" s="6"/>
      <c r="H1023" s="6"/>
      <c r="I1023" s="6"/>
      <c r="J1023" s="6"/>
      <c r="K1023" s="6"/>
      <c r="L1023" s="6"/>
      <c r="M1023" s="6"/>
      <c r="N1023" s="6"/>
      <c r="O1023" s="6"/>
      <c r="P1023" s="6"/>
      <c r="Q1023" s="6"/>
      <c r="R1023" s="6"/>
      <c r="S1023" s="6"/>
      <c r="T1023" s="6"/>
      <c r="U1023" s="6"/>
      <c r="V1023" s="6"/>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c r="BU1023" s="6"/>
      <c r="BV1023" s="6"/>
      <c r="BW1023" s="6"/>
      <c r="BX1023" s="6"/>
      <c r="BY1023" s="6"/>
      <c r="BZ1023" s="6"/>
      <c r="CA1023" s="6"/>
      <c r="CB1023" s="6"/>
      <c r="CC1023" s="6"/>
      <c r="CD1023" s="6"/>
      <c r="CE1023" s="6"/>
      <c r="CF1023" s="6"/>
      <c r="CG1023" s="6"/>
      <c r="CH1023" s="6"/>
      <c r="CI1023" s="6"/>
      <c r="CJ1023" s="6"/>
      <c r="CK1023" s="6"/>
      <c r="CL1023" s="6"/>
      <c r="CM1023" s="6"/>
      <c r="CN1023" s="6"/>
      <c r="CO1023" s="6"/>
      <c r="CP1023" s="6"/>
      <c r="CQ1023" s="6"/>
      <c r="CR1023" s="6"/>
      <c r="CS1023" s="6"/>
      <c r="CT1023" s="6"/>
      <c r="CU1023" s="6"/>
      <c r="CV1023" s="6"/>
      <c r="CW1023" s="6"/>
      <c r="CX1023" s="6"/>
      <c r="CY1023" s="6"/>
      <c r="CZ1023" s="6"/>
      <c r="DA1023" s="6"/>
      <c r="DB1023" s="6"/>
      <c r="DC1023" s="6"/>
      <c r="DD1023" s="6"/>
    </row>
    <row r="1024" spans="1:108" ht="12.75" hidden="1" customHeight="1" outlineLevel="4">
      <c r="A1024" s="104" t="s">
        <v>188</v>
      </c>
      <c r="B1024" s="99" t="s">
        <v>395</v>
      </c>
      <c r="C1024" s="20"/>
      <c r="D1024" s="6" t="str">
        <f>"&lt;" &amp; A1024 &amp; "&gt;"</f>
        <v>&lt;Cross_Section&gt;</v>
      </c>
      <c r="E1024" s="174" t="str">
        <f t="shared" si="55"/>
        <v>Yes</v>
      </c>
      <c r="F1024" s="6" t="s">
        <v>776</v>
      </c>
      <c r="G1024" s="6"/>
      <c r="H1024" s="6"/>
      <c r="I1024" s="6"/>
      <c r="J1024" s="6"/>
      <c r="K1024" s="6"/>
      <c r="L1024" s="6"/>
      <c r="M1024" s="6"/>
      <c r="N1024" s="6"/>
      <c r="O1024" s="6"/>
      <c r="P1024" s="6"/>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c r="BU1024" s="6"/>
      <c r="BV1024" s="6"/>
      <c r="BW1024" s="6"/>
      <c r="BX1024" s="6"/>
      <c r="BY1024" s="6"/>
      <c r="BZ1024" s="6"/>
      <c r="CA1024" s="6"/>
      <c r="CB1024" s="6"/>
      <c r="CC1024" s="6"/>
      <c r="CD1024" s="6"/>
      <c r="CE1024" s="6"/>
      <c r="CF1024" s="6"/>
      <c r="CG1024" s="6"/>
      <c r="CH1024" s="6"/>
      <c r="CI1024" s="6"/>
      <c r="CJ1024" s="6"/>
      <c r="CK1024" s="6"/>
      <c r="CL1024" s="6"/>
      <c r="CM1024" s="6"/>
      <c r="CN1024" s="6"/>
      <c r="CO1024" s="6"/>
      <c r="CP1024" s="6"/>
      <c r="CQ1024" s="6"/>
      <c r="CR1024" s="6"/>
      <c r="CS1024" s="6"/>
      <c r="CT1024" s="6"/>
      <c r="CU1024" s="6"/>
      <c r="CV1024" s="6"/>
      <c r="CW1024" s="6"/>
      <c r="CX1024" s="6"/>
      <c r="CY1024" s="6"/>
      <c r="CZ1024" s="6"/>
      <c r="DA1024" s="6"/>
      <c r="DB1024" s="6"/>
      <c r="DC1024" s="6"/>
      <c r="DD1024" s="6"/>
    </row>
    <row r="1025" spans="1:108" ht="12.75" hidden="1" customHeight="1" outlineLevel="5">
      <c r="A1025" s="104" t="s">
        <v>189</v>
      </c>
      <c r="B1025" s="108">
        <v>45</v>
      </c>
      <c r="C1025" s="20"/>
      <c r="D1025" s="18" t="str">
        <f>"&lt;" &amp; A1025 &amp; "&gt;" &amp; TEXT(B1025,0) &amp; "&lt;/" &amp; A1025 &amp; "&gt;"</f>
        <v>&lt;Num_Pnts&gt;45&lt;/Num_Pnts&gt;</v>
      </c>
      <c r="E1025" s="174" t="str">
        <f t="shared" si="55"/>
        <v>Yes</v>
      </c>
      <c r="F1025" s="6" t="s">
        <v>777</v>
      </c>
      <c r="G1025" s="6"/>
      <c r="H1025" s="6"/>
      <c r="I1025" s="6"/>
      <c r="J1025" s="6"/>
      <c r="K1025" s="6"/>
      <c r="L1025" s="6"/>
      <c r="M1025" s="6"/>
      <c r="N1025" s="6"/>
      <c r="O1025" s="6"/>
      <c r="P1025" s="6"/>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c r="BU1025" s="6"/>
      <c r="BV1025" s="6"/>
      <c r="BW1025" s="6"/>
      <c r="BX1025" s="6"/>
      <c r="BY1025" s="6"/>
      <c r="BZ1025" s="6"/>
      <c r="CA1025" s="6"/>
      <c r="CB1025" s="6"/>
      <c r="CC1025" s="6"/>
      <c r="CD1025" s="6"/>
      <c r="CE1025" s="6"/>
      <c r="CF1025" s="6"/>
      <c r="CG1025" s="6"/>
      <c r="CH1025" s="6"/>
      <c r="CI1025" s="6"/>
      <c r="CJ1025" s="6"/>
      <c r="CK1025" s="6"/>
      <c r="CL1025" s="6"/>
      <c r="CM1025" s="6"/>
      <c r="CN1025" s="6"/>
      <c r="CO1025" s="6"/>
      <c r="CP1025" s="6"/>
      <c r="CQ1025" s="6"/>
      <c r="CR1025" s="6"/>
      <c r="CS1025" s="6"/>
      <c r="CT1025" s="6"/>
      <c r="CU1025" s="6"/>
      <c r="CV1025" s="6"/>
      <c r="CW1025" s="6"/>
      <c r="CX1025" s="6"/>
      <c r="CY1025" s="6"/>
      <c r="CZ1025" s="6"/>
      <c r="DA1025" s="6"/>
      <c r="DB1025" s="6"/>
      <c r="DC1025" s="6"/>
      <c r="DD1025" s="6"/>
    </row>
    <row r="1026" spans="1:108" ht="12.75" hidden="1" customHeight="1" outlineLevel="5">
      <c r="A1026" s="104" t="s">
        <v>190</v>
      </c>
      <c r="B1026" s="36">
        <f>(l_F-l_aft.F)/l_F</f>
        <v>0.63497206703910614</v>
      </c>
      <c r="C1026" s="20"/>
      <c r="D1026" s="18" t="str">
        <f t="shared" ref="D1026:D1035" si="56">"&lt;" &amp; A1026 &amp; "&gt;" &amp; TEXT(B1026,"0.000000") &amp; "&lt;/" &amp; A1026 &amp; "&gt;"</f>
        <v>&lt;Spine_Location&gt;0.634972&lt;/Spine_Location&gt;</v>
      </c>
      <c r="E1026" s="174" t="str">
        <f t="shared" si="55"/>
        <v>Yes</v>
      </c>
      <c r="F1026" s="6" t="s">
        <v>832</v>
      </c>
      <c r="G1026" s="6"/>
      <c r="H1026" s="6"/>
      <c r="I1026" s="6"/>
      <c r="J1026" s="6"/>
      <c r="K1026" s="6"/>
      <c r="L1026" s="6"/>
      <c r="M1026" s="6"/>
      <c r="N1026" s="6"/>
      <c r="O1026" s="6"/>
      <c r="P1026" s="6"/>
      <c r="Q1026" s="6"/>
      <c r="R1026" s="6"/>
      <c r="S1026" s="6"/>
      <c r="T1026" s="6"/>
      <c r="U1026" s="6"/>
      <c r="V1026" s="6"/>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c r="BU1026" s="6"/>
      <c r="BV1026" s="6"/>
      <c r="BW1026" s="6"/>
      <c r="BX1026" s="6"/>
      <c r="BY1026" s="6"/>
      <c r="BZ1026" s="6"/>
      <c r="CA1026" s="6"/>
      <c r="CB1026" s="6"/>
      <c r="CC1026" s="6"/>
      <c r="CD1026" s="6"/>
      <c r="CE1026" s="6"/>
      <c r="CF1026" s="6"/>
      <c r="CG1026" s="6"/>
      <c r="CH1026" s="6"/>
      <c r="CI1026" s="6"/>
      <c r="CJ1026" s="6"/>
      <c r="CK1026" s="6"/>
      <c r="CL1026" s="6"/>
      <c r="CM1026" s="6"/>
      <c r="CN1026" s="6"/>
      <c r="CO1026" s="6"/>
      <c r="CP1026" s="6"/>
      <c r="CQ1026" s="6"/>
      <c r="CR1026" s="6"/>
      <c r="CS1026" s="6"/>
      <c r="CT1026" s="6"/>
      <c r="CU1026" s="6"/>
      <c r="CV1026" s="6"/>
      <c r="CW1026" s="6"/>
      <c r="CX1026" s="6"/>
      <c r="CY1026" s="6"/>
      <c r="CZ1026" s="6"/>
      <c r="DA1026" s="6"/>
      <c r="DB1026" s="6"/>
      <c r="DC1026" s="6"/>
      <c r="DD1026" s="6"/>
    </row>
    <row r="1027" spans="1:108" ht="12.75" hidden="1" customHeight="1" outlineLevel="5">
      <c r="A1027" s="104" t="s">
        <v>191</v>
      </c>
      <c r="B1027" s="108">
        <v>0</v>
      </c>
      <c r="C1027" s="20"/>
      <c r="D1027" s="18" t="str">
        <f t="shared" si="56"/>
        <v>&lt;Z_Offset&gt;0.000000&lt;/Z_Offset&gt;</v>
      </c>
      <c r="E1027" s="174" t="str">
        <f t="shared" si="55"/>
        <v>Yes</v>
      </c>
      <c r="F1027" s="6" t="s">
        <v>829</v>
      </c>
      <c r="G1027" s="6"/>
      <c r="H1027" s="6"/>
      <c r="I1027" s="6"/>
      <c r="J1027" s="6"/>
      <c r="K1027" s="6"/>
      <c r="L1027" s="6"/>
      <c r="M1027" s="6"/>
      <c r="N1027" s="6"/>
      <c r="O1027" s="6"/>
      <c r="P1027" s="6"/>
      <c r="Q1027" s="6"/>
      <c r="R1027" s="6"/>
      <c r="S1027" s="6"/>
      <c r="T1027" s="6"/>
      <c r="U1027" s="6"/>
      <c r="V1027" s="6"/>
      <c r="W1027" s="6"/>
      <c r="X1027" s="6"/>
      <c r="Y1027" s="6"/>
      <c r="Z1027" s="6"/>
      <c r="AA1027" s="6"/>
      <c r="AB1027" s="6"/>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c r="BU1027" s="6"/>
      <c r="BV1027" s="6"/>
      <c r="BW1027" s="6"/>
      <c r="BX1027" s="6"/>
      <c r="BY1027" s="6"/>
      <c r="BZ1027" s="6"/>
      <c r="CA1027" s="6"/>
      <c r="CB1027" s="6"/>
      <c r="CC1027" s="6"/>
      <c r="CD1027" s="6"/>
      <c r="CE1027" s="6"/>
      <c r="CF1027" s="6"/>
      <c r="CG1027" s="6"/>
      <c r="CH1027" s="6"/>
      <c r="CI1027" s="6"/>
      <c r="CJ1027" s="6"/>
      <c r="CK1027" s="6"/>
      <c r="CL1027" s="6"/>
      <c r="CM1027" s="6"/>
      <c r="CN1027" s="6"/>
      <c r="CO1027" s="6"/>
      <c r="CP1027" s="6"/>
      <c r="CQ1027" s="6"/>
      <c r="CR1027" s="6"/>
      <c r="CS1027" s="6"/>
      <c r="CT1027" s="6"/>
      <c r="CU1027" s="6"/>
      <c r="CV1027" s="6"/>
      <c r="CW1027" s="6"/>
      <c r="CX1027" s="6"/>
      <c r="CY1027" s="6"/>
      <c r="CZ1027" s="6"/>
      <c r="DA1027" s="6"/>
      <c r="DB1027" s="6"/>
      <c r="DC1027" s="6"/>
      <c r="DD1027" s="6"/>
    </row>
    <row r="1028" spans="1:108" ht="12.75" hidden="1" customHeight="1" outlineLevel="5">
      <c r="A1028" s="104" t="s">
        <v>192</v>
      </c>
      <c r="B1028" s="108">
        <v>0.5</v>
      </c>
      <c r="C1028" s="20"/>
      <c r="D1028" s="18" t="str">
        <f t="shared" si="56"/>
        <v>&lt;Top_Thick&gt;0.500000&lt;/Top_Thick&gt;</v>
      </c>
      <c r="E1028" s="174" t="str">
        <f t="shared" si="55"/>
        <v>Yes</v>
      </c>
      <c r="F1028" s="6" t="s">
        <v>780</v>
      </c>
      <c r="G1028" s="6"/>
      <c r="H1028" s="6"/>
      <c r="I1028" s="6"/>
      <c r="J1028" s="6"/>
      <c r="K1028" s="6"/>
      <c r="L1028" s="6"/>
      <c r="M1028" s="6"/>
      <c r="N1028" s="6"/>
      <c r="O1028" s="6"/>
      <c r="P1028" s="6"/>
      <c r="Q1028" s="6"/>
      <c r="R1028" s="6"/>
      <c r="S1028" s="6"/>
      <c r="T1028" s="6"/>
      <c r="U1028" s="6"/>
      <c r="V1028" s="6"/>
      <c r="W1028" s="6"/>
      <c r="X1028" s="6"/>
      <c r="Y1028" s="6"/>
      <c r="Z1028" s="6"/>
      <c r="AA1028" s="6"/>
      <c r="AB1028" s="6"/>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c r="BU1028" s="6"/>
      <c r="BV1028" s="6"/>
      <c r="BW1028" s="6"/>
      <c r="BX1028" s="6"/>
      <c r="BY1028" s="6"/>
      <c r="BZ1028" s="6"/>
      <c r="CA1028" s="6"/>
      <c r="CB1028" s="6"/>
      <c r="CC1028" s="6"/>
      <c r="CD1028" s="6"/>
      <c r="CE1028" s="6"/>
      <c r="CF1028" s="6"/>
      <c r="CG1028" s="6"/>
      <c r="CH1028" s="6"/>
      <c r="CI1028" s="6"/>
      <c r="CJ1028" s="6"/>
      <c r="CK1028" s="6"/>
      <c r="CL1028" s="6"/>
      <c r="CM1028" s="6"/>
      <c r="CN1028" s="6"/>
      <c r="CO1028" s="6"/>
      <c r="CP1028" s="6"/>
      <c r="CQ1028" s="6"/>
      <c r="CR1028" s="6"/>
      <c r="CS1028" s="6"/>
      <c r="CT1028" s="6"/>
      <c r="CU1028" s="6"/>
      <c r="CV1028" s="6"/>
      <c r="CW1028" s="6"/>
      <c r="CX1028" s="6"/>
      <c r="CY1028" s="6"/>
      <c r="CZ1028" s="6"/>
      <c r="DA1028" s="6"/>
      <c r="DB1028" s="6"/>
      <c r="DC1028" s="6"/>
      <c r="DD1028" s="6"/>
    </row>
    <row r="1029" spans="1:108" ht="12.75" hidden="1" customHeight="1" outlineLevel="5">
      <c r="A1029" s="104" t="s">
        <v>193</v>
      </c>
      <c r="B1029" s="108">
        <v>0.5</v>
      </c>
      <c r="C1029" s="20"/>
      <c r="D1029" s="18" t="str">
        <f t="shared" si="56"/>
        <v>&lt;Bot_Thick&gt;0.500000&lt;/Bot_Thick&gt;</v>
      </c>
      <c r="E1029" s="174" t="str">
        <f t="shared" si="55"/>
        <v>Yes</v>
      </c>
      <c r="F1029" s="6" t="s">
        <v>781</v>
      </c>
      <c r="G1029" s="6"/>
      <c r="H1029" s="6"/>
      <c r="I1029" s="6"/>
      <c r="J1029" s="6"/>
      <c r="K1029" s="6"/>
      <c r="L1029" s="6"/>
      <c r="M1029" s="6"/>
      <c r="N1029" s="6"/>
      <c r="O1029" s="6"/>
      <c r="P1029" s="6"/>
      <c r="Q1029" s="6"/>
      <c r="R1029" s="6"/>
      <c r="S1029" s="6"/>
      <c r="T1029" s="6"/>
      <c r="U1029" s="6"/>
      <c r="V1029" s="6"/>
      <c r="W1029" s="6"/>
      <c r="X1029" s="6"/>
      <c r="Y1029" s="6"/>
      <c r="Z1029" s="6"/>
      <c r="AA1029" s="6"/>
      <c r="AB1029" s="6"/>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c r="BU1029" s="6"/>
      <c r="BV1029" s="6"/>
      <c r="BW1029" s="6"/>
      <c r="BX1029" s="6"/>
      <c r="BY1029" s="6"/>
      <c r="BZ1029" s="6"/>
      <c r="CA1029" s="6"/>
      <c r="CB1029" s="6"/>
      <c r="CC1029" s="6"/>
      <c r="CD1029" s="6"/>
      <c r="CE1029" s="6"/>
      <c r="CF1029" s="6"/>
      <c r="CG1029" s="6"/>
      <c r="CH1029" s="6"/>
      <c r="CI1029" s="6"/>
      <c r="CJ1029" s="6"/>
      <c r="CK1029" s="6"/>
      <c r="CL1029" s="6"/>
      <c r="CM1029" s="6"/>
      <c r="CN1029" s="6"/>
      <c r="CO1029" s="6"/>
      <c r="CP1029" s="6"/>
      <c r="CQ1029" s="6"/>
      <c r="CR1029" s="6"/>
      <c r="CS1029" s="6"/>
      <c r="CT1029" s="6"/>
      <c r="CU1029" s="6"/>
      <c r="CV1029" s="6"/>
      <c r="CW1029" s="6"/>
      <c r="CX1029" s="6"/>
      <c r="CY1029" s="6"/>
      <c r="CZ1029" s="6"/>
      <c r="DA1029" s="6"/>
      <c r="DB1029" s="6"/>
      <c r="DC1029" s="6"/>
      <c r="DD1029" s="6"/>
    </row>
    <row r="1030" spans="1:108" ht="12.75" hidden="1" customHeight="1" outlineLevel="5">
      <c r="A1030" s="104" t="s">
        <v>194</v>
      </c>
      <c r="B1030" s="108">
        <v>0.5</v>
      </c>
      <c r="C1030" s="20"/>
      <c r="D1030" s="18" t="str">
        <f t="shared" si="56"/>
        <v>&lt;Side_Thick&gt;0.500000&lt;/Side_Thick&gt;</v>
      </c>
      <c r="E1030" s="174" t="str">
        <f t="shared" si="55"/>
        <v>Yes</v>
      </c>
      <c r="F1030" s="6" t="s">
        <v>782</v>
      </c>
      <c r="G1030" s="6"/>
      <c r="H1030" s="6"/>
      <c r="I1030" s="6"/>
      <c r="J1030" s="6"/>
      <c r="K1030" s="6"/>
      <c r="L1030" s="6"/>
      <c r="M1030" s="6"/>
      <c r="N1030" s="6"/>
      <c r="O1030" s="6"/>
      <c r="P1030" s="6"/>
      <c r="Q1030" s="6"/>
      <c r="R1030" s="6"/>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c r="BU1030" s="6"/>
      <c r="BV1030" s="6"/>
      <c r="BW1030" s="6"/>
      <c r="BX1030" s="6"/>
      <c r="BY1030" s="6"/>
      <c r="BZ1030" s="6"/>
      <c r="CA1030" s="6"/>
      <c r="CB1030" s="6"/>
      <c r="CC1030" s="6"/>
      <c r="CD1030" s="6"/>
      <c r="CE1030" s="6"/>
      <c r="CF1030" s="6"/>
      <c r="CG1030" s="6"/>
      <c r="CH1030" s="6"/>
      <c r="CI1030" s="6"/>
      <c r="CJ1030" s="6"/>
      <c r="CK1030" s="6"/>
      <c r="CL1030" s="6"/>
      <c r="CM1030" s="6"/>
      <c r="CN1030" s="6"/>
      <c r="CO1030" s="6"/>
      <c r="CP1030" s="6"/>
      <c r="CQ1030" s="6"/>
      <c r="CR1030" s="6"/>
      <c r="CS1030" s="6"/>
      <c r="CT1030" s="6"/>
      <c r="CU1030" s="6"/>
      <c r="CV1030" s="6"/>
      <c r="CW1030" s="6"/>
      <c r="CX1030" s="6"/>
      <c r="CY1030" s="6"/>
      <c r="CZ1030" s="6"/>
      <c r="DA1030" s="6"/>
      <c r="DB1030" s="6"/>
      <c r="DC1030" s="6"/>
      <c r="DD1030" s="6"/>
    </row>
    <row r="1031" spans="1:108" ht="12.75" hidden="1" customHeight="1" outlineLevel="5">
      <c r="A1031" s="104" t="s">
        <v>195</v>
      </c>
      <c r="B1031" s="108">
        <v>0.5</v>
      </c>
      <c r="C1031" s="20"/>
      <c r="D1031" s="18" t="str">
        <f t="shared" si="56"/>
        <v>&lt;Act_Top_Thick&gt;0.500000&lt;/Act_Top_Thick&gt;</v>
      </c>
      <c r="E1031" s="174" t="str">
        <f t="shared" si="55"/>
        <v>Yes</v>
      </c>
      <c r="F1031" s="6" t="s">
        <v>783</v>
      </c>
      <c r="G1031" s="6"/>
      <c r="H1031" s="6"/>
      <c r="I1031" s="6"/>
      <c r="J1031" s="6"/>
      <c r="K1031" s="6"/>
      <c r="L1031" s="6"/>
      <c r="M1031" s="6"/>
      <c r="N1031" s="6"/>
      <c r="O1031" s="6"/>
      <c r="P1031" s="6"/>
      <c r="Q1031" s="6"/>
      <c r="R1031" s="6"/>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c r="BU1031" s="6"/>
      <c r="BV1031" s="6"/>
      <c r="BW1031" s="6"/>
      <c r="BX1031" s="6"/>
      <c r="BY1031" s="6"/>
      <c r="BZ1031" s="6"/>
      <c r="CA1031" s="6"/>
      <c r="CB1031" s="6"/>
      <c r="CC1031" s="6"/>
      <c r="CD1031" s="6"/>
      <c r="CE1031" s="6"/>
      <c r="CF1031" s="6"/>
      <c r="CG1031" s="6"/>
      <c r="CH1031" s="6"/>
      <c r="CI1031" s="6"/>
      <c r="CJ1031" s="6"/>
      <c r="CK1031" s="6"/>
      <c r="CL1031" s="6"/>
      <c r="CM1031" s="6"/>
      <c r="CN1031" s="6"/>
      <c r="CO1031" s="6"/>
      <c r="CP1031" s="6"/>
      <c r="CQ1031" s="6"/>
      <c r="CR1031" s="6"/>
      <c r="CS1031" s="6"/>
      <c r="CT1031" s="6"/>
      <c r="CU1031" s="6"/>
      <c r="CV1031" s="6"/>
      <c r="CW1031" s="6"/>
      <c r="CX1031" s="6"/>
      <c r="CY1031" s="6"/>
      <c r="CZ1031" s="6"/>
      <c r="DA1031" s="6"/>
      <c r="DB1031" s="6"/>
      <c r="DC1031" s="6"/>
      <c r="DD1031" s="6"/>
    </row>
    <row r="1032" spans="1:108" ht="12.75" hidden="1" customHeight="1" outlineLevel="5">
      <c r="A1032" s="104" t="s">
        <v>196</v>
      </c>
      <c r="B1032" s="108">
        <v>0.5</v>
      </c>
      <c r="C1032" s="20"/>
      <c r="D1032" s="18" t="str">
        <f t="shared" si="56"/>
        <v>&lt;Act_Bot_Thick&gt;0.500000&lt;/Act_Bot_Thick&gt;</v>
      </c>
      <c r="E1032" s="174" t="str">
        <f t="shared" si="55"/>
        <v>Yes</v>
      </c>
      <c r="F1032" s="6" t="s">
        <v>784</v>
      </c>
      <c r="G1032" s="6"/>
      <c r="H1032" s="6"/>
      <c r="I1032" s="6"/>
      <c r="J1032" s="6"/>
      <c r="K1032" s="6"/>
      <c r="L1032" s="6"/>
      <c r="M1032" s="6"/>
      <c r="N1032" s="6"/>
      <c r="O1032" s="6"/>
      <c r="P1032" s="6"/>
      <c r="Q1032" s="6"/>
      <c r="R1032" s="6"/>
      <c r="S1032" s="6"/>
      <c r="T1032" s="6"/>
      <c r="U1032" s="6"/>
      <c r="V1032" s="6"/>
      <c r="W1032" s="6"/>
      <c r="X1032" s="6"/>
      <c r="Y1032" s="6"/>
      <c r="Z1032" s="6"/>
      <c r="AA1032" s="6"/>
      <c r="AB1032" s="6"/>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c r="BU1032" s="6"/>
      <c r="BV1032" s="6"/>
      <c r="BW1032" s="6"/>
      <c r="BX1032" s="6"/>
      <c r="BY1032" s="6"/>
      <c r="BZ1032" s="6"/>
      <c r="CA1032" s="6"/>
      <c r="CB1032" s="6"/>
      <c r="CC1032" s="6"/>
      <c r="CD1032" s="6"/>
      <c r="CE1032" s="6"/>
      <c r="CF1032" s="6"/>
      <c r="CG1032" s="6"/>
      <c r="CH1032" s="6"/>
      <c r="CI1032" s="6"/>
      <c r="CJ1032" s="6"/>
      <c r="CK1032" s="6"/>
      <c r="CL1032" s="6"/>
      <c r="CM1032" s="6"/>
      <c r="CN1032" s="6"/>
      <c r="CO1032" s="6"/>
      <c r="CP1032" s="6"/>
      <c r="CQ1032" s="6"/>
      <c r="CR1032" s="6"/>
      <c r="CS1032" s="6"/>
      <c r="CT1032" s="6"/>
      <c r="CU1032" s="6"/>
      <c r="CV1032" s="6"/>
      <c r="CW1032" s="6"/>
      <c r="CX1032" s="6"/>
      <c r="CY1032" s="6"/>
      <c r="CZ1032" s="6"/>
      <c r="DA1032" s="6"/>
      <c r="DB1032" s="6"/>
      <c r="DC1032" s="6"/>
      <c r="DD1032" s="6"/>
    </row>
    <row r="1033" spans="1:108" ht="12.75" hidden="1" customHeight="1" outlineLevel="5">
      <c r="A1033" s="104" t="s">
        <v>197</v>
      </c>
      <c r="B1033" s="108">
        <v>0.5</v>
      </c>
      <c r="C1033" s="20"/>
      <c r="D1033" s="18" t="str">
        <f t="shared" si="56"/>
        <v>&lt;Act_Side_Thick&gt;0.500000&lt;/Act_Side_Thick&gt;</v>
      </c>
      <c r="E1033" s="174" t="str">
        <f t="shared" si="55"/>
        <v>Yes</v>
      </c>
      <c r="F1033" s="6" t="s">
        <v>785</v>
      </c>
      <c r="G1033" s="6"/>
      <c r="H1033" s="6"/>
      <c r="I1033" s="6"/>
      <c r="J1033" s="6"/>
      <c r="K1033" s="6"/>
      <c r="L1033" s="6"/>
      <c r="M1033" s="6"/>
      <c r="N1033" s="6"/>
      <c r="O1033" s="6"/>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c r="BU1033" s="6"/>
      <c r="BV1033" s="6"/>
      <c r="BW1033" s="6"/>
      <c r="BX1033" s="6"/>
      <c r="BY1033" s="6"/>
      <c r="BZ1033" s="6"/>
      <c r="CA1033" s="6"/>
      <c r="CB1033" s="6"/>
      <c r="CC1033" s="6"/>
      <c r="CD1033" s="6"/>
      <c r="CE1033" s="6"/>
      <c r="CF1033" s="6"/>
      <c r="CG1033" s="6"/>
      <c r="CH1033" s="6"/>
      <c r="CI1033" s="6"/>
      <c r="CJ1033" s="6"/>
      <c r="CK1033" s="6"/>
      <c r="CL1033" s="6"/>
      <c r="CM1033" s="6"/>
      <c r="CN1033" s="6"/>
      <c r="CO1033" s="6"/>
      <c r="CP1033" s="6"/>
      <c r="CQ1033" s="6"/>
      <c r="CR1033" s="6"/>
      <c r="CS1033" s="6"/>
      <c r="CT1033" s="6"/>
      <c r="CU1033" s="6"/>
      <c r="CV1033" s="6"/>
      <c r="CW1033" s="6"/>
      <c r="CX1033" s="6"/>
      <c r="CY1033" s="6"/>
      <c r="CZ1033" s="6"/>
      <c r="DA1033" s="6"/>
      <c r="DB1033" s="6"/>
      <c r="DC1033" s="6"/>
      <c r="DD1033" s="6"/>
    </row>
    <row r="1034" spans="1:108" ht="12.75" hidden="1" customHeight="1" outlineLevel="5">
      <c r="A1034" s="104" t="s">
        <v>198</v>
      </c>
      <c r="B1034" s="108">
        <v>0</v>
      </c>
      <c r="C1034" s="20"/>
      <c r="D1034" s="18" t="str">
        <f t="shared" si="56"/>
        <v>&lt;IML_X_Offset&gt;0.000000&lt;/IML_X_Offset&gt;</v>
      </c>
      <c r="E1034" s="174" t="str">
        <f t="shared" si="55"/>
        <v>Yes</v>
      </c>
      <c r="F1034" s="6" t="s">
        <v>786</v>
      </c>
      <c r="G1034" s="6"/>
      <c r="H1034" s="6"/>
      <c r="I1034" s="6"/>
      <c r="J1034" s="6"/>
      <c r="K1034" s="6"/>
      <c r="L1034" s="6"/>
      <c r="M1034" s="6"/>
      <c r="N1034" s="6"/>
      <c r="O1034" s="6"/>
      <c r="P1034" s="6"/>
      <c r="Q1034" s="6"/>
      <c r="R1034" s="6"/>
      <c r="S1034" s="6"/>
      <c r="T1034" s="6"/>
      <c r="U1034" s="6"/>
      <c r="V1034" s="6"/>
      <c r="W1034" s="6"/>
      <c r="X1034" s="6"/>
      <c r="Y1034" s="6"/>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c r="BU1034" s="6"/>
      <c r="BV1034" s="6"/>
      <c r="BW1034" s="6"/>
      <c r="BX1034" s="6"/>
      <c r="BY1034" s="6"/>
      <c r="BZ1034" s="6"/>
      <c r="CA1034" s="6"/>
      <c r="CB1034" s="6"/>
      <c r="CC1034" s="6"/>
      <c r="CD1034" s="6"/>
      <c r="CE1034" s="6"/>
      <c r="CF1034" s="6"/>
      <c r="CG1034" s="6"/>
      <c r="CH1034" s="6"/>
      <c r="CI1034" s="6"/>
      <c r="CJ1034" s="6"/>
      <c r="CK1034" s="6"/>
      <c r="CL1034" s="6"/>
      <c r="CM1034" s="6"/>
      <c r="CN1034" s="6"/>
      <c r="CO1034" s="6"/>
      <c r="CP1034" s="6"/>
      <c r="CQ1034" s="6"/>
      <c r="CR1034" s="6"/>
      <c r="CS1034" s="6"/>
      <c r="CT1034" s="6"/>
      <c r="CU1034" s="6"/>
      <c r="CV1034" s="6"/>
      <c r="CW1034" s="6"/>
      <c r="CX1034" s="6"/>
      <c r="CY1034" s="6"/>
      <c r="CZ1034" s="6"/>
      <c r="DA1034" s="6"/>
      <c r="DB1034" s="6"/>
      <c r="DC1034" s="6"/>
      <c r="DD1034" s="6"/>
    </row>
    <row r="1035" spans="1:108" ht="12.75" hidden="1" customHeight="1" outlineLevel="5">
      <c r="A1035" s="104" t="s">
        <v>199</v>
      </c>
      <c r="B1035" s="108">
        <v>0</v>
      </c>
      <c r="C1035" s="20"/>
      <c r="D1035" s="18" t="str">
        <f t="shared" si="56"/>
        <v>&lt;IML_Z_Offset&gt;0.000000&lt;/IML_Z_Offset&gt;</v>
      </c>
      <c r="E1035" s="174" t="str">
        <f t="shared" si="55"/>
        <v>Yes</v>
      </c>
      <c r="F1035" s="6" t="s">
        <v>787</v>
      </c>
      <c r="G1035" s="6"/>
      <c r="H1035" s="6"/>
      <c r="I1035" s="6"/>
      <c r="J1035" s="6"/>
      <c r="K1035" s="6"/>
      <c r="L1035" s="6"/>
      <c r="M1035" s="6"/>
      <c r="N1035" s="6"/>
      <c r="O1035" s="6"/>
      <c r="P1035" s="6"/>
      <c r="Q1035" s="6"/>
      <c r="R1035" s="6"/>
      <c r="S1035" s="6"/>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c r="BU1035" s="6"/>
      <c r="BV1035" s="6"/>
      <c r="BW1035" s="6"/>
      <c r="BX1035" s="6"/>
      <c r="BY1035" s="6"/>
      <c r="BZ1035" s="6"/>
      <c r="CA1035" s="6"/>
      <c r="CB1035" s="6"/>
      <c r="CC1035" s="6"/>
      <c r="CD1035" s="6"/>
      <c r="CE1035" s="6"/>
      <c r="CF1035" s="6"/>
      <c r="CG1035" s="6"/>
      <c r="CH1035" s="6"/>
      <c r="CI1035" s="6"/>
      <c r="CJ1035" s="6"/>
      <c r="CK1035" s="6"/>
      <c r="CL1035" s="6"/>
      <c r="CM1035" s="6"/>
      <c r="CN1035" s="6"/>
      <c r="CO1035" s="6"/>
      <c r="CP1035" s="6"/>
      <c r="CQ1035" s="6"/>
      <c r="CR1035" s="6"/>
      <c r="CS1035" s="6"/>
      <c r="CT1035" s="6"/>
      <c r="CU1035" s="6"/>
      <c r="CV1035" s="6"/>
      <c r="CW1035" s="6"/>
      <c r="CX1035" s="6"/>
      <c r="CY1035" s="6"/>
      <c r="CZ1035" s="6"/>
      <c r="DA1035" s="6"/>
      <c r="DB1035" s="6"/>
      <c r="DC1035" s="6"/>
      <c r="DD1035" s="6"/>
    </row>
    <row r="1036" spans="1:108" ht="12.75" hidden="1" customHeight="1" outlineLevel="5">
      <c r="A1036" s="104" t="s">
        <v>200</v>
      </c>
      <c r="B1036" s="108">
        <v>0</v>
      </c>
      <c r="C1036" s="20"/>
      <c r="D1036" s="18" t="str">
        <f>"&lt;" &amp; A1036 &amp; "&gt;" &amp; TEXT(B1036,0) &amp; "&lt;/" &amp; A1036 &amp; "&gt;"</f>
        <v>&lt;ML_Type&gt;0&lt;/ML_Type&gt;</v>
      </c>
      <c r="E1036" s="174" t="str">
        <f t="shared" si="55"/>
        <v>Yes</v>
      </c>
      <c r="F1036" s="6" t="s">
        <v>788</v>
      </c>
      <c r="G1036" s="6"/>
      <c r="H1036" s="6"/>
      <c r="I1036" s="6"/>
      <c r="J1036" s="6"/>
      <c r="K1036" s="6"/>
      <c r="L1036" s="6"/>
      <c r="M1036" s="6"/>
      <c r="N1036" s="6"/>
      <c r="O1036" s="6"/>
      <c r="P1036" s="6"/>
      <c r="Q1036" s="6"/>
      <c r="R1036" s="6"/>
      <c r="S1036" s="6"/>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c r="BU1036" s="6"/>
      <c r="BV1036" s="6"/>
      <c r="BW1036" s="6"/>
      <c r="BX1036" s="6"/>
      <c r="BY1036" s="6"/>
      <c r="BZ1036" s="6"/>
      <c r="CA1036" s="6"/>
      <c r="CB1036" s="6"/>
      <c r="CC1036" s="6"/>
      <c r="CD1036" s="6"/>
      <c r="CE1036" s="6"/>
      <c r="CF1036" s="6"/>
      <c r="CG1036" s="6"/>
      <c r="CH1036" s="6"/>
      <c r="CI1036" s="6"/>
      <c r="CJ1036" s="6"/>
      <c r="CK1036" s="6"/>
      <c r="CL1036" s="6"/>
      <c r="CM1036" s="6"/>
      <c r="CN1036" s="6"/>
      <c r="CO1036" s="6"/>
      <c r="CP1036" s="6"/>
      <c r="CQ1036" s="6"/>
      <c r="CR1036" s="6"/>
      <c r="CS1036" s="6"/>
      <c r="CT1036" s="6"/>
      <c r="CU1036" s="6"/>
      <c r="CV1036" s="6"/>
      <c r="CW1036" s="6"/>
      <c r="CX1036" s="6"/>
      <c r="CY1036" s="6"/>
      <c r="CZ1036" s="6"/>
      <c r="DA1036" s="6"/>
      <c r="DB1036" s="6"/>
      <c r="DC1036" s="6"/>
      <c r="DD1036" s="6"/>
    </row>
    <row r="1037" spans="1:108" ht="12.75" hidden="1" customHeight="1" outlineLevel="5">
      <c r="A1037" s="104" t="s">
        <v>182</v>
      </c>
      <c r="B1037" s="108">
        <v>0</v>
      </c>
      <c r="C1037" s="20"/>
      <c r="D1037" s="18" t="str">
        <f>"&lt;" &amp; A1037 &amp; "&gt;" &amp; TEXT(B1037,0) &amp; "&lt;/" &amp; A1037 &amp; "&gt;"</f>
        <v>&lt;IML_Flag&gt;0&lt;/IML_Flag&gt;</v>
      </c>
      <c r="E1037" s="174" t="str">
        <f t="shared" si="55"/>
        <v>Yes</v>
      </c>
      <c r="F1037" s="6" t="s">
        <v>770</v>
      </c>
      <c r="G1037" s="6"/>
      <c r="H1037" s="6"/>
      <c r="I1037" s="6"/>
      <c r="J1037" s="6"/>
      <c r="K1037" s="6"/>
      <c r="L1037" s="6"/>
      <c r="M1037" s="6"/>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c r="BU1037" s="6"/>
      <c r="BV1037" s="6"/>
      <c r="BW1037" s="6"/>
      <c r="BX1037" s="6"/>
      <c r="BY1037" s="6"/>
      <c r="BZ1037" s="6"/>
      <c r="CA1037" s="6"/>
      <c r="CB1037" s="6"/>
      <c r="CC1037" s="6"/>
      <c r="CD1037" s="6"/>
      <c r="CE1037" s="6"/>
      <c r="CF1037" s="6"/>
      <c r="CG1037" s="6"/>
      <c r="CH1037" s="6"/>
      <c r="CI1037" s="6"/>
      <c r="CJ1037" s="6"/>
      <c r="CK1037" s="6"/>
      <c r="CL1037" s="6"/>
      <c r="CM1037" s="6"/>
      <c r="CN1037" s="6"/>
      <c r="CO1037" s="6"/>
      <c r="CP1037" s="6"/>
      <c r="CQ1037" s="6"/>
      <c r="CR1037" s="6"/>
      <c r="CS1037" s="6"/>
      <c r="CT1037" s="6"/>
      <c r="CU1037" s="6"/>
      <c r="CV1037" s="6"/>
      <c r="CW1037" s="6"/>
      <c r="CX1037" s="6"/>
      <c r="CY1037" s="6"/>
      <c r="CZ1037" s="6"/>
      <c r="DA1037" s="6"/>
      <c r="DB1037" s="6"/>
      <c r="DC1037" s="6"/>
      <c r="DD1037" s="6"/>
    </row>
    <row r="1038" spans="1:108" ht="12.75" hidden="1" customHeight="1" outlineLevel="5">
      <c r="A1038" s="104" t="s">
        <v>201</v>
      </c>
      <c r="B1038" s="108">
        <v>0.25</v>
      </c>
      <c r="C1038" s="20"/>
      <c r="D1038" s="18" t="str">
        <f>"&lt;" &amp; A1038 &amp; "&gt;" &amp; TEXT(B1038,"0.000000") &amp; "&lt;/" &amp; A1038 &amp; "&gt;"</f>
        <v>&lt;Profile_Tan_Str_1&gt;0.250000&lt;/Profile_Tan_Str_1&gt;</v>
      </c>
      <c r="E1038" s="174" t="str">
        <f t="shared" si="55"/>
        <v>Yes</v>
      </c>
      <c r="F1038" s="6" t="s">
        <v>789</v>
      </c>
      <c r="G1038" s="6"/>
      <c r="H1038" s="6"/>
      <c r="I1038" s="6"/>
      <c r="J1038" s="6"/>
      <c r="K1038" s="6"/>
      <c r="L1038" s="6"/>
      <c r="M1038" s="6"/>
      <c r="N1038" s="6"/>
      <c r="O1038" s="6"/>
      <c r="P1038" s="6"/>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c r="BU1038" s="6"/>
      <c r="BV1038" s="6"/>
      <c r="BW1038" s="6"/>
      <c r="BX1038" s="6"/>
      <c r="BY1038" s="6"/>
      <c r="BZ1038" s="6"/>
      <c r="CA1038" s="6"/>
      <c r="CB1038" s="6"/>
      <c r="CC1038" s="6"/>
      <c r="CD1038" s="6"/>
      <c r="CE1038" s="6"/>
      <c r="CF1038" s="6"/>
      <c r="CG1038" s="6"/>
      <c r="CH1038" s="6"/>
      <c r="CI1038" s="6"/>
      <c r="CJ1038" s="6"/>
      <c r="CK1038" s="6"/>
      <c r="CL1038" s="6"/>
      <c r="CM1038" s="6"/>
      <c r="CN1038" s="6"/>
      <c r="CO1038" s="6"/>
      <c r="CP1038" s="6"/>
      <c r="CQ1038" s="6"/>
      <c r="CR1038" s="6"/>
      <c r="CS1038" s="6"/>
      <c r="CT1038" s="6"/>
      <c r="CU1038" s="6"/>
      <c r="CV1038" s="6"/>
      <c r="CW1038" s="6"/>
      <c r="CX1038" s="6"/>
      <c r="CY1038" s="6"/>
      <c r="CZ1038" s="6"/>
      <c r="DA1038" s="6"/>
      <c r="DB1038" s="6"/>
      <c r="DC1038" s="6"/>
      <c r="DD1038" s="6"/>
    </row>
    <row r="1039" spans="1:108" ht="12.75" hidden="1" customHeight="1" outlineLevel="5">
      <c r="A1039" s="104" t="s">
        <v>202</v>
      </c>
      <c r="B1039" s="108">
        <v>0.25</v>
      </c>
      <c r="C1039" s="20"/>
      <c r="D1039" s="18" t="str">
        <f>"&lt;" &amp; A1039 &amp; "&gt;" &amp; TEXT(B1039,"0.000000") &amp; "&lt;/" &amp; A1039 &amp; "&gt;"</f>
        <v>&lt;Profile_Tan_Str_2&gt;0.250000&lt;/Profile_Tan_Str_2&gt;</v>
      </c>
      <c r="E1039" s="174" t="str">
        <f t="shared" si="55"/>
        <v>Yes</v>
      </c>
      <c r="F1039" s="6" t="s">
        <v>790</v>
      </c>
      <c r="G1039" s="6"/>
      <c r="H1039" s="6"/>
      <c r="I1039" s="6"/>
      <c r="J1039" s="6"/>
      <c r="K1039" s="6"/>
      <c r="L1039" s="6"/>
      <c r="M1039" s="6"/>
      <c r="N1039" s="6"/>
      <c r="O1039" s="6"/>
      <c r="P1039" s="6"/>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c r="BU1039" s="6"/>
      <c r="BV1039" s="6"/>
      <c r="BW1039" s="6"/>
      <c r="BX1039" s="6"/>
      <c r="BY1039" s="6"/>
      <c r="BZ1039" s="6"/>
      <c r="CA1039" s="6"/>
      <c r="CB1039" s="6"/>
      <c r="CC1039" s="6"/>
      <c r="CD1039" s="6"/>
      <c r="CE1039" s="6"/>
      <c r="CF1039" s="6"/>
      <c r="CG1039" s="6"/>
      <c r="CH1039" s="6"/>
      <c r="CI1039" s="6"/>
      <c r="CJ1039" s="6"/>
      <c r="CK1039" s="6"/>
      <c r="CL1039" s="6"/>
      <c r="CM1039" s="6"/>
      <c r="CN1039" s="6"/>
      <c r="CO1039" s="6"/>
      <c r="CP1039" s="6"/>
      <c r="CQ1039" s="6"/>
      <c r="CR1039" s="6"/>
      <c r="CS1039" s="6"/>
      <c r="CT1039" s="6"/>
      <c r="CU1039" s="6"/>
      <c r="CV1039" s="6"/>
      <c r="CW1039" s="6"/>
      <c r="CX1039" s="6"/>
      <c r="CY1039" s="6"/>
      <c r="CZ1039" s="6"/>
      <c r="DA1039" s="6"/>
      <c r="DB1039" s="6"/>
      <c r="DC1039" s="6"/>
      <c r="DD1039" s="6"/>
    </row>
    <row r="1040" spans="1:108" ht="12.75" hidden="1" customHeight="1" outlineLevel="5">
      <c r="A1040" s="104" t="s">
        <v>203</v>
      </c>
      <c r="B1040" s="108">
        <v>0</v>
      </c>
      <c r="C1040" s="20"/>
      <c r="D1040" s="18" t="str">
        <f>"&lt;" &amp; A1040 &amp; "&gt;" &amp; TEXT(B1040,"0.000000") &amp; "&lt;/" &amp; A1040 &amp; "&gt;"</f>
        <v>&lt;Profile_Tan_Ang&gt;0.000000&lt;/Profile_Tan_Ang&gt;</v>
      </c>
      <c r="E1040" s="174" t="str">
        <f t="shared" si="55"/>
        <v>Yes</v>
      </c>
      <c r="F1040" s="6" t="s">
        <v>791</v>
      </c>
      <c r="G1040" s="6"/>
      <c r="H1040" s="6"/>
      <c r="I1040" s="6"/>
      <c r="J1040" s="6"/>
      <c r="K1040" s="6"/>
      <c r="L1040" s="6"/>
      <c r="M1040" s="6"/>
      <c r="N1040" s="6"/>
      <c r="O1040" s="6"/>
      <c r="P1040" s="6"/>
      <c r="Q1040" s="6"/>
      <c r="R1040" s="6"/>
      <c r="S1040" s="6"/>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c r="BU1040" s="6"/>
      <c r="BV1040" s="6"/>
      <c r="BW1040" s="6"/>
      <c r="BX1040" s="6"/>
      <c r="BY1040" s="6"/>
      <c r="BZ1040" s="6"/>
      <c r="CA1040" s="6"/>
      <c r="CB1040" s="6"/>
      <c r="CC1040" s="6"/>
      <c r="CD1040" s="6"/>
      <c r="CE1040" s="6"/>
      <c r="CF1040" s="6"/>
      <c r="CG1040" s="6"/>
      <c r="CH1040" s="6"/>
      <c r="CI1040" s="6"/>
      <c r="CJ1040" s="6"/>
      <c r="CK1040" s="6"/>
      <c r="CL1040" s="6"/>
      <c r="CM1040" s="6"/>
      <c r="CN1040" s="6"/>
      <c r="CO1040" s="6"/>
      <c r="CP1040" s="6"/>
      <c r="CQ1040" s="6"/>
      <c r="CR1040" s="6"/>
      <c r="CS1040" s="6"/>
      <c r="CT1040" s="6"/>
      <c r="CU1040" s="6"/>
      <c r="CV1040" s="6"/>
      <c r="CW1040" s="6"/>
      <c r="CX1040" s="6"/>
      <c r="CY1040" s="6"/>
      <c r="CZ1040" s="6"/>
      <c r="DA1040" s="6"/>
      <c r="DB1040" s="6"/>
      <c r="DC1040" s="6"/>
      <c r="DD1040" s="6"/>
    </row>
    <row r="1041" spans="1:108" ht="12.75" hidden="1" customHeight="1" outlineLevel="5">
      <c r="A1041" s="104" t="s">
        <v>204</v>
      </c>
      <c r="B1041" s="108">
        <v>0</v>
      </c>
      <c r="C1041" s="20"/>
      <c r="D1041" s="18" t="str">
        <f>"&lt;" &amp; A1041 &amp; "&gt;" &amp; TEXT(B1041,0) &amp; "&lt;/" &amp; A1041 &amp; "&gt;"</f>
        <v>&lt;Num_Sect_Interp_1&gt;0&lt;/Num_Sect_Interp_1&gt;</v>
      </c>
      <c r="E1041" s="174" t="str">
        <f t="shared" si="55"/>
        <v>Yes</v>
      </c>
      <c r="F1041" s="6" t="s">
        <v>792</v>
      </c>
      <c r="G1041" s="6"/>
      <c r="H1041" s="6"/>
      <c r="I1041" s="6"/>
      <c r="J1041" s="6"/>
      <c r="K1041" s="6"/>
      <c r="L1041" s="6"/>
      <c r="M1041" s="6"/>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c r="BU1041" s="6"/>
      <c r="BV1041" s="6"/>
      <c r="BW1041" s="6"/>
      <c r="BX1041" s="6"/>
      <c r="BY1041" s="6"/>
      <c r="BZ1041" s="6"/>
      <c r="CA1041" s="6"/>
      <c r="CB1041" s="6"/>
      <c r="CC1041" s="6"/>
      <c r="CD1041" s="6"/>
      <c r="CE1041" s="6"/>
      <c r="CF1041" s="6"/>
      <c r="CG1041" s="6"/>
      <c r="CH1041" s="6"/>
      <c r="CI1041" s="6"/>
      <c r="CJ1041" s="6"/>
      <c r="CK1041" s="6"/>
      <c r="CL1041" s="6"/>
      <c r="CM1041" s="6"/>
      <c r="CN1041" s="6"/>
      <c r="CO1041" s="6"/>
      <c r="CP1041" s="6"/>
      <c r="CQ1041" s="6"/>
      <c r="CR1041" s="6"/>
      <c r="CS1041" s="6"/>
      <c r="CT1041" s="6"/>
      <c r="CU1041" s="6"/>
      <c r="CV1041" s="6"/>
      <c r="CW1041" s="6"/>
      <c r="CX1041" s="6"/>
      <c r="CY1041" s="6"/>
      <c r="CZ1041" s="6"/>
      <c r="DA1041" s="6"/>
      <c r="DB1041" s="6"/>
      <c r="DC1041" s="6"/>
      <c r="DD1041" s="6"/>
    </row>
    <row r="1042" spans="1:108" ht="12.75" hidden="1" customHeight="1" outlineLevel="5">
      <c r="A1042" s="104" t="s">
        <v>205</v>
      </c>
      <c r="B1042" s="108">
        <v>0</v>
      </c>
      <c r="C1042" s="20"/>
      <c r="D1042" s="18" t="str">
        <f>"&lt;" &amp; A1042 &amp; "&gt;" &amp; TEXT(B1042,0) &amp; "&lt;/" &amp; A1042 &amp; "&gt;"</f>
        <v>&lt;Num_Sect_Interp_2&gt;0&lt;/Num_Sect_Interp_2&gt;</v>
      </c>
      <c r="E1042" s="174" t="str">
        <f t="shared" si="55"/>
        <v>Yes</v>
      </c>
      <c r="F1042" s="6" t="s">
        <v>815</v>
      </c>
      <c r="G1042" s="6"/>
      <c r="H1042" s="6"/>
      <c r="I1042" s="6"/>
      <c r="J1042" s="6"/>
      <c r="K1042" s="6"/>
      <c r="L1042" s="6"/>
      <c r="M1042" s="6"/>
      <c r="N1042" s="6"/>
      <c r="O1042" s="6"/>
      <c r="P1042" s="6"/>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c r="BU1042" s="6"/>
      <c r="BV1042" s="6"/>
      <c r="BW1042" s="6"/>
      <c r="BX1042" s="6"/>
      <c r="BY1042" s="6"/>
      <c r="BZ1042" s="6"/>
      <c r="CA1042" s="6"/>
      <c r="CB1042" s="6"/>
      <c r="CC1042" s="6"/>
      <c r="CD1042" s="6"/>
      <c r="CE1042" s="6"/>
      <c r="CF1042" s="6"/>
      <c r="CG1042" s="6"/>
      <c r="CH1042" s="6"/>
      <c r="CI1042" s="6"/>
      <c r="CJ1042" s="6"/>
      <c r="CK1042" s="6"/>
      <c r="CL1042" s="6"/>
      <c r="CM1042" s="6"/>
      <c r="CN1042" s="6"/>
      <c r="CO1042" s="6"/>
      <c r="CP1042" s="6"/>
      <c r="CQ1042" s="6"/>
      <c r="CR1042" s="6"/>
      <c r="CS1042" s="6"/>
      <c r="CT1042" s="6"/>
      <c r="CU1042" s="6"/>
      <c r="CV1042" s="6"/>
      <c r="CW1042" s="6"/>
      <c r="CX1042" s="6"/>
      <c r="CY1042" s="6"/>
      <c r="CZ1042" s="6"/>
      <c r="DA1042" s="6"/>
      <c r="DB1042" s="6"/>
      <c r="DC1042" s="6"/>
      <c r="DD1042" s="6"/>
    </row>
    <row r="1043" spans="1:108" ht="12.75" hidden="1" customHeight="1" outlineLevel="5">
      <c r="A1043" s="104" t="s">
        <v>206</v>
      </c>
      <c r="C1043" s="20"/>
      <c r="D1043" s="6" t="str">
        <f>"&lt;" &amp; A1043 &amp; "&gt;"</f>
        <v>&lt;OML_Parms&gt;</v>
      </c>
      <c r="E1043" s="174" t="str">
        <f t="shared" si="55"/>
        <v>Yes</v>
      </c>
      <c r="F1043" s="6" t="s">
        <v>794</v>
      </c>
      <c r="G1043" s="6"/>
      <c r="H1043" s="6"/>
      <c r="I1043" s="6"/>
      <c r="J1043" s="6"/>
      <c r="K1043" s="6"/>
      <c r="L1043" s="6"/>
      <c r="M1043" s="6"/>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c r="BU1043" s="6"/>
      <c r="BV1043" s="6"/>
      <c r="BW1043" s="6"/>
      <c r="BX1043" s="6"/>
      <c r="BY1043" s="6"/>
      <c r="BZ1043" s="6"/>
      <c r="CA1043" s="6"/>
      <c r="CB1043" s="6"/>
      <c r="CC1043" s="6"/>
      <c r="CD1043" s="6"/>
      <c r="CE1043" s="6"/>
      <c r="CF1043" s="6"/>
      <c r="CG1043" s="6"/>
      <c r="CH1043" s="6"/>
      <c r="CI1043" s="6"/>
      <c r="CJ1043" s="6"/>
      <c r="CK1043" s="6"/>
      <c r="CL1043" s="6"/>
      <c r="CM1043" s="6"/>
      <c r="CN1043" s="6"/>
      <c r="CO1043" s="6"/>
      <c r="CP1043" s="6"/>
      <c r="CQ1043" s="6"/>
      <c r="CR1043" s="6"/>
      <c r="CS1043" s="6"/>
      <c r="CT1043" s="6"/>
      <c r="CU1043" s="6"/>
      <c r="CV1043" s="6"/>
      <c r="CW1043" s="6"/>
      <c r="CX1043" s="6"/>
      <c r="CY1043" s="6"/>
      <c r="CZ1043" s="6"/>
      <c r="DA1043" s="6"/>
      <c r="DB1043" s="6"/>
      <c r="DC1043" s="6"/>
      <c r="DD1043" s="6"/>
    </row>
    <row r="1044" spans="1:108" ht="12.75" hidden="1" customHeight="1" outlineLevel="6">
      <c r="A1044" s="104" t="s">
        <v>14</v>
      </c>
      <c r="B1044" s="6">
        <v>1</v>
      </c>
      <c r="C1044" s="20"/>
      <c r="D1044" s="18" t="str">
        <f>"&lt;" &amp; A1044 &amp; "&gt;" &amp; TEXT(B1044,0) &amp; "&lt;/" &amp; A1044 &amp; "&gt;"</f>
        <v>&lt;Type&gt;1&lt;/Type&gt;</v>
      </c>
      <c r="E1044" s="174" t="str">
        <f t="shared" si="55"/>
        <v>Yes</v>
      </c>
      <c r="F1044" s="6" t="s">
        <v>679</v>
      </c>
      <c r="G1044" s="6"/>
      <c r="H1044" s="6"/>
      <c r="I1044" s="6"/>
      <c r="J1044" s="6"/>
      <c r="K1044" s="6"/>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c r="BU1044" s="6"/>
      <c r="BV1044" s="6"/>
      <c r="BW1044" s="6"/>
      <c r="BX1044" s="6"/>
      <c r="BY1044" s="6"/>
      <c r="BZ1044" s="6"/>
      <c r="CA1044" s="6"/>
      <c r="CB1044" s="6"/>
      <c r="CC1044" s="6"/>
      <c r="CD1044" s="6"/>
      <c r="CE1044" s="6"/>
      <c r="CF1044" s="6"/>
      <c r="CG1044" s="6"/>
      <c r="CH1044" s="6"/>
      <c r="CI1044" s="6"/>
      <c r="CJ1044" s="6"/>
      <c r="CK1044" s="6"/>
      <c r="CL1044" s="6"/>
      <c r="CM1044" s="6"/>
      <c r="CN1044" s="6"/>
      <c r="CO1044" s="6"/>
      <c r="CP1044" s="6"/>
      <c r="CQ1044" s="6"/>
      <c r="CR1044" s="6"/>
      <c r="CS1044" s="6"/>
      <c r="CT1044" s="6"/>
      <c r="CU1044" s="6"/>
      <c r="CV1044" s="6"/>
      <c r="CW1044" s="6"/>
      <c r="CX1044" s="6"/>
      <c r="CY1044" s="6"/>
      <c r="CZ1044" s="6"/>
      <c r="DA1044" s="6"/>
      <c r="DB1044" s="6"/>
      <c r="DC1044" s="6"/>
      <c r="DD1044" s="6"/>
    </row>
    <row r="1045" spans="1:108" ht="12.75" hidden="1" customHeight="1" outlineLevel="6">
      <c r="A1045" s="104" t="s">
        <v>15</v>
      </c>
      <c r="B1045" s="35">
        <f>Input!$D$69</f>
        <v>3.96</v>
      </c>
      <c r="C1045" s="20"/>
      <c r="D1045" s="18" t="str">
        <f t="shared" ref="D1045:D1054" si="57">"&lt;" &amp; A1045 &amp; "&gt;" &amp; TEXT(B1045,"0.000000") &amp; "&lt;/" &amp; A1045 &amp; "&gt;"</f>
        <v>&lt;Height&gt;3.960000&lt;/Height&gt;</v>
      </c>
      <c r="E1045" s="174" t="str">
        <f t="shared" si="55"/>
        <v>Yes</v>
      </c>
      <c r="F1045" s="6" t="s">
        <v>830</v>
      </c>
      <c r="G1045" s="6"/>
      <c r="H1045" s="6"/>
      <c r="I1045" s="6"/>
      <c r="J1045" s="6"/>
      <c r="K1045" s="6"/>
      <c r="L1045" s="6"/>
      <c r="M1045" s="6"/>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c r="BU1045" s="6"/>
      <c r="BV1045" s="6"/>
      <c r="BW1045" s="6"/>
      <c r="BX1045" s="6"/>
      <c r="BY1045" s="6"/>
      <c r="BZ1045" s="6"/>
      <c r="CA1045" s="6"/>
      <c r="CB1045" s="6"/>
      <c r="CC1045" s="6"/>
      <c r="CD1045" s="6"/>
      <c r="CE1045" s="6"/>
      <c r="CF1045" s="6"/>
      <c r="CG1045" s="6"/>
      <c r="CH1045" s="6"/>
      <c r="CI1045" s="6"/>
      <c r="CJ1045" s="6"/>
      <c r="CK1045" s="6"/>
      <c r="CL1045" s="6"/>
      <c r="CM1045" s="6"/>
      <c r="CN1045" s="6"/>
      <c r="CO1045" s="6"/>
      <c r="CP1045" s="6"/>
      <c r="CQ1045" s="6"/>
      <c r="CR1045" s="6"/>
      <c r="CS1045" s="6"/>
      <c r="CT1045" s="6"/>
      <c r="CU1045" s="6"/>
      <c r="CV1045" s="6"/>
      <c r="CW1045" s="6"/>
      <c r="CX1045" s="6"/>
      <c r="CY1045" s="6"/>
      <c r="CZ1045" s="6"/>
      <c r="DA1045" s="6"/>
      <c r="DB1045" s="6"/>
      <c r="DC1045" s="6"/>
      <c r="DD1045" s="6"/>
    </row>
    <row r="1046" spans="1:108" ht="12.75" hidden="1" customHeight="1" outlineLevel="6">
      <c r="A1046" s="104" t="s">
        <v>16</v>
      </c>
      <c r="B1046" s="35">
        <f>B1045</f>
        <v>3.96</v>
      </c>
      <c r="C1046" s="20"/>
      <c r="D1046" s="18" t="str">
        <f t="shared" si="57"/>
        <v>&lt;Width&gt;3.960000&lt;/Width&gt;</v>
      </c>
      <c r="E1046" s="174" t="str">
        <f t="shared" si="55"/>
        <v>Yes</v>
      </c>
      <c r="F1046" s="6" t="s">
        <v>831</v>
      </c>
      <c r="G1046" s="6"/>
      <c r="H1046" s="6"/>
      <c r="I1046" s="6"/>
      <c r="J1046" s="6"/>
      <c r="K1046" s="6"/>
      <c r="L1046" s="6"/>
      <c r="M1046" s="6"/>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c r="BU1046" s="6"/>
      <c r="BV1046" s="6"/>
      <c r="BW1046" s="6"/>
      <c r="BX1046" s="6"/>
      <c r="BY1046" s="6"/>
      <c r="BZ1046" s="6"/>
      <c r="CA1046" s="6"/>
      <c r="CB1046" s="6"/>
      <c r="CC1046" s="6"/>
      <c r="CD1046" s="6"/>
      <c r="CE1046" s="6"/>
      <c r="CF1046" s="6"/>
      <c r="CG1046" s="6"/>
      <c r="CH1046" s="6"/>
      <c r="CI1046" s="6"/>
      <c r="CJ1046" s="6"/>
      <c r="CK1046" s="6"/>
      <c r="CL1046" s="6"/>
      <c r="CM1046" s="6"/>
      <c r="CN1046" s="6"/>
      <c r="CO1046" s="6"/>
      <c r="CP1046" s="6"/>
      <c r="CQ1046" s="6"/>
      <c r="CR1046" s="6"/>
      <c r="CS1046" s="6"/>
      <c r="CT1046" s="6"/>
      <c r="CU1046" s="6"/>
      <c r="CV1046" s="6"/>
      <c r="CW1046" s="6"/>
      <c r="CX1046" s="6"/>
      <c r="CY1046" s="6"/>
      <c r="CZ1046" s="6"/>
      <c r="DA1046" s="6"/>
      <c r="DB1046" s="6"/>
      <c r="DC1046" s="6"/>
      <c r="DD1046" s="6"/>
    </row>
    <row r="1047" spans="1:108" ht="12.75" hidden="1" customHeight="1" outlineLevel="6">
      <c r="A1047" s="104" t="s">
        <v>207</v>
      </c>
      <c r="B1047" s="6">
        <v>0</v>
      </c>
      <c r="C1047" s="20"/>
      <c r="D1047" s="18" t="str">
        <f t="shared" si="57"/>
        <v>&lt;Max_Width_Location&gt;0.000000&lt;/Max_Width_Location&gt;</v>
      </c>
      <c r="E1047" s="174" t="str">
        <f t="shared" si="55"/>
        <v>Yes</v>
      </c>
      <c r="F1047" s="6" t="s">
        <v>797</v>
      </c>
      <c r="G1047" s="6"/>
      <c r="H1047" s="6"/>
      <c r="I1047" s="6"/>
      <c r="J1047" s="6"/>
      <c r="K1047" s="6"/>
      <c r="L1047" s="6"/>
      <c r="M1047" s="6"/>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c r="BU1047" s="6"/>
      <c r="BV1047" s="6"/>
      <c r="BW1047" s="6"/>
      <c r="BX1047" s="6"/>
      <c r="BY1047" s="6"/>
      <c r="BZ1047" s="6"/>
      <c r="CA1047" s="6"/>
      <c r="CB1047" s="6"/>
      <c r="CC1047" s="6"/>
      <c r="CD1047" s="6"/>
      <c r="CE1047" s="6"/>
      <c r="CF1047" s="6"/>
      <c r="CG1047" s="6"/>
      <c r="CH1047" s="6"/>
      <c r="CI1047" s="6"/>
      <c r="CJ1047" s="6"/>
      <c r="CK1047" s="6"/>
      <c r="CL1047" s="6"/>
      <c r="CM1047" s="6"/>
      <c r="CN1047" s="6"/>
      <c r="CO1047" s="6"/>
      <c r="CP1047" s="6"/>
      <c r="CQ1047" s="6"/>
      <c r="CR1047" s="6"/>
      <c r="CS1047" s="6"/>
      <c r="CT1047" s="6"/>
      <c r="CU1047" s="6"/>
      <c r="CV1047" s="6"/>
      <c r="CW1047" s="6"/>
      <c r="CX1047" s="6"/>
      <c r="CY1047" s="6"/>
      <c r="CZ1047" s="6"/>
      <c r="DA1047" s="6"/>
      <c r="DB1047" s="6"/>
      <c r="DC1047" s="6"/>
      <c r="DD1047" s="6"/>
    </row>
    <row r="1048" spans="1:108" ht="12.75" hidden="1" customHeight="1" outlineLevel="6">
      <c r="A1048" s="104" t="s">
        <v>208</v>
      </c>
      <c r="B1048" s="6">
        <v>0.5</v>
      </c>
      <c r="C1048" s="20"/>
      <c r="D1048" s="18" t="str">
        <f t="shared" si="57"/>
        <v>&lt;Corner_Radius&gt;0.500000&lt;/Corner_Radius&gt;</v>
      </c>
      <c r="E1048" s="174" t="str">
        <f t="shared" si="55"/>
        <v>Yes</v>
      </c>
      <c r="F1048" s="6" t="s">
        <v>798</v>
      </c>
      <c r="G1048" s="6"/>
      <c r="H1048" s="6"/>
      <c r="I1048" s="6"/>
      <c r="J1048" s="6"/>
      <c r="K1048" s="6"/>
      <c r="L1048" s="6"/>
      <c r="M1048" s="6"/>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c r="BU1048" s="6"/>
      <c r="BV1048" s="6"/>
      <c r="BW1048" s="6"/>
      <c r="BX1048" s="6"/>
      <c r="BY1048" s="6"/>
      <c r="BZ1048" s="6"/>
      <c r="CA1048" s="6"/>
      <c r="CB1048" s="6"/>
      <c r="CC1048" s="6"/>
      <c r="CD1048" s="6"/>
      <c r="CE1048" s="6"/>
      <c r="CF1048" s="6"/>
      <c r="CG1048" s="6"/>
      <c r="CH1048" s="6"/>
      <c r="CI1048" s="6"/>
      <c r="CJ1048" s="6"/>
      <c r="CK1048" s="6"/>
      <c r="CL1048" s="6"/>
      <c r="CM1048" s="6"/>
      <c r="CN1048" s="6"/>
      <c r="CO1048" s="6"/>
      <c r="CP1048" s="6"/>
      <c r="CQ1048" s="6"/>
      <c r="CR1048" s="6"/>
      <c r="CS1048" s="6"/>
      <c r="CT1048" s="6"/>
      <c r="CU1048" s="6"/>
      <c r="CV1048" s="6"/>
      <c r="CW1048" s="6"/>
      <c r="CX1048" s="6"/>
      <c r="CY1048" s="6"/>
      <c r="CZ1048" s="6"/>
      <c r="DA1048" s="6"/>
      <c r="DB1048" s="6"/>
      <c r="DC1048" s="6"/>
      <c r="DD1048" s="6"/>
    </row>
    <row r="1049" spans="1:108" ht="12.75" hidden="1" customHeight="1" outlineLevel="6">
      <c r="A1049" s="104" t="s">
        <v>209</v>
      </c>
      <c r="B1049" s="6">
        <v>90</v>
      </c>
      <c r="C1049" s="20"/>
      <c r="D1049" s="18" t="str">
        <f t="shared" si="57"/>
        <v>&lt;Top_Tan_Angle&gt;90.000000&lt;/Top_Tan_Angle&gt;</v>
      </c>
      <c r="E1049" s="174" t="str">
        <f t="shared" si="55"/>
        <v>Yes</v>
      </c>
      <c r="F1049" s="6" t="s">
        <v>799</v>
      </c>
      <c r="G1049" s="6"/>
      <c r="H1049" s="6"/>
      <c r="I1049" s="6"/>
      <c r="J1049" s="6"/>
      <c r="K1049" s="6"/>
      <c r="L1049" s="6"/>
      <c r="M1049" s="6"/>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c r="BU1049" s="6"/>
      <c r="BV1049" s="6"/>
      <c r="BW1049" s="6"/>
      <c r="BX1049" s="6"/>
      <c r="BY1049" s="6"/>
      <c r="BZ1049" s="6"/>
      <c r="CA1049" s="6"/>
      <c r="CB1049" s="6"/>
      <c r="CC1049" s="6"/>
      <c r="CD1049" s="6"/>
      <c r="CE1049" s="6"/>
      <c r="CF1049" s="6"/>
      <c r="CG1049" s="6"/>
      <c r="CH1049" s="6"/>
      <c r="CI1049" s="6"/>
      <c r="CJ1049" s="6"/>
      <c r="CK1049" s="6"/>
      <c r="CL1049" s="6"/>
      <c r="CM1049" s="6"/>
      <c r="CN1049" s="6"/>
      <c r="CO1049" s="6"/>
      <c r="CP1049" s="6"/>
      <c r="CQ1049" s="6"/>
      <c r="CR1049" s="6"/>
      <c r="CS1049" s="6"/>
      <c r="CT1049" s="6"/>
      <c r="CU1049" s="6"/>
      <c r="CV1049" s="6"/>
      <c r="CW1049" s="6"/>
      <c r="CX1049" s="6"/>
      <c r="CY1049" s="6"/>
      <c r="CZ1049" s="6"/>
      <c r="DA1049" s="6"/>
      <c r="DB1049" s="6"/>
      <c r="DC1049" s="6"/>
      <c r="DD1049" s="6"/>
    </row>
    <row r="1050" spans="1:108" ht="12.75" hidden="1" customHeight="1" outlineLevel="6">
      <c r="A1050" s="104" t="s">
        <v>210</v>
      </c>
      <c r="B1050" s="6">
        <v>90</v>
      </c>
      <c r="C1050" s="20"/>
      <c r="D1050" s="18" t="str">
        <f t="shared" si="57"/>
        <v>&lt;Bot_Tan_Angle&gt;90.000000&lt;/Bot_Tan_Angle&gt;</v>
      </c>
      <c r="E1050" s="174" t="str">
        <f t="shared" si="55"/>
        <v>Yes</v>
      </c>
      <c r="F1050" s="6" t="s">
        <v>800</v>
      </c>
      <c r="G1050" s="6"/>
      <c r="H1050" s="6"/>
      <c r="I1050" s="6"/>
      <c r="J1050" s="6"/>
      <c r="K1050" s="6"/>
      <c r="L1050" s="6"/>
      <c r="M1050" s="6"/>
      <c r="N1050" s="6"/>
      <c r="O1050" s="6"/>
      <c r="P1050" s="6"/>
      <c r="Q1050" s="6"/>
      <c r="R1050" s="6"/>
      <c r="S1050" s="6"/>
      <c r="T1050" s="6"/>
      <c r="U1050" s="6"/>
      <c r="V1050" s="6"/>
      <c r="W1050" s="6"/>
      <c r="X1050" s="6"/>
      <c r="Y1050" s="6"/>
      <c r="Z1050" s="6"/>
      <c r="AA1050" s="6"/>
      <c r="AB1050" s="6"/>
      <c r="AC1050" s="6"/>
      <c r="AD1050" s="6"/>
      <c r="AE1050" s="6"/>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c r="BU1050" s="6"/>
      <c r="BV1050" s="6"/>
      <c r="BW1050" s="6"/>
      <c r="BX1050" s="6"/>
      <c r="BY1050" s="6"/>
      <c r="BZ1050" s="6"/>
      <c r="CA1050" s="6"/>
      <c r="CB1050" s="6"/>
      <c r="CC1050" s="6"/>
      <c r="CD1050" s="6"/>
      <c r="CE1050" s="6"/>
      <c r="CF1050" s="6"/>
      <c r="CG1050" s="6"/>
      <c r="CH1050" s="6"/>
      <c r="CI1050" s="6"/>
      <c r="CJ1050" s="6"/>
      <c r="CK1050" s="6"/>
      <c r="CL1050" s="6"/>
      <c r="CM1050" s="6"/>
      <c r="CN1050" s="6"/>
      <c r="CO1050" s="6"/>
      <c r="CP1050" s="6"/>
      <c r="CQ1050" s="6"/>
      <c r="CR1050" s="6"/>
      <c r="CS1050" s="6"/>
      <c r="CT1050" s="6"/>
      <c r="CU1050" s="6"/>
      <c r="CV1050" s="6"/>
      <c r="CW1050" s="6"/>
      <c r="CX1050" s="6"/>
      <c r="CY1050" s="6"/>
      <c r="CZ1050" s="6"/>
      <c r="DA1050" s="6"/>
      <c r="DB1050" s="6"/>
      <c r="DC1050" s="6"/>
      <c r="DD1050" s="6"/>
    </row>
    <row r="1051" spans="1:108" ht="12.75" hidden="1" customHeight="1" outlineLevel="6">
      <c r="A1051" s="104" t="s">
        <v>211</v>
      </c>
      <c r="B1051" s="6">
        <v>0.83</v>
      </c>
      <c r="C1051" s="20"/>
      <c r="D1051" s="18" t="str">
        <f t="shared" si="57"/>
        <v>&lt;Top_Tan_Strength&gt;0.830000&lt;/Top_Tan_Strength&gt;</v>
      </c>
      <c r="E1051" s="174" t="str">
        <f t="shared" si="55"/>
        <v>Yes</v>
      </c>
      <c r="F1051" s="6" t="s">
        <v>801</v>
      </c>
      <c r="G1051" s="6"/>
      <c r="H1051" s="6"/>
      <c r="I1051" s="6"/>
      <c r="J1051" s="6"/>
      <c r="K1051" s="6"/>
      <c r="L1051" s="6"/>
      <c r="M1051" s="6"/>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c r="BU1051" s="6"/>
      <c r="BV1051" s="6"/>
      <c r="BW1051" s="6"/>
      <c r="BX1051" s="6"/>
      <c r="BY1051" s="6"/>
      <c r="BZ1051" s="6"/>
      <c r="CA1051" s="6"/>
      <c r="CB1051" s="6"/>
      <c r="CC1051" s="6"/>
      <c r="CD1051" s="6"/>
      <c r="CE1051" s="6"/>
      <c r="CF1051" s="6"/>
      <c r="CG1051" s="6"/>
      <c r="CH1051" s="6"/>
      <c r="CI1051" s="6"/>
      <c r="CJ1051" s="6"/>
      <c r="CK1051" s="6"/>
      <c r="CL1051" s="6"/>
      <c r="CM1051" s="6"/>
      <c r="CN1051" s="6"/>
      <c r="CO1051" s="6"/>
      <c r="CP1051" s="6"/>
      <c r="CQ1051" s="6"/>
      <c r="CR1051" s="6"/>
      <c r="CS1051" s="6"/>
      <c r="CT1051" s="6"/>
      <c r="CU1051" s="6"/>
      <c r="CV1051" s="6"/>
      <c r="CW1051" s="6"/>
      <c r="CX1051" s="6"/>
      <c r="CY1051" s="6"/>
      <c r="CZ1051" s="6"/>
      <c r="DA1051" s="6"/>
      <c r="DB1051" s="6"/>
      <c r="DC1051" s="6"/>
      <c r="DD1051" s="6"/>
    </row>
    <row r="1052" spans="1:108" ht="12.75" hidden="1" customHeight="1" outlineLevel="6">
      <c r="A1052" s="104" t="s">
        <v>212</v>
      </c>
      <c r="B1052" s="6">
        <v>0.83</v>
      </c>
      <c r="C1052" s="20"/>
      <c r="D1052" s="18" t="str">
        <f t="shared" si="57"/>
        <v>&lt;Upper_Tan_Strength&gt;0.830000&lt;/Upper_Tan_Strength&gt;</v>
      </c>
      <c r="E1052" s="174" t="str">
        <f t="shared" si="55"/>
        <v>Yes</v>
      </c>
      <c r="F1052" s="6" t="s">
        <v>802</v>
      </c>
      <c r="G1052" s="6"/>
      <c r="H1052" s="6"/>
      <c r="I1052" s="6"/>
      <c r="J1052" s="6"/>
      <c r="K1052" s="6"/>
      <c r="L1052" s="6"/>
      <c r="M1052" s="6"/>
      <c r="N1052" s="6"/>
      <c r="O1052" s="6"/>
      <c r="P1052" s="6"/>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c r="BU1052" s="6"/>
      <c r="BV1052" s="6"/>
      <c r="BW1052" s="6"/>
      <c r="BX1052" s="6"/>
      <c r="BY1052" s="6"/>
      <c r="BZ1052" s="6"/>
      <c r="CA1052" s="6"/>
      <c r="CB1052" s="6"/>
      <c r="CC1052" s="6"/>
      <c r="CD1052" s="6"/>
      <c r="CE1052" s="6"/>
      <c r="CF1052" s="6"/>
      <c r="CG1052" s="6"/>
      <c r="CH1052" s="6"/>
      <c r="CI1052" s="6"/>
      <c r="CJ1052" s="6"/>
      <c r="CK1052" s="6"/>
      <c r="CL1052" s="6"/>
      <c r="CM1052" s="6"/>
      <c r="CN1052" s="6"/>
      <c r="CO1052" s="6"/>
      <c r="CP1052" s="6"/>
      <c r="CQ1052" s="6"/>
      <c r="CR1052" s="6"/>
      <c r="CS1052" s="6"/>
      <c r="CT1052" s="6"/>
      <c r="CU1052" s="6"/>
      <c r="CV1052" s="6"/>
      <c r="CW1052" s="6"/>
      <c r="CX1052" s="6"/>
      <c r="CY1052" s="6"/>
      <c r="CZ1052" s="6"/>
      <c r="DA1052" s="6"/>
      <c r="DB1052" s="6"/>
      <c r="DC1052" s="6"/>
      <c r="DD1052" s="6"/>
    </row>
    <row r="1053" spans="1:108" ht="12.75" hidden="1" customHeight="1" outlineLevel="6">
      <c r="A1053" s="104" t="s">
        <v>213</v>
      </c>
      <c r="B1053" s="6">
        <v>0.83</v>
      </c>
      <c r="C1053" s="20"/>
      <c r="D1053" s="18" t="str">
        <f t="shared" si="57"/>
        <v>&lt;Lower_Tan_Strength&gt;0.830000&lt;/Lower_Tan_Strength&gt;</v>
      </c>
      <c r="E1053" s="174" t="str">
        <f t="shared" si="55"/>
        <v>Yes</v>
      </c>
      <c r="F1053" s="6" t="s">
        <v>803</v>
      </c>
      <c r="G1053" s="6"/>
      <c r="H1053" s="6"/>
      <c r="I1053" s="6"/>
      <c r="J1053" s="6"/>
      <c r="K1053" s="6"/>
      <c r="L1053" s="6"/>
      <c r="M1053" s="6"/>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c r="BU1053" s="6"/>
      <c r="BV1053" s="6"/>
      <c r="BW1053" s="6"/>
      <c r="BX1053" s="6"/>
      <c r="BY1053" s="6"/>
      <c r="BZ1053" s="6"/>
      <c r="CA1053" s="6"/>
      <c r="CB1053" s="6"/>
      <c r="CC1053" s="6"/>
      <c r="CD1053" s="6"/>
      <c r="CE1053" s="6"/>
      <c r="CF1053" s="6"/>
      <c r="CG1053" s="6"/>
      <c r="CH1053" s="6"/>
      <c r="CI1053" s="6"/>
      <c r="CJ1053" s="6"/>
      <c r="CK1053" s="6"/>
      <c r="CL1053" s="6"/>
      <c r="CM1053" s="6"/>
      <c r="CN1053" s="6"/>
      <c r="CO1053" s="6"/>
      <c r="CP1053" s="6"/>
      <c r="CQ1053" s="6"/>
      <c r="CR1053" s="6"/>
      <c r="CS1053" s="6"/>
      <c r="CT1053" s="6"/>
      <c r="CU1053" s="6"/>
      <c r="CV1053" s="6"/>
      <c r="CW1053" s="6"/>
      <c r="CX1053" s="6"/>
      <c r="CY1053" s="6"/>
      <c r="CZ1053" s="6"/>
      <c r="DA1053" s="6"/>
      <c r="DB1053" s="6"/>
      <c r="DC1053" s="6"/>
      <c r="DD1053" s="6"/>
    </row>
    <row r="1054" spans="1:108" ht="12.75" hidden="1" customHeight="1" outlineLevel="6">
      <c r="A1054" s="104" t="s">
        <v>214</v>
      </c>
      <c r="B1054" s="6">
        <v>0.83</v>
      </c>
      <c r="C1054" s="20"/>
      <c r="D1054" s="18" t="str">
        <f t="shared" si="57"/>
        <v>&lt;Bottom_Tan_Strength&gt;0.830000&lt;/Bottom_Tan_Strength&gt;</v>
      </c>
      <c r="E1054" s="174" t="str">
        <f t="shared" si="55"/>
        <v>Yes</v>
      </c>
      <c r="F1054" s="6" t="s">
        <v>804</v>
      </c>
      <c r="G1054" s="6"/>
      <c r="H1054" s="6"/>
      <c r="I1054" s="6"/>
      <c r="J1054" s="6"/>
      <c r="K1054" s="6"/>
      <c r="L1054" s="6"/>
      <c r="M1054" s="6"/>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c r="BU1054" s="6"/>
      <c r="BV1054" s="6"/>
      <c r="BW1054" s="6"/>
      <c r="BX1054" s="6"/>
      <c r="BY1054" s="6"/>
      <c r="BZ1054" s="6"/>
      <c r="CA1054" s="6"/>
      <c r="CB1054" s="6"/>
      <c r="CC1054" s="6"/>
      <c r="CD1054" s="6"/>
      <c r="CE1054" s="6"/>
      <c r="CF1054" s="6"/>
      <c r="CG1054" s="6"/>
      <c r="CH1054" s="6"/>
      <c r="CI1054" s="6"/>
      <c r="CJ1054" s="6"/>
      <c r="CK1054" s="6"/>
      <c r="CL1054" s="6"/>
      <c r="CM1054" s="6"/>
      <c r="CN1054" s="6"/>
      <c r="CO1054" s="6"/>
      <c r="CP1054" s="6"/>
      <c r="CQ1054" s="6"/>
      <c r="CR1054" s="6"/>
      <c r="CS1054" s="6"/>
      <c r="CT1054" s="6"/>
      <c r="CU1054" s="6"/>
      <c r="CV1054" s="6"/>
      <c r="CW1054" s="6"/>
      <c r="CX1054" s="6"/>
      <c r="CY1054" s="6"/>
      <c r="CZ1054" s="6"/>
      <c r="DA1054" s="6"/>
      <c r="DB1054" s="6"/>
      <c r="DC1054" s="6"/>
      <c r="DD1054" s="6"/>
    </row>
    <row r="1055" spans="1:108" ht="12.75" hidden="1" customHeight="1" outlineLevel="6">
      <c r="A1055" s="104" t="s">
        <v>215</v>
      </c>
      <c r="C1055" s="20"/>
      <c r="D1055" s="6" t="str">
        <f>"&lt;" &amp; A1055 &amp; "&gt;"</f>
        <v>&lt;/OML_Parms&gt;</v>
      </c>
      <c r="E1055" s="174" t="str">
        <f t="shared" si="55"/>
        <v>Yes</v>
      </c>
      <c r="F1055" s="6" t="s">
        <v>805</v>
      </c>
      <c r="G1055" s="6"/>
      <c r="H1055" s="6"/>
      <c r="I1055" s="6"/>
      <c r="J1055" s="6"/>
      <c r="K1055" s="6"/>
      <c r="L1055" s="6"/>
      <c r="M1055" s="6"/>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c r="BU1055" s="6"/>
      <c r="BV1055" s="6"/>
      <c r="BW1055" s="6"/>
      <c r="BX1055" s="6"/>
      <c r="BY1055" s="6"/>
      <c r="BZ1055" s="6"/>
      <c r="CA1055" s="6"/>
      <c r="CB1055" s="6"/>
      <c r="CC1055" s="6"/>
      <c r="CD1055" s="6"/>
      <c r="CE1055" s="6"/>
      <c r="CF1055" s="6"/>
      <c r="CG1055" s="6"/>
      <c r="CH1055" s="6"/>
      <c r="CI1055" s="6"/>
      <c r="CJ1055" s="6"/>
      <c r="CK1055" s="6"/>
      <c r="CL1055" s="6"/>
      <c r="CM1055" s="6"/>
      <c r="CN1055" s="6"/>
      <c r="CO1055" s="6"/>
      <c r="CP1055" s="6"/>
      <c r="CQ1055" s="6"/>
      <c r="CR1055" s="6"/>
      <c r="CS1055" s="6"/>
      <c r="CT1055" s="6"/>
      <c r="CU1055" s="6"/>
      <c r="CV1055" s="6"/>
      <c r="CW1055" s="6"/>
      <c r="CX1055" s="6"/>
      <c r="CY1055" s="6"/>
      <c r="CZ1055" s="6"/>
      <c r="DA1055" s="6"/>
      <c r="DB1055" s="6"/>
      <c r="DC1055" s="6"/>
      <c r="DD1055" s="6"/>
    </row>
    <row r="1056" spans="1:108" ht="12.75" hidden="1" customHeight="1" outlineLevel="5">
      <c r="A1056" s="104" t="s">
        <v>216</v>
      </c>
      <c r="C1056" s="20"/>
      <c r="D1056" s="6" t="str">
        <f>"&lt;" &amp; A1056 &amp; "&gt;"</f>
        <v>&lt;IML_Parms&gt;</v>
      </c>
      <c r="E1056" s="174" t="str">
        <f t="shared" si="55"/>
        <v>Yes</v>
      </c>
      <c r="F1056" s="6" t="s">
        <v>806</v>
      </c>
      <c r="G1056" s="6"/>
      <c r="H1056" s="6"/>
      <c r="I1056" s="6"/>
      <c r="J1056" s="6"/>
      <c r="K1056" s="6"/>
      <c r="L1056" s="6"/>
      <c r="M1056" s="6"/>
      <c r="N1056" s="6"/>
      <c r="O1056" s="6"/>
      <c r="P1056" s="6"/>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c r="BU1056" s="6"/>
      <c r="BV1056" s="6"/>
      <c r="BW1056" s="6"/>
      <c r="BX1056" s="6"/>
      <c r="BY1056" s="6"/>
      <c r="BZ1056" s="6"/>
      <c r="CA1056" s="6"/>
      <c r="CB1056" s="6"/>
      <c r="CC1056" s="6"/>
      <c r="CD1056" s="6"/>
      <c r="CE1056" s="6"/>
      <c r="CF1056" s="6"/>
      <c r="CG1056" s="6"/>
      <c r="CH1056" s="6"/>
      <c r="CI1056" s="6"/>
      <c r="CJ1056" s="6"/>
      <c r="CK1056" s="6"/>
      <c r="CL1056" s="6"/>
      <c r="CM1056" s="6"/>
      <c r="CN1056" s="6"/>
      <c r="CO1056" s="6"/>
      <c r="CP1056" s="6"/>
      <c r="CQ1056" s="6"/>
      <c r="CR1056" s="6"/>
      <c r="CS1056" s="6"/>
      <c r="CT1056" s="6"/>
      <c r="CU1056" s="6"/>
      <c r="CV1056" s="6"/>
      <c r="CW1056" s="6"/>
      <c r="CX1056" s="6"/>
      <c r="CY1056" s="6"/>
      <c r="CZ1056" s="6"/>
      <c r="DA1056" s="6"/>
      <c r="DB1056" s="6"/>
      <c r="DC1056" s="6"/>
      <c r="DD1056" s="6"/>
    </row>
    <row r="1057" spans="1:108" ht="12.75" hidden="1" customHeight="1" outlineLevel="6">
      <c r="A1057" s="104" t="s">
        <v>14</v>
      </c>
      <c r="B1057" s="6">
        <v>2</v>
      </c>
      <c r="C1057" s="20"/>
      <c r="D1057" s="18" t="str">
        <f>"&lt;" &amp; A1057 &amp; "&gt;" &amp; TEXT(B1057,0) &amp; "&lt;/" &amp; A1057 &amp; "&gt;"</f>
        <v>&lt;Type&gt;2&lt;/Type&gt;</v>
      </c>
      <c r="E1057" s="174" t="str">
        <f t="shared" si="55"/>
        <v>Yes</v>
      </c>
      <c r="F1057" s="6" t="s">
        <v>807</v>
      </c>
      <c r="G1057" s="6"/>
      <c r="H1057" s="6"/>
      <c r="I1057" s="6"/>
      <c r="J1057" s="6"/>
      <c r="K1057" s="6"/>
      <c r="L1057" s="6"/>
      <c r="M1057" s="6"/>
      <c r="N1057" s="6"/>
      <c r="O1057" s="6"/>
      <c r="P1057" s="6"/>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c r="BU1057" s="6"/>
      <c r="BV1057" s="6"/>
      <c r="BW1057" s="6"/>
      <c r="BX1057" s="6"/>
      <c r="BY1057" s="6"/>
      <c r="BZ1057" s="6"/>
      <c r="CA1057" s="6"/>
      <c r="CB1057" s="6"/>
      <c r="CC1057" s="6"/>
      <c r="CD1057" s="6"/>
      <c r="CE1057" s="6"/>
      <c r="CF1057" s="6"/>
      <c r="CG1057" s="6"/>
      <c r="CH1057" s="6"/>
      <c r="CI1057" s="6"/>
      <c r="CJ1057" s="6"/>
      <c r="CK1057" s="6"/>
      <c r="CL1057" s="6"/>
      <c r="CM1057" s="6"/>
      <c r="CN1057" s="6"/>
      <c r="CO1057" s="6"/>
      <c r="CP1057" s="6"/>
      <c r="CQ1057" s="6"/>
      <c r="CR1057" s="6"/>
      <c r="CS1057" s="6"/>
      <c r="CT1057" s="6"/>
      <c r="CU1057" s="6"/>
      <c r="CV1057" s="6"/>
      <c r="CW1057" s="6"/>
      <c r="CX1057" s="6"/>
      <c r="CY1057" s="6"/>
      <c r="CZ1057" s="6"/>
      <c r="DA1057" s="6"/>
      <c r="DB1057" s="6"/>
      <c r="DC1057" s="6"/>
      <c r="DD1057" s="6"/>
    </row>
    <row r="1058" spans="1:108" ht="12.75" hidden="1" customHeight="1" outlineLevel="6">
      <c r="A1058" s="104" t="s">
        <v>15</v>
      </c>
      <c r="B1058" s="6">
        <v>3</v>
      </c>
      <c r="C1058" s="20"/>
      <c r="D1058" s="18" t="str">
        <f t="shared" ref="D1058:D1067" si="58">"&lt;" &amp; A1058 &amp; "&gt;" &amp; TEXT(B1058,"0.000000") &amp; "&lt;/" &amp; A1058 &amp; "&gt;"</f>
        <v>&lt;Height&gt;3.000000&lt;/Height&gt;</v>
      </c>
      <c r="E1058" s="174" t="str">
        <f t="shared" si="55"/>
        <v>Yes</v>
      </c>
      <c r="F1058" s="6" t="s">
        <v>808</v>
      </c>
      <c r="G1058" s="6"/>
      <c r="H1058" s="6"/>
      <c r="I1058" s="6"/>
      <c r="J1058" s="6"/>
      <c r="K1058" s="6"/>
      <c r="L1058" s="6"/>
      <c r="M1058" s="6"/>
      <c r="N1058" s="6"/>
      <c r="O1058" s="6"/>
      <c r="P1058" s="6"/>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c r="BU1058" s="6"/>
      <c r="BV1058" s="6"/>
      <c r="BW1058" s="6"/>
      <c r="BX1058" s="6"/>
      <c r="BY1058" s="6"/>
      <c r="BZ1058" s="6"/>
      <c r="CA1058" s="6"/>
      <c r="CB1058" s="6"/>
      <c r="CC1058" s="6"/>
      <c r="CD1058" s="6"/>
      <c r="CE1058" s="6"/>
      <c r="CF1058" s="6"/>
      <c r="CG1058" s="6"/>
      <c r="CH1058" s="6"/>
      <c r="CI1058" s="6"/>
      <c r="CJ1058" s="6"/>
      <c r="CK1058" s="6"/>
      <c r="CL1058" s="6"/>
      <c r="CM1058" s="6"/>
      <c r="CN1058" s="6"/>
      <c r="CO1058" s="6"/>
      <c r="CP1058" s="6"/>
      <c r="CQ1058" s="6"/>
      <c r="CR1058" s="6"/>
      <c r="CS1058" s="6"/>
      <c r="CT1058" s="6"/>
      <c r="CU1058" s="6"/>
      <c r="CV1058" s="6"/>
      <c r="CW1058" s="6"/>
      <c r="CX1058" s="6"/>
      <c r="CY1058" s="6"/>
      <c r="CZ1058" s="6"/>
      <c r="DA1058" s="6"/>
      <c r="DB1058" s="6"/>
      <c r="DC1058" s="6"/>
      <c r="DD1058" s="6"/>
    </row>
    <row r="1059" spans="1:108" ht="12.75" hidden="1" customHeight="1" outlineLevel="6">
      <c r="A1059" s="104" t="s">
        <v>16</v>
      </c>
      <c r="B1059" s="6">
        <v>2.5</v>
      </c>
      <c r="C1059" s="20"/>
      <c r="D1059" s="18" t="str">
        <f t="shared" si="58"/>
        <v>&lt;Width&gt;2.500000&lt;/Width&gt;</v>
      </c>
      <c r="E1059" s="174" t="str">
        <f t="shared" si="55"/>
        <v>Yes</v>
      </c>
      <c r="F1059" s="6" t="s">
        <v>809</v>
      </c>
      <c r="G1059" s="6"/>
      <c r="H1059" s="6"/>
      <c r="I1059" s="6"/>
      <c r="J1059" s="6"/>
      <c r="K1059" s="6"/>
      <c r="L1059" s="6"/>
      <c r="M1059" s="6"/>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c r="BU1059" s="6"/>
      <c r="BV1059" s="6"/>
      <c r="BW1059" s="6"/>
      <c r="BX1059" s="6"/>
      <c r="BY1059" s="6"/>
      <c r="BZ1059" s="6"/>
      <c r="CA1059" s="6"/>
      <c r="CB1059" s="6"/>
      <c r="CC1059" s="6"/>
      <c r="CD1059" s="6"/>
      <c r="CE1059" s="6"/>
      <c r="CF1059" s="6"/>
      <c r="CG1059" s="6"/>
      <c r="CH1059" s="6"/>
      <c r="CI1059" s="6"/>
      <c r="CJ1059" s="6"/>
      <c r="CK1059" s="6"/>
      <c r="CL1059" s="6"/>
      <c r="CM1059" s="6"/>
      <c r="CN1059" s="6"/>
      <c r="CO1059" s="6"/>
      <c r="CP1059" s="6"/>
      <c r="CQ1059" s="6"/>
      <c r="CR1059" s="6"/>
      <c r="CS1059" s="6"/>
      <c r="CT1059" s="6"/>
      <c r="CU1059" s="6"/>
      <c r="CV1059" s="6"/>
      <c r="CW1059" s="6"/>
      <c r="CX1059" s="6"/>
      <c r="CY1059" s="6"/>
      <c r="CZ1059" s="6"/>
      <c r="DA1059" s="6"/>
      <c r="DB1059" s="6"/>
      <c r="DC1059" s="6"/>
      <c r="DD1059" s="6"/>
    </row>
    <row r="1060" spans="1:108" ht="12.75" hidden="1" customHeight="1" outlineLevel="6">
      <c r="A1060" s="104" t="s">
        <v>207</v>
      </c>
      <c r="B1060" s="6">
        <v>0</v>
      </c>
      <c r="C1060" s="20"/>
      <c r="D1060" s="18" t="str">
        <f t="shared" si="58"/>
        <v>&lt;Max_Width_Location&gt;0.000000&lt;/Max_Width_Location&gt;</v>
      </c>
      <c r="E1060" s="174" t="str">
        <f t="shared" si="55"/>
        <v>Yes</v>
      </c>
      <c r="F1060" s="6" t="s">
        <v>797</v>
      </c>
      <c r="G1060" s="6"/>
      <c r="H1060" s="6"/>
      <c r="I1060" s="6"/>
      <c r="J1060" s="6"/>
      <c r="K1060" s="6"/>
      <c r="L1060" s="6"/>
      <c r="M1060" s="6"/>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c r="BU1060" s="6"/>
      <c r="BV1060" s="6"/>
      <c r="BW1060" s="6"/>
      <c r="BX1060" s="6"/>
      <c r="BY1060" s="6"/>
      <c r="BZ1060" s="6"/>
      <c r="CA1060" s="6"/>
      <c r="CB1060" s="6"/>
      <c r="CC1060" s="6"/>
      <c r="CD1060" s="6"/>
      <c r="CE1060" s="6"/>
      <c r="CF1060" s="6"/>
      <c r="CG1060" s="6"/>
      <c r="CH1060" s="6"/>
      <c r="CI1060" s="6"/>
      <c r="CJ1060" s="6"/>
      <c r="CK1060" s="6"/>
      <c r="CL1060" s="6"/>
      <c r="CM1060" s="6"/>
      <c r="CN1060" s="6"/>
      <c r="CO1060" s="6"/>
      <c r="CP1060" s="6"/>
      <c r="CQ1060" s="6"/>
      <c r="CR1060" s="6"/>
      <c r="CS1060" s="6"/>
      <c r="CT1060" s="6"/>
      <c r="CU1060" s="6"/>
      <c r="CV1060" s="6"/>
      <c r="CW1060" s="6"/>
      <c r="CX1060" s="6"/>
      <c r="CY1060" s="6"/>
      <c r="CZ1060" s="6"/>
      <c r="DA1060" s="6"/>
      <c r="DB1060" s="6"/>
      <c r="DC1060" s="6"/>
      <c r="DD1060" s="6"/>
    </row>
    <row r="1061" spans="1:108" ht="12.75" hidden="1" customHeight="1" outlineLevel="6">
      <c r="A1061" s="104" t="s">
        <v>208</v>
      </c>
      <c r="B1061" s="6">
        <v>0.5</v>
      </c>
      <c r="C1061" s="20"/>
      <c r="D1061" s="18" t="str">
        <f t="shared" si="58"/>
        <v>&lt;Corner_Radius&gt;0.500000&lt;/Corner_Radius&gt;</v>
      </c>
      <c r="E1061" s="174" t="str">
        <f t="shared" si="55"/>
        <v>Yes</v>
      </c>
      <c r="F1061" s="6" t="s">
        <v>798</v>
      </c>
      <c r="G1061" s="6"/>
      <c r="H1061" s="6"/>
      <c r="I1061" s="6"/>
      <c r="J1061" s="6"/>
      <c r="K1061" s="6"/>
      <c r="L1061" s="6"/>
      <c r="M1061" s="6"/>
      <c r="N1061" s="6"/>
      <c r="O1061" s="6"/>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c r="BU1061" s="6"/>
      <c r="BV1061" s="6"/>
      <c r="BW1061" s="6"/>
      <c r="BX1061" s="6"/>
      <c r="BY1061" s="6"/>
      <c r="BZ1061" s="6"/>
      <c r="CA1061" s="6"/>
      <c r="CB1061" s="6"/>
      <c r="CC1061" s="6"/>
      <c r="CD1061" s="6"/>
      <c r="CE1061" s="6"/>
      <c r="CF1061" s="6"/>
      <c r="CG1061" s="6"/>
      <c r="CH1061" s="6"/>
      <c r="CI1061" s="6"/>
      <c r="CJ1061" s="6"/>
      <c r="CK1061" s="6"/>
      <c r="CL1061" s="6"/>
      <c r="CM1061" s="6"/>
      <c r="CN1061" s="6"/>
      <c r="CO1061" s="6"/>
      <c r="CP1061" s="6"/>
      <c r="CQ1061" s="6"/>
      <c r="CR1061" s="6"/>
      <c r="CS1061" s="6"/>
      <c r="CT1061" s="6"/>
      <c r="CU1061" s="6"/>
      <c r="CV1061" s="6"/>
      <c r="CW1061" s="6"/>
      <c r="CX1061" s="6"/>
      <c r="CY1061" s="6"/>
      <c r="CZ1061" s="6"/>
      <c r="DA1061" s="6"/>
      <c r="DB1061" s="6"/>
      <c r="DC1061" s="6"/>
      <c r="DD1061" s="6"/>
    </row>
    <row r="1062" spans="1:108" ht="12.75" hidden="1" customHeight="1" outlineLevel="6">
      <c r="A1062" s="104" t="s">
        <v>209</v>
      </c>
      <c r="B1062" s="6">
        <v>90</v>
      </c>
      <c r="C1062" s="20"/>
      <c r="D1062" s="18" t="str">
        <f t="shared" si="58"/>
        <v>&lt;Top_Tan_Angle&gt;90.000000&lt;/Top_Tan_Angle&gt;</v>
      </c>
      <c r="E1062" s="174" t="str">
        <f t="shared" si="55"/>
        <v>Yes</v>
      </c>
      <c r="F1062" s="6" t="s">
        <v>799</v>
      </c>
      <c r="G1062" s="6"/>
      <c r="H1062" s="6"/>
      <c r="I1062" s="6"/>
      <c r="J1062" s="6"/>
      <c r="K1062" s="6"/>
      <c r="L1062" s="6"/>
      <c r="M1062" s="6"/>
      <c r="N1062" s="6"/>
      <c r="O1062" s="6"/>
      <c r="P1062" s="6"/>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c r="BU1062" s="6"/>
      <c r="BV1062" s="6"/>
      <c r="BW1062" s="6"/>
      <c r="BX1062" s="6"/>
      <c r="BY1062" s="6"/>
      <c r="BZ1062" s="6"/>
      <c r="CA1062" s="6"/>
      <c r="CB1062" s="6"/>
      <c r="CC1062" s="6"/>
      <c r="CD1062" s="6"/>
      <c r="CE1062" s="6"/>
      <c r="CF1062" s="6"/>
      <c r="CG1062" s="6"/>
      <c r="CH1062" s="6"/>
      <c r="CI1062" s="6"/>
      <c r="CJ1062" s="6"/>
      <c r="CK1062" s="6"/>
      <c r="CL1062" s="6"/>
      <c r="CM1062" s="6"/>
      <c r="CN1062" s="6"/>
      <c r="CO1062" s="6"/>
      <c r="CP1062" s="6"/>
      <c r="CQ1062" s="6"/>
      <c r="CR1062" s="6"/>
      <c r="CS1062" s="6"/>
      <c r="CT1062" s="6"/>
      <c r="CU1062" s="6"/>
      <c r="CV1062" s="6"/>
      <c r="CW1062" s="6"/>
      <c r="CX1062" s="6"/>
      <c r="CY1062" s="6"/>
      <c r="CZ1062" s="6"/>
      <c r="DA1062" s="6"/>
      <c r="DB1062" s="6"/>
      <c r="DC1062" s="6"/>
      <c r="DD1062" s="6"/>
    </row>
    <row r="1063" spans="1:108" ht="12.75" hidden="1" customHeight="1" outlineLevel="6">
      <c r="A1063" s="104" t="s">
        <v>210</v>
      </c>
      <c r="B1063" s="6">
        <v>90</v>
      </c>
      <c r="C1063" s="20"/>
      <c r="D1063" s="18" t="str">
        <f t="shared" si="58"/>
        <v>&lt;Bot_Tan_Angle&gt;90.000000&lt;/Bot_Tan_Angle&gt;</v>
      </c>
      <c r="E1063" s="174" t="str">
        <f t="shared" si="55"/>
        <v>Yes</v>
      </c>
      <c r="F1063" s="6" t="s">
        <v>800</v>
      </c>
      <c r="G1063" s="6"/>
      <c r="H1063" s="6"/>
      <c r="I1063" s="6"/>
      <c r="J1063" s="6"/>
      <c r="K1063" s="6"/>
      <c r="L1063" s="6"/>
      <c r="M1063" s="6"/>
      <c r="N1063" s="6"/>
      <c r="O1063" s="6"/>
      <c r="P1063" s="6"/>
      <c r="Q1063" s="6"/>
      <c r="R1063" s="6"/>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c r="BU1063" s="6"/>
      <c r="BV1063" s="6"/>
      <c r="BW1063" s="6"/>
      <c r="BX1063" s="6"/>
      <c r="BY1063" s="6"/>
      <c r="BZ1063" s="6"/>
      <c r="CA1063" s="6"/>
      <c r="CB1063" s="6"/>
      <c r="CC1063" s="6"/>
      <c r="CD1063" s="6"/>
      <c r="CE1063" s="6"/>
      <c r="CF1063" s="6"/>
      <c r="CG1063" s="6"/>
      <c r="CH1063" s="6"/>
      <c r="CI1063" s="6"/>
      <c r="CJ1063" s="6"/>
      <c r="CK1063" s="6"/>
      <c r="CL1063" s="6"/>
      <c r="CM1063" s="6"/>
      <c r="CN1063" s="6"/>
      <c r="CO1063" s="6"/>
      <c r="CP1063" s="6"/>
      <c r="CQ1063" s="6"/>
      <c r="CR1063" s="6"/>
      <c r="CS1063" s="6"/>
      <c r="CT1063" s="6"/>
      <c r="CU1063" s="6"/>
      <c r="CV1063" s="6"/>
      <c r="CW1063" s="6"/>
      <c r="CX1063" s="6"/>
      <c r="CY1063" s="6"/>
      <c r="CZ1063" s="6"/>
      <c r="DA1063" s="6"/>
      <c r="DB1063" s="6"/>
      <c r="DC1063" s="6"/>
      <c r="DD1063" s="6"/>
    </row>
    <row r="1064" spans="1:108" ht="12.75" hidden="1" customHeight="1" outlineLevel="6">
      <c r="A1064" s="104" t="s">
        <v>211</v>
      </c>
      <c r="B1064" s="6">
        <v>0.83</v>
      </c>
      <c r="C1064" s="20"/>
      <c r="D1064" s="18" t="str">
        <f t="shared" si="58"/>
        <v>&lt;Top_Tan_Strength&gt;0.830000&lt;/Top_Tan_Strength&gt;</v>
      </c>
      <c r="E1064" s="174" t="str">
        <f t="shared" si="55"/>
        <v>Yes</v>
      </c>
      <c r="F1064" s="6" t="s">
        <v>801</v>
      </c>
      <c r="G1064" s="6"/>
      <c r="H1064" s="6"/>
      <c r="I1064" s="6"/>
      <c r="J1064" s="6"/>
      <c r="K1064" s="6"/>
      <c r="L1064" s="6"/>
      <c r="M1064" s="6"/>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c r="BU1064" s="6"/>
      <c r="BV1064" s="6"/>
      <c r="BW1064" s="6"/>
      <c r="BX1064" s="6"/>
      <c r="BY1064" s="6"/>
      <c r="BZ1064" s="6"/>
      <c r="CA1064" s="6"/>
      <c r="CB1064" s="6"/>
      <c r="CC1064" s="6"/>
      <c r="CD1064" s="6"/>
      <c r="CE1064" s="6"/>
      <c r="CF1064" s="6"/>
      <c r="CG1064" s="6"/>
      <c r="CH1064" s="6"/>
      <c r="CI1064" s="6"/>
      <c r="CJ1064" s="6"/>
      <c r="CK1064" s="6"/>
      <c r="CL1064" s="6"/>
      <c r="CM1064" s="6"/>
      <c r="CN1064" s="6"/>
      <c r="CO1064" s="6"/>
      <c r="CP1064" s="6"/>
      <c r="CQ1064" s="6"/>
      <c r="CR1064" s="6"/>
      <c r="CS1064" s="6"/>
      <c r="CT1064" s="6"/>
      <c r="CU1064" s="6"/>
      <c r="CV1064" s="6"/>
      <c r="CW1064" s="6"/>
      <c r="CX1064" s="6"/>
      <c r="CY1064" s="6"/>
      <c r="CZ1064" s="6"/>
      <c r="DA1064" s="6"/>
      <c r="DB1064" s="6"/>
      <c r="DC1064" s="6"/>
      <c r="DD1064" s="6"/>
    </row>
    <row r="1065" spans="1:108" ht="12.75" hidden="1" customHeight="1" outlineLevel="6">
      <c r="A1065" s="104" t="s">
        <v>212</v>
      </c>
      <c r="B1065" s="6">
        <v>0.83</v>
      </c>
      <c r="C1065" s="20"/>
      <c r="D1065" s="18" t="str">
        <f t="shared" si="58"/>
        <v>&lt;Upper_Tan_Strength&gt;0.830000&lt;/Upper_Tan_Strength&gt;</v>
      </c>
      <c r="E1065" s="174" t="str">
        <f t="shared" si="55"/>
        <v>Yes</v>
      </c>
      <c r="F1065" s="6" t="s">
        <v>802</v>
      </c>
      <c r="G1065" s="6"/>
      <c r="H1065" s="6"/>
      <c r="I1065" s="6"/>
      <c r="J1065" s="6"/>
      <c r="K1065" s="6"/>
      <c r="L1065" s="6"/>
      <c r="M1065" s="6"/>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c r="BU1065" s="6"/>
      <c r="BV1065" s="6"/>
      <c r="BW1065" s="6"/>
      <c r="BX1065" s="6"/>
      <c r="BY1065" s="6"/>
      <c r="BZ1065" s="6"/>
      <c r="CA1065" s="6"/>
      <c r="CB1065" s="6"/>
      <c r="CC1065" s="6"/>
      <c r="CD1065" s="6"/>
      <c r="CE1065" s="6"/>
      <c r="CF1065" s="6"/>
      <c r="CG1065" s="6"/>
      <c r="CH1065" s="6"/>
      <c r="CI1065" s="6"/>
      <c r="CJ1065" s="6"/>
      <c r="CK1065" s="6"/>
      <c r="CL1065" s="6"/>
      <c r="CM1065" s="6"/>
      <c r="CN1065" s="6"/>
      <c r="CO1065" s="6"/>
      <c r="CP1065" s="6"/>
      <c r="CQ1065" s="6"/>
      <c r="CR1065" s="6"/>
      <c r="CS1065" s="6"/>
      <c r="CT1065" s="6"/>
      <c r="CU1065" s="6"/>
      <c r="CV1065" s="6"/>
      <c r="CW1065" s="6"/>
      <c r="CX1065" s="6"/>
      <c r="CY1065" s="6"/>
      <c r="CZ1065" s="6"/>
      <c r="DA1065" s="6"/>
      <c r="DB1065" s="6"/>
      <c r="DC1065" s="6"/>
      <c r="DD1065" s="6"/>
    </row>
    <row r="1066" spans="1:108" ht="12.75" hidden="1" customHeight="1" outlineLevel="6">
      <c r="A1066" s="104" t="s">
        <v>213</v>
      </c>
      <c r="B1066" s="6">
        <v>0.83</v>
      </c>
      <c r="C1066" s="20"/>
      <c r="D1066" s="18" t="str">
        <f t="shared" si="58"/>
        <v>&lt;Lower_Tan_Strength&gt;0.830000&lt;/Lower_Tan_Strength&gt;</v>
      </c>
      <c r="E1066" s="174" t="str">
        <f t="shared" si="55"/>
        <v>Yes</v>
      </c>
      <c r="F1066" s="6" t="s">
        <v>803</v>
      </c>
      <c r="G1066" s="6"/>
      <c r="H1066" s="6"/>
      <c r="I1066" s="6"/>
      <c r="J1066" s="6"/>
      <c r="K1066" s="6"/>
      <c r="L1066" s="6"/>
      <c r="M1066" s="6"/>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c r="BU1066" s="6"/>
      <c r="BV1066" s="6"/>
      <c r="BW1066" s="6"/>
      <c r="BX1066" s="6"/>
      <c r="BY1066" s="6"/>
      <c r="BZ1066" s="6"/>
      <c r="CA1066" s="6"/>
      <c r="CB1066" s="6"/>
      <c r="CC1066" s="6"/>
      <c r="CD1066" s="6"/>
      <c r="CE1066" s="6"/>
      <c r="CF1066" s="6"/>
      <c r="CG1066" s="6"/>
      <c r="CH1066" s="6"/>
      <c r="CI1066" s="6"/>
      <c r="CJ1066" s="6"/>
      <c r="CK1066" s="6"/>
      <c r="CL1066" s="6"/>
      <c r="CM1066" s="6"/>
      <c r="CN1066" s="6"/>
      <c r="CO1066" s="6"/>
      <c r="CP1066" s="6"/>
      <c r="CQ1066" s="6"/>
      <c r="CR1066" s="6"/>
      <c r="CS1066" s="6"/>
      <c r="CT1066" s="6"/>
      <c r="CU1066" s="6"/>
      <c r="CV1066" s="6"/>
      <c r="CW1066" s="6"/>
      <c r="CX1066" s="6"/>
      <c r="CY1066" s="6"/>
      <c r="CZ1066" s="6"/>
      <c r="DA1066" s="6"/>
      <c r="DB1066" s="6"/>
      <c r="DC1066" s="6"/>
      <c r="DD1066" s="6"/>
    </row>
    <row r="1067" spans="1:108" ht="12.75" hidden="1" customHeight="1" outlineLevel="6">
      <c r="A1067" s="104" t="s">
        <v>214</v>
      </c>
      <c r="B1067" s="6">
        <v>0.83</v>
      </c>
      <c r="C1067" s="20"/>
      <c r="D1067" s="18" t="str">
        <f t="shared" si="58"/>
        <v>&lt;Bottom_Tan_Strength&gt;0.830000&lt;/Bottom_Tan_Strength&gt;</v>
      </c>
      <c r="E1067" s="174" t="str">
        <f t="shared" si="55"/>
        <v>Yes</v>
      </c>
      <c r="F1067" s="6" t="s">
        <v>804</v>
      </c>
      <c r="G1067" s="6"/>
      <c r="H1067" s="6"/>
      <c r="I1067" s="6"/>
      <c r="J1067" s="6"/>
      <c r="K1067" s="6"/>
      <c r="L1067" s="6"/>
      <c r="M1067" s="6"/>
      <c r="N1067" s="6"/>
      <c r="O1067" s="6"/>
      <c r="P1067" s="6"/>
      <c r="Q1067" s="6"/>
      <c r="R1067" s="6"/>
      <c r="S1067" s="6"/>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c r="BU1067" s="6"/>
      <c r="BV1067" s="6"/>
      <c r="BW1067" s="6"/>
      <c r="BX1067" s="6"/>
      <c r="BY1067" s="6"/>
      <c r="BZ1067" s="6"/>
      <c r="CA1067" s="6"/>
      <c r="CB1067" s="6"/>
      <c r="CC1067" s="6"/>
      <c r="CD1067" s="6"/>
      <c r="CE1067" s="6"/>
      <c r="CF1067" s="6"/>
      <c r="CG1067" s="6"/>
      <c r="CH1067" s="6"/>
      <c r="CI1067" s="6"/>
      <c r="CJ1067" s="6"/>
      <c r="CK1067" s="6"/>
      <c r="CL1067" s="6"/>
      <c r="CM1067" s="6"/>
      <c r="CN1067" s="6"/>
      <c r="CO1067" s="6"/>
      <c r="CP1067" s="6"/>
      <c r="CQ1067" s="6"/>
      <c r="CR1067" s="6"/>
      <c r="CS1067" s="6"/>
      <c r="CT1067" s="6"/>
      <c r="CU1067" s="6"/>
      <c r="CV1067" s="6"/>
      <c r="CW1067" s="6"/>
      <c r="CX1067" s="6"/>
      <c r="CY1067" s="6"/>
      <c r="CZ1067" s="6"/>
      <c r="DA1067" s="6"/>
      <c r="DB1067" s="6"/>
      <c r="DC1067" s="6"/>
      <c r="DD1067" s="6"/>
    </row>
    <row r="1068" spans="1:108" ht="12.75" hidden="1" customHeight="1" outlineLevel="6">
      <c r="A1068" s="104" t="s">
        <v>217</v>
      </c>
      <c r="C1068" s="20"/>
      <c r="D1068" s="6" t="str">
        <f>"&lt;" &amp; A1068 &amp; "&gt;"</f>
        <v>&lt;/IML_Parms&gt;</v>
      </c>
      <c r="E1068" s="174" t="str">
        <f t="shared" si="55"/>
        <v>Yes</v>
      </c>
      <c r="F1068" s="6" t="s">
        <v>810</v>
      </c>
      <c r="G1068" s="6"/>
      <c r="H1068" s="6"/>
      <c r="I1068" s="6"/>
      <c r="J1068" s="6"/>
      <c r="K1068" s="6"/>
      <c r="L1068" s="6"/>
      <c r="M1068" s="6"/>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c r="BU1068" s="6"/>
      <c r="BV1068" s="6"/>
      <c r="BW1068" s="6"/>
      <c r="BX1068" s="6"/>
      <c r="BY1068" s="6"/>
      <c r="BZ1068" s="6"/>
      <c r="CA1068" s="6"/>
      <c r="CB1068" s="6"/>
      <c r="CC1068" s="6"/>
      <c r="CD1068" s="6"/>
      <c r="CE1068" s="6"/>
      <c r="CF1068" s="6"/>
      <c r="CG1068" s="6"/>
      <c r="CH1068" s="6"/>
      <c r="CI1068" s="6"/>
      <c r="CJ1068" s="6"/>
      <c r="CK1068" s="6"/>
      <c r="CL1068" s="6"/>
      <c r="CM1068" s="6"/>
      <c r="CN1068" s="6"/>
      <c r="CO1068" s="6"/>
      <c r="CP1068" s="6"/>
      <c r="CQ1068" s="6"/>
      <c r="CR1068" s="6"/>
      <c r="CS1068" s="6"/>
      <c r="CT1068" s="6"/>
      <c r="CU1068" s="6"/>
      <c r="CV1068" s="6"/>
      <c r="CW1068" s="6"/>
      <c r="CX1068" s="6"/>
      <c r="CY1068" s="6"/>
      <c r="CZ1068" s="6"/>
      <c r="DA1068" s="6"/>
      <c r="DB1068" s="6"/>
      <c r="DC1068" s="6"/>
      <c r="DD1068" s="6"/>
    </row>
    <row r="1069" spans="1:108" ht="12.75" hidden="1" customHeight="1" outlineLevel="5">
      <c r="A1069" s="104" t="s">
        <v>218</v>
      </c>
      <c r="C1069" s="20"/>
      <c r="D1069" s="6" t="str">
        <f>"&lt;" &amp; A1069 &amp; "&gt;"</f>
        <v>&lt;/Cross_Section&gt;</v>
      </c>
      <c r="E1069" s="174" t="str">
        <f t="shared" si="55"/>
        <v>Yes</v>
      </c>
      <c r="F1069" s="6" t="s">
        <v>811</v>
      </c>
      <c r="G1069" s="6"/>
      <c r="H1069" s="6"/>
      <c r="I1069" s="6"/>
      <c r="J1069" s="6"/>
      <c r="K1069" s="6"/>
      <c r="L1069" s="6"/>
      <c r="M1069" s="6"/>
      <c r="N1069" s="6"/>
      <c r="O1069" s="6"/>
      <c r="P1069" s="6"/>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c r="BU1069" s="6"/>
      <c r="BV1069" s="6"/>
      <c r="BW1069" s="6"/>
      <c r="BX1069" s="6"/>
      <c r="BY1069" s="6"/>
      <c r="BZ1069" s="6"/>
      <c r="CA1069" s="6"/>
      <c r="CB1069" s="6"/>
      <c r="CC1069" s="6"/>
      <c r="CD1069" s="6"/>
      <c r="CE1069" s="6"/>
      <c r="CF1069" s="6"/>
      <c r="CG1069" s="6"/>
      <c r="CH1069" s="6"/>
      <c r="CI1069" s="6"/>
      <c r="CJ1069" s="6"/>
      <c r="CK1069" s="6"/>
      <c r="CL1069" s="6"/>
      <c r="CM1069" s="6"/>
      <c r="CN1069" s="6"/>
      <c r="CO1069" s="6"/>
      <c r="CP1069" s="6"/>
      <c r="CQ1069" s="6"/>
      <c r="CR1069" s="6"/>
      <c r="CS1069" s="6"/>
      <c r="CT1069" s="6"/>
      <c r="CU1069" s="6"/>
      <c r="CV1069" s="6"/>
      <c r="CW1069" s="6"/>
      <c r="CX1069" s="6"/>
      <c r="CY1069" s="6"/>
      <c r="CZ1069" s="6"/>
      <c r="DA1069" s="6"/>
      <c r="DB1069" s="6"/>
      <c r="DC1069" s="6"/>
      <c r="DD1069" s="6"/>
    </row>
    <row r="1070" spans="1:108" ht="12.75" hidden="1" customHeight="1" outlineLevel="4">
      <c r="A1070" s="104" t="s">
        <v>188</v>
      </c>
      <c r="B1070" s="99" t="s">
        <v>396</v>
      </c>
      <c r="C1070" s="20"/>
      <c r="D1070" s="6" t="str">
        <f>"&lt;" &amp; A1070 &amp; "&gt;"</f>
        <v>&lt;Cross_Section&gt;</v>
      </c>
      <c r="E1070" s="174" t="str">
        <f t="shared" si="55"/>
        <v>Yes</v>
      </c>
      <c r="F1070" s="6" t="s">
        <v>776</v>
      </c>
      <c r="G1070" s="6"/>
      <c r="H1070" s="6"/>
      <c r="I1070" s="6"/>
      <c r="J1070" s="6"/>
      <c r="K1070" s="6"/>
      <c r="L1070" s="6"/>
      <c r="M1070" s="6"/>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c r="BU1070" s="6"/>
      <c r="BV1070" s="6"/>
      <c r="BW1070" s="6"/>
      <c r="BX1070" s="6"/>
      <c r="BY1070" s="6"/>
      <c r="BZ1070" s="6"/>
      <c r="CA1070" s="6"/>
      <c r="CB1070" s="6"/>
      <c r="CC1070" s="6"/>
      <c r="CD1070" s="6"/>
      <c r="CE1070" s="6"/>
      <c r="CF1070" s="6"/>
      <c r="CG1070" s="6"/>
      <c r="CH1070" s="6"/>
      <c r="CI1070" s="6"/>
      <c r="CJ1070" s="6"/>
      <c r="CK1070" s="6"/>
      <c r="CL1070" s="6"/>
      <c r="CM1070" s="6"/>
      <c r="CN1070" s="6"/>
      <c r="CO1070" s="6"/>
      <c r="CP1070" s="6"/>
      <c r="CQ1070" s="6"/>
      <c r="CR1070" s="6"/>
      <c r="CS1070" s="6"/>
      <c r="CT1070" s="6"/>
      <c r="CU1070" s="6"/>
      <c r="CV1070" s="6"/>
      <c r="CW1070" s="6"/>
      <c r="CX1070" s="6"/>
      <c r="CY1070" s="6"/>
      <c r="CZ1070" s="6"/>
      <c r="DA1070" s="6"/>
      <c r="DB1070" s="6"/>
      <c r="DC1070" s="6"/>
      <c r="DD1070" s="6"/>
    </row>
    <row r="1071" spans="1:108" ht="12.75" hidden="1" customHeight="1" outlineLevel="5">
      <c r="A1071" s="104" t="s">
        <v>189</v>
      </c>
      <c r="B1071" s="108">
        <v>45</v>
      </c>
      <c r="C1071" s="20"/>
      <c r="D1071" s="18" t="str">
        <f>"&lt;" &amp; A1071 &amp; "&gt;" &amp; TEXT(B1071,0) &amp; "&lt;/" &amp; A1071 &amp; "&gt;"</f>
        <v>&lt;Num_Pnts&gt;45&lt;/Num_Pnts&gt;</v>
      </c>
      <c r="E1071" s="174" t="str">
        <f t="shared" si="55"/>
        <v>Yes</v>
      </c>
      <c r="F1071" s="6" t="s">
        <v>777</v>
      </c>
      <c r="G1071" s="6"/>
      <c r="H1071" s="6"/>
      <c r="I1071" s="6"/>
      <c r="J1071" s="6"/>
      <c r="K1071" s="6"/>
      <c r="L1071" s="6"/>
      <c r="M1071" s="6"/>
      <c r="N1071" s="6"/>
      <c r="O1071" s="6"/>
      <c r="P1071" s="6"/>
      <c r="Q1071" s="6"/>
      <c r="R1071" s="6"/>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c r="BU1071" s="6"/>
      <c r="BV1071" s="6"/>
      <c r="BW1071" s="6"/>
      <c r="BX1071" s="6"/>
      <c r="BY1071" s="6"/>
      <c r="BZ1071" s="6"/>
      <c r="CA1071" s="6"/>
      <c r="CB1071" s="6"/>
      <c r="CC1071" s="6"/>
      <c r="CD1071" s="6"/>
      <c r="CE1071" s="6"/>
      <c r="CF1071" s="6"/>
      <c r="CG1071" s="6"/>
      <c r="CH1071" s="6"/>
      <c r="CI1071" s="6"/>
      <c r="CJ1071" s="6"/>
      <c r="CK1071" s="6"/>
      <c r="CL1071" s="6"/>
      <c r="CM1071" s="6"/>
      <c r="CN1071" s="6"/>
      <c r="CO1071" s="6"/>
      <c r="CP1071" s="6"/>
      <c r="CQ1071" s="6"/>
      <c r="CR1071" s="6"/>
      <c r="CS1071" s="6"/>
      <c r="CT1071" s="6"/>
      <c r="CU1071" s="6"/>
      <c r="CV1071" s="6"/>
      <c r="CW1071" s="6"/>
      <c r="CX1071" s="6"/>
      <c r="CY1071" s="6"/>
      <c r="CZ1071" s="6"/>
      <c r="DA1071" s="6"/>
      <c r="DB1071" s="6"/>
      <c r="DC1071" s="6"/>
      <c r="DD1071" s="6"/>
    </row>
    <row r="1072" spans="1:108" ht="12.75" hidden="1" customHeight="1" outlineLevel="5">
      <c r="A1072" s="104" t="s">
        <v>190</v>
      </c>
      <c r="B1072" s="36">
        <f>B1026 + (1-B1026)/2</f>
        <v>0.81748603351955307</v>
      </c>
      <c r="C1072" s="20"/>
      <c r="D1072" s="18" t="str">
        <f t="shared" ref="D1072:D1081" si="59">"&lt;" &amp; A1072 &amp; "&gt;" &amp; TEXT(B1072,"0.000000") &amp; "&lt;/" &amp; A1072 &amp; "&gt;"</f>
        <v>&lt;Spine_Location&gt;0.817486&lt;/Spine_Location&gt;</v>
      </c>
      <c r="E1072" s="174" t="str">
        <f t="shared" si="55"/>
        <v>Yes</v>
      </c>
      <c r="F1072" s="6" t="s">
        <v>833</v>
      </c>
      <c r="G1072" s="6"/>
      <c r="H1072" s="6"/>
      <c r="I1072" s="6"/>
      <c r="J1072" s="6"/>
      <c r="K1072" s="6"/>
      <c r="L1072" s="6"/>
      <c r="M1072" s="6"/>
      <c r="N1072" s="6"/>
      <c r="O1072" s="6"/>
      <c r="P1072" s="6"/>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c r="BU1072" s="6"/>
      <c r="BV1072" s="6"/>
      <c r="BW1072" s="6"/>
      <c r="BX1072" s="6"/>
      <c r="BY1072" s="6"/>
      <c r="BZ1072" s="6"/>
      <c r="CA1072" s="6"/>
      <c r="CB1072" s="6"/>
      <c r="CC1072" s="6"/>
      <c r="CD1072" s="6"/>
      <c r="CE1072" s="6"/>
      <c r="CF1072" s="6"/>
      <c r="CG1072" s="6"/>
      <c r="CH1072" s="6"/>
      <c r="CI1072" s="6"/>
      <c r="CJ1072" s="6"/>
      <c r="CK1072" s="6"/>
      <c r="CL1072" s="6"/>
      <c r="CM1072" s="6"/>
      <c r="CN1072" s="6"/>
      <c r="CO1072" s="6"/>
      <c r="CP1072" s="6"/>
      <c r="CQ1072" s="6"/>
      <c r="CR1072" s="6"/>
      <c r="CS1072" s="6"/>
      <c r="CT1072" s="6"/>
      <c r="CU1072" s="6"/>
      <c r="CV1072" s="6"/>
      <c r="CW1072" s="6"/>
      <c r="CX1072" s="6"/>
      <c r="CY1072" s="6"/>
      <c r="CZ1072" s="6"/>
      <c r="DA1072" s="6"/>
      <c r="DB1072" s="6"/>
      <c r="DC1072" s="6"/>
      <c r="DD1072" s="6"/>
    </row>
    <row r="1073" spans="1:108" ht="12.75" hidden="1" customHeight="1" outlineLevel="5">
      <c r="A1073" s="104" t="s">
        <v>191</v>
      </c>
      <c r="B1073" s="116">
        <f>(d_F-B1091)/2</f>
        <v>0.44945999999999997</v>
      </c>
      <c r="C1073" s="20"/>
      <c r="D1073" s="18" t="str">
        <f t="shared" si="59"/>
        <v>&lt;Z_Offset&gt;0.449460&lt;/Z_Offset&gt;</v>
      </c>
      <c r="E1073" s="174" t="str">
        <f t="shared" si="55"/>
        <v>Yes</v>
      </c>
      <c r="F1073" s="6" t="s">
        <v>834</v>
      </c>
      <c r="G1073" s="6"/>
      <c r="H1073" s="6"/>
      <c r="I1073" s="6"/>
      <c r="J1073" s="6"/>
      <c r="K1073" s="6"/>
      <c r="L1073" s="6"/>
      <c r="M1073" s="6"/>
      <c r="N1073" s="6"/>
      <c r="O1073" s="6"/>
      <c r="P1073" s="6"/>
      <c r="Q1073" s="6"/>
      <c r="R1073" s="6"/>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c r="BU1073" s="6"/>
      <c r="BV1073" s="6"/>
      <c r="BW1073" s="6"/>
      <c r="BX1073" s="6"/>
      <c r="BY1073" s="6"/>
      <c r="BZ1073" s="6"/>
      <c r="CA1073" s="6"/>
      <c r="CB1073" s="6"/>
      <c r="CC1073" s="6"/>
      <c r="CD1073" s="6"/>
      <c r="CE1073" s="6"/>
      <c r="CF1073" s="6"/>
      <c r="CG1073" s="6"/>
      <c r="CH1073" s="6"/>
      <c r="CI1073" s="6"/>
      <c r="CJ1073" s="6"/>
      <c r="CK1073" s="6"/>
      <c r="CL1073" s="6"/>
      <c r="CM1073" s="6"/>
      <c r="CN1073" s="6"/>
      <c r="CO1073" s="6"/>
      <c r="CP1073" s="6"/>
      <c r="CQ1073" s="6"/>
      <c r="CR1073" s="6"/>
      <c r="CS1073" s="6"/>
      <c r="CT1073" s="6"/>
      <c r="CU1073" s="6"/>
      <c r="CV1073" s="6"/>
      <c r="CW1073" s="6"/>
      <c r="CX1073" s="6"/>
      <c r="CY1073" s="6"/>
      <c r="CZ1073" s="6"/>
      <c r="DA1073" s="6"/>
      <c r="DB1073" s="6"/>
      <c r="DC1073" s="6"/>
      <c r="DD1073" s="6"/>
    </row>
    <row r="1074" spans="1:108" ht="12.75" hidden="1" customHeight="1" outlineLevel="5">
      <c r="A1074" s="104" t="s">
        <v>192</v>
      </c>
      <c r="B1074" s="108">
        <v>0.5</v>
      </c>
      <c r="C1074" s="20"/>
      <c r="D1074" s="18" t="str">
        <f t="shared" si="59"/>
        <v>&lt;Top_Thick&gt;0.500000&lt;/Top_Thick&gt;</v>
      </c>
      <c r="E1074" s="174" t="str">
        <f t="shared" si="55"/>
        <v>Yes</v>
      </c>
      <c r="F1074" s="6" t="s">
        <v>780</v>
      </c>
      <c r="G1074" s="6"/>
      <c r="H1074" s="6"/>
      <c r="I1074" s="6"/>
      <c r="J1074" s="6"/>
      <c r="K1074" s="6"/>
      <c r="L1074" s="6"/>
      <c r="M1074" s="6"/>
      <c r="N1074" s="6"/>
      <c r="O1074" s="6"/>
      <c r="P1074" s="6"/>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c r="BU1074" s="6"/>
      <c r="BV1074" s="6"/>
      <c r="BW1074" s="6"/>
      <c r="BX1074" s="6"/>
      <c r="BY1074" s="6"/>
      <c r="BZ1074" s="6"/>
      <c r="CA1074" s="6"/>
      <c r="CB1074" s="6"/>
      <c r="CC1074" s="6"/>
      <c r="CD1074" s="6"/>
      <c r="CE1074" s="6"/>
      <c r="CF1074" s="6"/>
      <c r="CG1074" s="6"/>
      <c r="CH1074" s="6"/>
      <c r="CI1074" s="6"/>
      <c r="CJ1074" s="6"/>
      <c r="CK1074" s="6"/>
      <c r="CL1074" s="6"/>
      <c r="CM1074" s="6"/>
      <c r="CN1074" s="6"/>
      <c r="CO1074" s="6"/>
      <c r="CP1074" s="6"/>
      <c r="CQ1074" s="6"/>
      <c r="CR1074" s="6"/>
      <c r="CS1074" s="6"/>
      <c r="CT1074" s="6"/>
      <c r="CU1074" s="6"/>
      <c r="CV1074" s="6"/>
      <c r="CW1074" s="6"/>
      <c r="CX1074" s="6"/>
      <c r="CY1074" s="6"/>
      <c r="CZ1074" s="6"/>
      <c r="DA1074" s="6"/>
      <c r="DB1074" s="6"/>
      <c r="DC1074" s="6"/>
      <c r="DD1074" s="6"/>
    </row>
    <row r="1075" spans="1:108" ht="12.75" hidden="1" customHeight="1" outlineLevel="5">
      <c r="A1075" s="104" t="s">
        <v>193</v>
      </c>
      <c r="B1075" s="108">
        <v>0.5</v>
      </c>
      <c r="C1075" s="20"/>
      <c r="D1075" s="18" t="str">
        <f t="shared" si="59"/>
        <v>&lt;Bot_Thick&gt;0.500000&lt;/Bot_Thick&gt;</v>
      </c>
      <c r="E1075" s="174" t="str">
        <f t="shared" si="55"/>
        <v>Yes</v>
      </c>
      <c r="F1075" s="6" t="s">
        <v>781</v>
      </c>
      <c r="G1075" s="6"/>
      <c r="H1075" s="6"/>
      <c r="I1075" s="6"/>
      <c r="J1075" s="6"/>
      <c r="K1075" s="6"/>
      <c r="L1075" s="6"/>
      <c r="M1075" s="6"/>
      <c r="N1075" s="6"/>
      <c r="O1075" s="6"/>
      <c r="P1075" s="6"/>
      <c r="Q1075" s="6"/>
      <c r="R1075" s="6"/>
      <c r="S1075" s="6"/>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c r="BU1075" s="6"/>
      <c r="BV1075" s="6"/>
      <c r="BW1075" s="6"/>
      <c r="BX1075" s="6"/>
      <c r="BY1075" s="6"/>
      <c r="BZ1075" s="6"/>
      <c r="CA1075" s="6"/>
      <c r="CB1075" s="6"/>
      <c r="CC1075" s="6"/>
      <c r="CD1075" s="6"/>
      <c r="CE1075" s="6"/>
      <c r="CF1075" s="6"/>
      <c r="CG1075" s="6"/>
      <c r="CH1075" s="6"/>
      <c r="CI1075" s="6"/>
      <c r="CJ1075" s="6"/>
      <c r="CK1075" s="6"/>
      <c r="CL1075" s="6"/>
      <c r="CM1075" s="6"/>
      <c r="CN1075" s="6"/>
      <c r="CO1075" s="6"/>
      <c r="CP1075" s="6"/>
      <c r="CQ1075" s="6"/>
      <c r="CR1075" s="6"/>
      <c r="CS1075" s="6"/>
      <c r="CT1075" s="6"/>
      <c r="CU1075" s="6"/>
      <c r="CV1075" s="6"/>
      <c r="CW1075" s="6"/>
      <c r="CX1075" s="6"/>
      <c r="CY1075" s="6"/>
      <c r="CZ1075" s="6"/>
      <c r="DA1075" s="6"/>
      <c r="DB1075" s="6"/>
      <c r="DC1075" s="6"/>
      <c r="DD1075" s="6"/>
    </row>
    <row r="1076" spans="1:108" ht="12.75" hidden="1" customHeight="1" outlineLevel="5">
      <c r="A1076" s="104" t="s">
        <v>194</v>
      </c>
      <c r="B1076" s="108">
        <v>0.5</v>
      </c>
      <c r="C1076" s="20"/>
      <c r="D1076" s="18" t="str">
        <f t="shared" si="59"/>
        <v>&lt;Side_Thick&gt;0.500000&lt;/Side_Thick&gt;</v>
      </c>
      <c r="E1076" s="174" t="str">
        <f t="shared" si="55"/>
        <v>Yes</v>
      </c>
      <c r="F1076" s="6" t="s">
        <v>782</v>
      </c>
      <c r="G1076" s="6"/>
      <c r="H1076" s="6"/>
      <c r="I1076" s="6"/>
      <c r="J1076" s="6"/>
      <c r="K1076" s="6"/>
      <c r="L1076" s="6"/>
      <c r="M1076" s="6"/>
      <c r="N1076" s="6"/>
      <c r="O1076" s="6"/>
      <c r="P1076" s="6"/>
      <c r="Q1076" s="6"/>
      <c r="R1076" s="6"/>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c r="BU1076" s="6"/>
      <c r="BV1076" s="6"/>
      <c r="BW1076" s="6"/>
      <c r="BX1076" s="6"/>
      <c r="BY1076" s="6"/>
      <c r="BZ1076" s="6"/>
      <c r="CA1076" s="6"/>
      <c r="CB1076" s="6"/>
      <c r="CC1076" s="6"/>
      <c r="CD1076" s="6"/>
      <c r="CE1076" s="6"/>
      <c r="CF1076" s="6"/>
      <c r="CG1076" s="6"/>
      <c r="CH1076" s="6"/>
      <c r="CI1076" s="6"/>
      <c r="CJ1076" s="6"/>
      <c r="CK1076" s="6"/>
      <c r="CL1076" s="6"/>
      <c r="CM1076" s="6"/>
      <c r="CN1076" s="6"/>
      <c r="CO1076" s="6"/>
      <c r="CP1076" s="6"/>
      <c r="CQ1076" s="6"/>
      <c r="CR1076" s="6"/>
      <c r="CS1076" s="6"/>
      <c r="CT1076" s="6"/>
      <c r="CU1076" s="6"/>
      <c r="CV1076" s="6"/>
      <c r="CW1076" s="6"/>
      <c r="CX1076" s="6"/>
      <c r="CY1076" s="6"/>
      <c r="CZ1076" s="6"/>
      <c r="DA1076" s="6"/>
      <c r="DB1076" s="6"/>
      <c r="DC1076" s="6"/>
      <c r="DD1076" s="6"/>
    </row>
    <row r="1077" spans="1:108" ht="12.75" hidden="1" customHeight="1" outlineLevel="5">
      <c r="A1077" s="104" t="s">
        <v>195</v>
      </c>
      <c r="B1077" s="108">
        <v>0.5</v>
      </c>
      <c r="C1077" s="20"/>
      <c r="D1077" s="18" t="str">
        <f t="shared" si="59"/>
        <v>&lt;Act_Top_Thick&gt;0.500000&lt;/Act_Top_Thick&gt;</v>
      </c>
      <c r="E1077" s="174" t="str">
        <f t="shared" si="55"/>
        <v>Yes</v>
      </c>
      <c r="F1077" s="6" t="s">
        <v>783</v>
      </c>
      <c r="G1077" s="6"/>
      <c r="H1077" s="6"/>
      <c r="I1077" s="6"/>
      <c r="J1077" s="6"/>
      <c r="K1077" s="6"/>
      <c r="L1077" s="6"/>
      <c r="M1077" s="6"/>
      <c r="N1077" s="6"/>
      <c r="O1077" s="6"/>
      <c r="P1077" s="6"/>
      <c r="Q1077" s="6"/>
      <c r="R1077" s="6"/>
      <c r="S1077" s="6"/>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c r="BU1077" s="6"/>
      <c r="BV1077" s="6"/>
      <c r="BW1077" s="6"/>
      <c r="BX1077" s="6"/>
      <c r="BY1077" s="6"/>
      <c r="BZ1077" s="6"/>
      <c r="CA1077" s="6"/>
      <c r="CB1077" s="6"/>
      <c r="CC1077" s="6"/>
      <c r="CD1077" s="6"/>
      <c r="CE1077" s="6"/>
      <c r="CF1077" s="6"/>
      <c r="CG1077" s="6"/>
      <c r="CH1077" s="6"/>
      <c r="CI1077" s="6"/>
      <c r="CJ1077" s="6"/>
      <c r="CK1077" s="6"/>
      <c r="CL1077" s="6"/>
      <c r="CM1077" s="6"/>
      <c r="CN1077" s="6"/>
      <c r="CO1077" s="6"/>
      <c r="CP1077" s="6"/>
      <c r="CQ1077" s="6"/>
      <c r="CR1077" s="6"/>
      <c r="CS1077" s="6"/>
      <c r="CT1077" s="6"/>
      <c r="CU1077" s="6"/>
      <c r="CV1077" s="6"/>
      <c r="CW1077" s="6"/>
      <c r="CX1077" s="6"/>
      <c r="CY1077" s="6"/>
      <c r="CZ1077" s="6"/>
      <c r="DA1077" s="6"/>
      <c r="DB1077" s="6"/>
      <c r="DC1077" s="6"/>
      <c r="DD1077" s="6"/>
    </row>
    <row r="1078" spans="1:108" ht="12.75" hidden="1" customHeight="1" outlineLevel="5">
      <c r="A1078" s="104" t="s">
        <v>196</v>
      </c>
      <c r="B1078" s="108">
        <v>0.5</v>
      </c>
      <c r="C1078" s="20"/>
      <c r="D1078" s="18" t="str">
        <f t="shared" si="59"/>
        <v>&lt;Act_Bot_Thick&gt;0.500000&lt;/Act_Bot_Thick&gt;</v>
      </c>
      <c r="E1078" s="174" t="str">
        <f t="shared" si="55"/>
        <v>Yes</v>
      </c>
      <c r="F1078" s="6" t="s">
        <v>784</v>
      </c>
      <c r="G1078" s="6"/>
      <c r="H1078" s="6"/>
      <c r="I1078" s="6"/>
      <c r="J1078" s="6"/>
      <c r="K1078" s="6"/>
      <c r="L1078" s="6"/>
      <c r="M1078" s="6"/>
      <c r="N1078" s="6"/>
      <c r="O1078" s="6"/>
      <c r="P1078" s="6"/>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c r="BU1078" s="6"/>
      <c r="BV1078" s="6"/>
      <c r="BW1078" s="6"/>
      <c r="BX1078" s="6"/>
      <c r="BY1078" s="6"/>
      <c r="BZ1078" s="6"/>
      <c r="CA1078" s="6"/>
      <c r="CB1078" s="6"/>
      <c r="CC1078" s="6"/>
      <c r="CD1078" s="6"/>
      <c r="CE1078" s="6"/>
      <c r="CF1078" s="6"/>
      <c r="CG1078" s="6"/>
      <c r="CH1078" s="6"/>
      <c r="CI1078" s="6"/>
      <c r="CJ1078" s="6"/>
      <c r="CK1078" s="6"/>
      <c r="CL1078" s="6"/>
      <c r="CM1078" s="6"/>
      <c r="CN1078" s="6"/>
      <c r="CO1078" s="6"/>
      <c r="CP1078" s="6"/>
      <c r="CQ1078" s="6"/>
      <c r="CR1078" s="6"/>
      <c r="CS1078" s="6"/>
      <c r="CT1078" s="6"/>
      <c r="CU1078" s="6"/>
      <c r="CV1078" s="6"/>
      <c r="CW1078" s="6"/>
      <c r="CX1078" s="6"/>
      <c r="CY1078" s="6"/>
      <c r="CZ1078" s="6"/>
      <c r="DA1078" s="6"/>
      <c r="DB1078" s="6"/>
      <c r="DC1078" s="6"/>
      <c r="DD1078" s="6"/>
    </row>
    <row r="1079" spans="1:108" ht="12.75" hidden="1" customHeight="1" outlineLevel="5">
      <c r="A1079" s="104" t="s">
        <v>197</v>
      </c>
      <c r="B1079" s="108">
        <v>0.5</v>
      </c>
      <c r="C1079" s="20"/>
      <c r="D1079" s="18" t="str">
        <f t="shared" si="59"/>
        <v>&lt;Act_Side_Thick&gt;0.500000&lt;/Act_Side_Thick&gt;</v>
      </c>
      <c r="E1079" s="174" t="str">
        <f t="shared" si="55"/>
        <v>Yes</v>
      </c>
      <c r="F1079" s="6" t="s">
        <v>785</v>
      </c>
      <c r="G1079" s="6"/>
      <c r="H1079" s="6"/>
      <c r="I1079" s="6"/>
      <c r="J1079" s="6"/>
      <c r="K1079" s="6"/>
      <c r="L1079" s="6"/>
      <c r="M1079" s="6"/>
      <c r="N1079" s="6"/>
      <c r="O1079" s="6"/>
      <c r="P1079" s="6"/>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c r="BU1079" s="6"/>
      <c r="BV1079" s="6"/>
      <c r="BW1079" s="6"/>
      <c r="BX1079" s="6"/>
      <c r="BY1079" s="6"/>
      <c r="BZ1079" s="6"/>
      <c r="CA1079" s="6"/>
      <c r="CB1079" s="6"/>
      <c r="CC1079" s="6"/>
      <c r="CD1079" s="6"/>
      <c r="CE1079" s="6"/>
      <c r="CF1079" s="6"/>
      <c r="CG1079" s="6"/>
      <c r="CH1079" s="6"/>
      <c r="CI1079" s="6"/>
      <c r="CJ1079" s="6"/>
      <c r="CK1079" s="6"/>
      <c r="CL1079" s="6"/>
      <c r="CM1079" s="6"/>
      <c r="CN1079" s="6"/>
      <c r="CO1079" s="6"/>
      <c r="CP1079" s="6"/>
      <c r="CQ1079" s="6"/>
      <c r="CR1079" s="6"/>
      <c r="CS1079" s="6"/>
      <c r="CT1079" s="6"/>
      <c r="CU1079" s="6"/>
      <c r="CV1079" s="6"/>
      <c r="CW1079" s="6"/>
      <c r="CX1079" s="6"/>
      <c r="CY1079" s="6"/>
      <c r="CZ1079" s="6"/>
      <c r="DA1079" s="6"/>
      <c r="DB1079" s="6"/>
      <c r="DC1079" s="6"/>
      <c r="DD1079" s="6"/>
    </row>
    <row r="1080" spans="1:108" ht="12.75" hidden="1" customHeight="1" outlineLevel="5">
      <c r="A1080" s="104" t="s">
        <v>198</v>
      </c>
      <c r="B1080" s="108">
        <v>0</v>
      </c>
      <c r="C1080" s="20"/>
      <c r="D1080" s="18" t="str">
        <f t="shared" si="59"/>
        <v>&lt;IML_X_Offset&gt;0.000000&lt;/IML_X_Offset&gt;</v>
      </c>
      <c r="E1080" s="174" t="str">
        <f t="shared" si="55"/>
        <v>Yes</v>
      </c>
      <c r="F1080" s="6" t="s">
        <v>786</v>
      </c>
      <c r="G1080" s="6"/>
      <c r="H1080" s="6"/>
      <c r="I1080" s="6"/>
      <c r="J1080" s="6"/>
      <c r="K1080" s="6"/>
      <c r="L1080" s="6"/>
      <c r="M1080" s="6"/>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c r="BU1080" s="6"/>
      <c r="BV1080" s="6"/>
      <c r="BW1080" s="6"/>
      <c r="BX1080" s="6"/>
      <c r="BY1080" s="6"/>
      <c r="BZ1080" s="6"/>
      <c r="CA1080" s="6"/>
      <c r="CB1080" s="6"/>
      <c r="CC1080" s="6"/>
      <c r="CD1080" s="6"/>
      <c r="CE1080" s="6"/>
      <c r="CF1080" s="6"/>
      <c r="CG1080" s="6"/>
      <c r="CH1080" s="6"/>
      <c r="CI1080" s="6"/>
      <c r="CJ1080" s="6"/>
      <c r="CK1080" s="6"/>
      <c r="CL1080" s="6"/>
      <c r="CM1080" s="6"/>
      <c r="CN1080" s="6"/>
      <c r="CO1080" s="6"/>
      <c r="CP1080" s="6"/>
      <c r="CQ1080" s="6"/>
      <c r="CR1080" s="6"/>
      <c r="CS1080" s="6"/>
      <c r="CT1080" s="6"/>
      <c r="CU1080" s="6"/>
      <c r="CV1080" s="6"/>
      <c r="CW1080" s="6"/>
      <c r="CX1080" s="6"/>
      <c r="CY1080" s="6"/>
      <c r="CZ1080" s="6"/>
      <c r="DA1080" s="6"/>
      <c r="DB1080" s="6"/>
      <c r="DC1080" s="6"/>
      <c r="DD1080" s="6"/>
    </row>
    <row r="1081" spans="1:108" ht="12.75" hidden="1" customHeight="1" outlineLevel="5">
      <c r="A1081" s="104" t="s">
        <v>199</v>
      </c>
      <c r="B1081" s="108">
        <v>0</v>
      </c>
      <c r="C1081" s="20"/>
      <c r="D1081" s="18" t="str">
        <f t="shared" si="59"/>
        <v>&lt;IML_Z_Offset&gt;0.000000&lt;/IML_Z_Offset&gt;</v>
      </c>
      <c r="E1081" s="174" t="str">
        <f t="shared" ref="E1081:E1144" si="60">IF(D1081=F1081,"Yes","No")</f>
        <v>Yes</v>
      </c>
      <c r="F1081" s="6" t="s">
        <v>787</v>
      </c>
      <c r="G1081" s="6"/>
      <c r="H1081" s="6"/>
      <c r="I1081" s="6"/>
      <c r="J1081" s="6"/>
      <c r="K1081" s="6"/>
      <c r="L1081" s="6"/>
      <c r="M1081" s="6"/>
      <c r="N1081" s="6"/>
      <c r="O1081" s="6"/>
      <c r="P1081" s="6"/>
      <c r="Q1081" s="6"/>
      <c r="R1081" s="6"/>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c r="BU1081" s="6"/>
      <c r="BV1081" s="6"/>
      <c r="BW1081" s="6"/>
      <c r="BX1081" s="6"/>
      <c r="BY1081" s="6"/>
      <c r="BZ1081" s="6"/>
      <c r="CA1081" s="6"/>
      <c r="CB1081" s="6"/>
      <c r="CC1081" s="6"/>
      <c r="CD1081" s="6"/>
      <c r="CE1081" s="6"/>
      <c r="CF1081" s="6"/>
      <c r="CG1081" s="6"/>
      <c r="CH1081" s="6"/>
      <c r="CI1081" s="6"/>
      <c r="CJ1081" s="6"/>
      <c r="CK1081" s="6"/>
      <c r="CL1081" s="6"/>
      <c r="CM1081" s="6"/>
      <c r="CN1081" s="6"/>
      <c r="CO1081" s="6"/>
      <c r="CP1081" s="6"/>
      <c r="CQ1081" s="6"/>
      <c r="CR1081" s="6"/>
      <c r="CS1081" s="6"/>
      <c r="CT1081" s="6"/>
      <c r="CU1081" s="6"/>
      <c r="CV1081" s="6"/>
      <c r="CW1081" s="6"/>
      <c r="CX1081" s="6"/>
      <c r="CY1081" s="6"/>
      <c r="CZ1081" s="6"/>
      <c r="DA1081" s="6"/>
      <c r="DB1081" s="6"/>
      <c r="DC1081" s="6"/>
      <c r="DD1081" s="6"/>
    </row>
    <row r="1082" spans="1:108" ht="12.75" hidden="1" customHeight="1" outlineLevel="5">
      <c r="A1082" s="104" t="s">
        <v>200</v>
      </c>
      <c r="B1082" s="108">
        <v>0</v>
      </c>
      <c r="C1082" s="20"/>
      <c r="D1082" s="18" t="str">
        <f>"&lt;" &amp; A1082 &amp; "&gt;" &amp; TEXT(B1082,0) &amp; "&lt;/" &amp; A1082 &amp; "&gt;"</f>
        <v>&lt;ML_Type&gt;0&lt;/ML_Type&gt;</v>
      </c>
      <c r="E1082" s="174" t="str">
        <f t="shared" si="60"/>
        <v>Yes</v>
      </c>
      <c r="F1082" s="6" t="s">
        <v>788</v>
      </c>
      <c r="G1082" s="6"/>
      <c r="H1082" s="6"/>
      <c r="I1082" s="6"/>
      <c r="J1082" s="6"/>
      <c r="K1082" s="6"/>
      <c r="L1082" s="6"/>
      <c r="M1082" s="6"/>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c r="BU1082" s="6"/>
      <c r="BV1082" s="6"/>
      <c r="BW1082" s="6"/>
      <c r="BX1082" s="6"/>
      <c r="BY1082" s="6"/>
      <c r="BZ1082" s="6"/>
      <c r="CA1082" s="6"/>
      <c r="CB1082" s="6"/>
      <c r="CC1082" s="6"/>
      <c r="CD1082" s="6"/>
      <c r="CE1082" s="6"/>
      <c r="CF1082" s="6"/>
      <c r="CG1082" s="6"/>
      <c r="CH1082" s="6"/>
      <c r="CI1082" s="6"/>
      <c r="CJ1082" s="6"/>
      <c r="CK1082" s="6"/>
      <c r="CL1082" s="6"/>
      <c r="CM1082" s="6"/>
      <c r="CN1082" s="6"/>
      <c r="CO1082" s="6"/>
      <c r="CP1082" s="6"/>
      <c r="CQ1082" s="6"/>
      <c r="CR1082" s="6"/>
      <c r="CS1082" s="6"/>
      <c r="CT1082" s="6"/>
      <c r="CU1082" s="6"/>
      <c r="CV1082" s="6"/>
      <c r="CW1082" s="6"/>
      <c r="CX1082" s="6"/>
      <c r="CY1082" s="6"/>
      <c r="CZ1082" s="6"/>
      <c r="DA1082" s="6"/>
      <c r="DB1082" s="6"/>
      <c r="DC1082" s="6"/>
      <c r="DD1082" s="6"/>
    </row>
    <row r="1083" spans="1:108" ht="12.75" hidden="1" customHeight="1" outlineLevel="5">
      <c r="A1083" s="104" t="s">
        <v>182</v>
      </c>
      <c r="B1083" s="108">
        <v>0</v>
      </c>
      <c r="C1083" s="20"/>
      <c r="D1083" s="18" t="str">
        <f>"&lt;" &amp; A1083 &amp; "&gt;" &amp; TEXT(B1083,0) &amp; "&lt;/" &amp; A1083 &amp; "&gt;"</f>
        <v>&lt;IML_Flag&gt;0&lt;/IML_Flag&gt;</v>
      </c>
      <c r="E1083" s="174" t="str">
        <f t="shared" si="60"/>
        <v>Yes</v>
      </c>
      <c r="F1083" s="6" t="s">
        <v>770</v>
      </c>
      <c r="G1083" s="6"/>
      <c r="H1083" s="6"/>
      <c r="I1083" s="6"/>
      <c r="J1083" s="6"/>
      <c r="K1083" s="6"/>
      <c r="L1083" s="6"/>
      <c r="M1083" s="6"/>
      <c r="N1083" s="6"/>
      <c r="O1083" s="6"/>
      <c r="P1083" s="6"/>
      <c r="Q1083" s="6"/>
      <c r="R1083" s="6"/>
      <c r="S1083" s="6"/>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c r="BU1083" s="6"/>
      <c r="BV1083" s="6"/>
      <c r="BW1083" s="6"/>
      <c r="BX1083" s="6"/>
      <c r="BY1083" s="6"/>
      <c r="BZ1083" s="6"/>
      <c r="CA1083" s="6"/>
      <c r="CB1083" s="6"/>
      <c r="CC1083" s="6"/>
      <c r="CD1083" s="6"/>
      <c r="CE1083" s="6"/>
      <c r="CF1083" s="6"/>
      <c r="CG1083" s="6"/>
      <c r="CH1083" s="6"/>
      <c r="CI1083" s="6"/>
      <c r="CJ1083" s="6"/>
      <c r="CK1083" s="6"/>
      <c r="CL1083" s="6"/>
      <c r="CM1083" s="6"/>
      <c r="CN1083" s="6"/>
      <c r="CO1083" s="6"/>
      <c r="CP1083" s="6"/>
      <c r="CQ1083" s="6"/>
      <c r="CR1083" s="6"/>
      <c r="CS1083" s="6"/>
      <c r="CT1083" s="6"/>
      <c r="CU1083" s="6"/>
      <c r="CV1083" s="6"/>
      <c r="CW1083" s="6"/>
      <c r="CX1083" s="6"/>
      <c r="CY1083" s="6"/>
      <c r="CZ1083" s="6"/>
      <c r="DA1083" s="6"/>
      <c r="DB1083" s="6"/>
      <c r="DC1083" s="6"/>
      <c r="DD1083" s="6"/>
    </row>
    <row r="1084" spans="1:108" ht="12.75" hidden="1" customHeight="1" outlineLevel="5">
      <c r="A1084" s="104" t="s">
        <v>201</v>
      </c>
      <c r="B1084" s="108">
        <v>0.25</v>
      </c>
      <c r="C1084" s="20"/>
      <c r="D1084" s="18" t="str">
        <f>"&lt;" &amp; A1084 &amp; "&gt;" &amp; TEXT(B1084,"0.000000") &amp; "&lt;/" &amp; A1084 &amp; "&gt;"</f>
        <v>&lt;Profile_Tan_Str_1&gt;0.250000&lt;/Profile_Tan_Str_1&gt;</v>
      </c>
      <c r="E1084" s="174" t="str">
        <f t="shared" si="60"/>
        <v>Yes</v>
      </c>
      <c r="F1084" s="6" t="s">
        <v>789</v>
      </c>
      <c r="G1084" s="6"/>
      <c r="H1084" s="6"/>
      <c r="I1084" s="6"/>
      <c r="J1084" s="6"/>
      <c r="K1084" s="6"/>
      <c r="L1084" s="6"/>
      <c r="M1084" s="6"/>
      <c r="N1084" s="6"/>
      <c r="O1084" s="6"/>
      <c r="P1084" s="6"/>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c r="BU1084" s="6"/>
      <c r="BV1084" s="6"/>
      <c r="BW1084" s="6"/>
      <c r="BX1084" s="6"/>
      <c r="BY1084" s="6"/>
      <c r="BZ1084" s="6"/>
      <c r="CA1084" s="6"/>
      <c r="CB1084" s="6"/>
      <c r="CC1084" s="6"/>
      <c r="CD1084" s="6"/>
      <c r="CE1084" s="6"/>
      <c r="CF1084" s="6"/>
      <c r="CG1084" s="6"/>
      <c r="CH1084" s="6"/>
      <c r="CI1084" s="6"/>
      <c r="CJ1084" s="6"/>
      <c r="CK1084" s="6"/>
      <c r="CL1084" s="6"/>
      <c r="CM1084" s="6"/>
      <c r="CN1084" s="6"/>
      <c r="CO1084" s="6"/>
      <c r="CP1084" s="6"/>
      <c r="CQ1084" s="6"/>
      <c r="CR1084" s="6"/>
      <c r="CS1084" s="6"/>
      <c r="CT1084" s="6"/>
      <c r="CU1084" s="6"/>
      <c r="CV1084" s="6"/>
      <c r="CW1084" s="6"/>
      <c r="CX1084" s="6"/>
      <c r="CY1084" s="6"/>
      <c r="CZ1084" s="6"/>
      <c r="DA1084" s="6"/>
      <c r="DB1084" s="6"/>
      <c r="DC1084" s="6"/>
      <c r="DD1084" s="6"/>
    </row>
    <row r="1085" spans="1:108" ht="12.75" hidden="1" customHeight="1" outlineLevel="5">
      <c r="A1085" s="104" t="s">
        <v>202</v>
      </c>
      <c r="B1085" s="108">
        <v>0.25</v>
      </c>
      <c r="C1085" s="20"/>
      <c r="D1085" s="18" t="str">
        <f>"&lt;" &amp; A1085 &amp; "&gt;" &amp; TEXT(B1085,"0.000000") &amp; "&lt;/" &amp; A1085 &amp; "&gt;"</f>
        <v>&lt;Profile_Tan_Str_2&gt;0.250000&lt;/Profile_Tan_Str_2&gt;</v>
      </c>
      <c r="E1085" s="174" t="str">
        <f t="shared" si="60"/>
        <v>Yes</v>
      </c>
      <c r="F1085" s="6" t="s">
        <v>790</v>
      </c>
      <c r="G1085" s="6"/>
      <c r="H1085" s="6"/>
      <c r="I1085" s="6"/>
      <c r="J1085" s="6"/>
      <c r="K1085" s="6"/>
      <c r="L1085" s="6"/>
      <c r="M1085" s="6"/>
      <c r="N1085" s="6"/>
      <c r="O1085" s="6"/>
      <c r="P1085" s="6"/>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c r="BU1085" s="6"/>
      <c r="BV1085" s="6"/>
      <c r="BW1085" s="6"/>
      <c r="BX1085" s="6"/>
      <c r="BY1085" s="6"/>
      <c r="BZ1085" s="6"/>
      <c r="CA1085" s="6"/>
      <c r="CB1085" s="6"/>
      <c r="CC1085" s="6"/>
      <c r="CD1085" s="6"/>
      <c r="CE1085" s="6"/>
      <c r="CF1085" s="6"/>
      <c r="CG1085" s="6"/>
      <c r="CH1085" s="6"/>
      <c r="CI1085" s="6"/>
      <c r="CJ1085" s="6"/>
      <c r="CK1085" s="6"/>
      <c r="CL1085" s="6"/>
      <c r="CM1085" s="6"/>
      <c r="CN1085" s="6"/>
      <c r="CO1085" s="6"/>
      <c r="CP1085" s="6"/>
      <c r="CQ1085" s="6"/>
      <c r="CR1085" s="6"/>
      <c r="CS1085" s="6"/>
      <c r="CT1085" s="6"/>
      <c r="CU1085" s="6"/>
      <c r="CV1085" s="6"/>
      <c r="CW1085" s="6"/>
      <c r="CX1085" s="6"/>
      <c r="CY1085" s="6"/>
      <c r="CZ1085" s="6"/>
      <c r="DA1085" s="6"/>
      <c r="DB1085" s="6"/>
      <c r="DC1085" s="6"/>
      <c r="DD1085" s="6"/>
    </row>
    <row r="1086" spans="1:108" ht="12.75" hidden="1" customHeight="1" outlineLevel="5">
      <c r="A1086" s="104" t="s">
        <v>203</v>
      </c>
      <c r="B1086" s="108">
        <v>0</v>
      </c>
      <c r="C1086" s="20"/>
      <c r="D1086" s="18" t="str">
        <f>"&lt;" &amp; A1086 &amp; "&gt;" &amp; TEXT(B1086,"0.000000") &amp; "&lt;/" &amp; A1086 &amp; "&gt;"</f>
        <v>&lt;Profile_Tan_Ang&gt;0.000000&lt;/Profile_Tan_Ang&gt;</v>
      </c>
      <c r="E1086" s="174" t="str">
        <f t="shared" si="60"/>
        <v>Yes</v>
      </c>
      <c r="F1086" s="6" t="s">
        <v>791</v>
      </c>
      <c r="G1086" s="6"/>
      <c r="H1086" s="6"/>
      <c r="I1086" s="6"/>
      <c r="J1086" s="6"/>
      <c r="K1086" s="6"/>
      <c r="L1086" s="6"/>
      <c r="M1086" s="6"/>
      <c r="N1086" s="6"/>
      <c r="O1086" s="6"/>
      <c r="P1086" s="6"/>
      <c r="Q1086" s="6"/>
      <c r="R1086" s="6"/>
      <c r="S1086" s="6"/>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c r="BU1086" s="6"/>
      <c r="BV1086" s="6"/>
      <c r="BW1086" s="6"/>
      <c r="BX1086" s="6"/>
      <c r="BY1086" s="6"/>
      <c r="BZ1086" s="6"/>
      <c r="CA1086" s="6"/>
      <c r="CB1086" s="6"/>
      <c r="CC1086" s="6"/>
      <c r="CD1086" s="6"/>
      <c r="CE1086" s="6"/>
      <c r="CF1086" s="6"/>
      <c r="CG1086" s="6"/>
      <c r="CH1086" s="6"/>
      <c r="CI1086" s="6"/>
      <c r="CJ1086" s="6"/>
      <c r="CK1086" s="6"/>
      <c r="CL1086" s="6"/>
      <c r="CM1086" s="6"/>
      <c r="CN1086" s="6"/>
      <c r="CO1086" s="6"/>
      <c r="CP1086" s="6"/>
      <c r="CQ1086" s="6"/>
      <c r="CR1086" s="6"/>
      <c r="CS1086" s="6"/>
      <c r="CT1086" s="6"/>
      <c r="CU1086" s="6"/>
      <c r="CV1086" s="6"/>
      <c r="CW1086" s="6"/>
      <c r="CX1086" s="6"/>
      <c r="CY1086" s="6"/>
      <c r="CZ1086" s="6"/>
      <c r="DA1086" s="6"/>
      <c r="DB1086" s="6"/>
      <c r="DC1086" s="6"/>
      <c r="DD1086" s="6"/>
    </row>
    <row r="1087" spans="1:108" ht="12.75" hidden="1" customHeight="1" outlineLevel="5">
      <c r="A1087" s="104" t="s">
        <v>204</v>
      </c>
      <c r="B1087" s="108">
        <v>0</v>
      </c>
      <c r="C1087" s="20"/>
      <c r="D1087" s="18" t="str">
        <f>"&lt;" &amp; A1087 &amp; "&gt;" &amp; TEXT(B1087,0) &amp; "&lt;/" &amp; A1087 &amp; "&gt;"</f>
        <v>&lt;Num_Sect_Interp_1&gt;0&lt;/Num_Sect_Interp_1&gt;</v>
      </c>
      <c r="E1087" s="174" t="str">
        <f t="shared" si="60"/>
        <v>Yes</v>
      </c>
      <c r="F1087" s="6" t="s">
        <v>792</v>
      </c>
      <c r="G1087" s="6"/>
      <c r="H1087" s="6"/>
      <c r="I1087" s="6"/>
      <c r="J1087" s="6"/>
      <c r="K1087" s="6"/>
      <c r="L1087" s="6"/>
      <c r="M1087" s="6"/>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c r="BU1087" s="6"/>
      <c r="BV1087" s="6"/>
      <c r="BW1087" s="6"/>
      <c r="BX1087" s="6"/>
      <c r="BY1087" s="6"/>
      <c r="BZ1087" s="6"/>
      <c r="CA1087" s="6"/>
      <c r="CB1087" s="6"/>
      <c r="CC1087" s="6"/>
      <c r="CD1087" s="6"/>
      <c r="CE1087" s="6"/>
      <c r="CF1087" s="6"/>
      <c r="CG1087" s="6"/>
      <c r="CH1087" s="6"/>
      <c r="CI1087" s="6"/>
      <c r="CJ1087" s="6"/>
      <c r="CK1087" s="6"/>
      <c r="CL1087" s="6"/>
      <c r="CM1087" s="6"/>
      <c r="CN1087" s="6"/>
      <c r="CO1087" s="6"/>
      <c r="CP1087" s="6"/>
      <c r="CQ1087" s="6"/>
      <c r="CR1087" s="6"/>
      <c r="CS1087" s="6"/>
      <c r="CT1087" s="6"/>
      <c r="CU1087" s="6"/>
      <c r="CV1087" s="6"/>
      <c r="CW1087" s="6"/>
      <c r="CX1087" s="6"/>
      <c r="CY1087" s="6"/>
      <c r="CZ1087" s="6"/>
      <c r="DA1087" s="6"/>
      <c r="DB1087" s="6"/>
      <c r="DC1087" s="6"/>
      <c r="DD1087" s="6"/>
    </row>
    <row r="1088" spans="1:108" ht="12.75" hidden="1" customHeight="1" outlineLevel="5">
      <c r="A1088" s="104" t="s">
        <v>205</v>
      </c>
      <c r="B1088" s="108">
        <v>0</v>
      </c>
      <c r="C1088" s="20"/>
      <c r="D1088" s="18" t="str">
        <f>"&lt;" &amp; A1088 &amp; "&gt;" &amp; TEXT(B1088,0) &amp; "&lt;/" &amp; A1088 &amp; "&gt;"</f>
        <v>&lt;Num_Sect_Interp_2&gt;0&lt;/Num_Sect_Interp_2&gt;</v>
      </c>
      <c r="E1088" s="174" t="str">
        <f t="shared" si="60"/>
        <v>Yes</v>
      </c>
      <c r="F1088" s="6" t="s">
        <v>815</v>
      </c>
      <c r="G1088" s="6"/>
      <c r="H1088" s="6"/>
      <c r="I1088" s="6"/>
      <c r="J1088" s="6"/>
      <c r="K1088" s="6"/>
      <c r="L1088" s="6"/>
      <c r="M1088" s="6"/>
      <c r="N1088" s="6"/>
      <c r="O1088" s="6"/>
      <c r="P1088" s="6"/>
      <c r="Q1088" s="6"/>
      <c r="R1088" s="6"/>
      <c r="S1088" s="6"/>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c r="BU1088" s="6"/>
      <c r="BV1088" s="6"/>
      <c r="BW1088" s="6"/>
      <c r="BX1088" s="6"/>
      <c r="BY1088" s="6"/>
      <c r="BZ1088" s="6"/>
      <c r="CA1088" s="6"/>
      <c r="CB1088" s="6"/>
      <c r="CC1088" s="6"/>
      <c r="CD1088" s="6"/>
      <c r="CE1088" s="6"/>
      <c r="CF1088" s="6"/>
      <c r="CG1088" s="6"/>
      <c r="CH1088" s="6"/>
      <c r="CI1088" s="6"/>
      <c r="CJ1088" s="6"/>
      <c r="CK1088" s="6"/>
      <c r="CL1088" s="6"/>
      <c r="CM1088" s="6"/>
      <c r="CN1088" s="6"/>
      <c r="CO1088" s="6"/>
      <c r="CP1088" s="6"/>
      <c r="CQ1088" s="6"/>
      <c r="CR1088" s="6"/>
      <c r="CS1088" s="6"/>
      <c r="CT1088" s="6"/>
      <c r="CU1088" s="6"/>
      <c r="CV1088" s="6"/>
      <c r="CW1088" s="6"/>
      <c r="CX1088" s="6"/>
      <c r="CY1088" s="6"/>
      <c r="CZ1088" s="6"/>
      <c r="DA1088" s="6"/>
      <c r="DB1088" s="6"/>
      <c r="DC1088" s="6"/>
      <c r="DD1088" s="6"/>
    </row>
    <row r="1089" spans="1:108" ht="12.75" hidden="1" customHeight="1" outlineLevel="5">
      <c r="A1089" s="104" t="s">
        <v>206</v>
      </c>
      <c r="C1089" s="20"/>
      <c r="D1089" s="6" t="str">
        <f>"&lt;" &amp; A1089 &amp; "&gt;"</f>
        <v>&lt;OML_Parms&gt;</v>
      </c>
      <c r="E1089" s="174" t="str">
        <f t="shared" si="60"/>
        <v>Yes</v>
      </c>
      <c r="F1089" s="6" t="s">
        <v>794</v>
      </c>
      <c r="G1089" s="6"/>
      <c r="H1089" s="6"/>
      <c r="I1089" s="6"/>
      <c r="J1089" s="6"/>
      <c r="K1089" s="6"/>
      <c r="L1089" s="6"/>
      <c r="M1089" s="6"/>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c r="BU1089" s="6"/>
      <c r="BV1089" s="6"/>
      <c r="BW1089" s="6"/>
      <c r="BX1089" s="6"/>
      <c r="BY1089" s="6"/>
      <c r="BZ1089" s="6"/>
      <c r="CA1089" s="6"/>
      <c r="CB1089" s="6"/>
      <c r="CC1089" s="6"/>
      <c r="CD1089" s="6"/>
      <c r="CE1089" s="6"/>
      <c r="CF1089" s="6"/>
      <c r="CG1089" s="6"/>
      <c r="CH1089" s="6"/>
      <c r="CI1089" s="6"/>
      <c r="CJ1089" s="6"/>
      <c r="CK1089" s="6"/>
      <c r="CL1089" s="6"/>
      <c r="CM1089" s="6"/>
      <c r="CN1089" s="6"/>
      <c r="CO1089" s="6"/>
      <c r="CP1089" s="6"/>
      <c r="CQ1089" s="6"/>
      <c r="CR1089" s="6"/>
      <c r="CS1089" s="6"/>
      <c r="CT1089" s="6"/>
      <c r="CU1089" s="6"/>
      <c r="CV1089" s="6"/>
      <c r="CW1089" s="6"/>
      <c r="CX1089" s="6"/>
      <c r="CY1089" s="6"/>
      <c r="CZ1089" s="6"/>
      <c r="DA1089" s="6"/>
      <c r="DB1089" s="6"/>
      <c r="DC1089" s="6"/>
      <c r="DD1089" s="6"/>
    </row>
    <row r="1090" spans="1:108" ht="12.75" hidden="1" customHeight="1" outlineLevel="6">
      <c r="A1090" s="104" t="s">
        <v>14</v>
      </c>
      <c r="B1090" s="6">
        <v>1</v>
      </c>
      <c r="C1090" s="20"/>
      <c r="D1090" s="18" t="str">
        <f>"&lt;" &amp; A1090 &amp; "&gt;" &amp; TEXT(B1090,0) &amp; "&lt;/" &amp; A1090 &amp; "&gt;"</f>
        <v>&lt;Type&gt;1&lt;/Type&gt;</v>
      </c>
      <c r="E1090" s="174" t="str">
        <f t="shared" si="60"/>
        <v>Yes</v>
      </c>
      <c r="F1090" s="6" t="s">
        <v>679</v>
      </c>
      <c r="G1090" s="6"/>
      <c r="H1090" s="6"/>
      <c r="I1090" s="6"/>
      <c r="J1090" s="6"/>
      <c r="K1090" s="6"/>
      <c r="L1090" s="6"/>
      <c r="M1090" s="6"/>
      <c r="N1090" s="6"/>
      <c r="O1090" s="6"/>
      <c r="P1090" s="6"/>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c r="BU1090" s="6"/>
      <c r="BV1090" s="6"/>
      <c r="BW1090" s="6"/>
      <c r="BX1090" s="6"/>
      <c r="BY1090" s="6"/>
      <c r="BZ1090" s="6"/>
      <c r="CA1090" s="6"/>
      <c r="CB1090" s="6"/>
      <c r="CC1090" s="6"/>
      <c r="CD1090" s="6"/>
      <c r="CE1090" s="6"/>
      <c r="CF1090" s="6"/>
      <c r="CG1090" s="6"/>
      <c r="CH1090" s="6"/>
      <c r="CI1090" s="6"/>
      <c r="CJ1090" s="6"/>
      <c r="CK1090" s="6"/>
      <c r="CL1090" s="6"/>
      <c r="CM1090" s="6"/>
      <c r="CN1090" s="6"/>
      <c r="CO1090" s="6"/>
      <c r="CP1090" s="6"/>
      <c r="CQ1090" s="6"/>
      <c r="CR1090" s="6"/>
      <c r="CS1090" s="6"/>
      <c r="CT1090" s="6"/>
      <c r="CU1090" s="6"/>
      <c r="CV1090" s="6"/>
      <c r="CW1090" s="6"/>
      <c r="CX1090" s="6"/>
      <c r="CY1090" s="6"/>
      <c r="CZ1090" s="6"/>
      <c r="DA1090" s="6"/>
      <c r="DB1090" s="6"/>
      <c r="DC1090" s="6"/>
      <c r="DD1090" s="6"/>
    </row>
    <row r="1091" spans="1:108" ht="12.75" hidden="1" customHeight="1" outlineLevel="6">
      <c r="A1091" s="104" t="s">
        <v>15</v>
      </c>
      <c r="B1091" s="18">
        <f>0.773*B1045</f>
        <v>3.06108</v>
      </c>
      <c r="C1091" s="20"/>
      <c r="D1091" s="18" t="str">
        <f t="shared" ref="D1091:D1100" si="61">"&lt;" &amp; A1091 &amp; "&gt;" &amp; TEXT(B1091,"0.000000") &amp; "&lt;/" &amp; A1091 &amp; "&gt;"</f>
        <v>&lt;Height&gt;3.061080&lt;/Height&gt;</v>
      </c>
      <c r="E1091" s="174" t="str">
        <f t="shared" si="60"/>
        <v>Yes</v>
      </c>
      <c r="F1091" s="6" t="s">
        <v>835</v>
      </c>
      <c r="G1091" s="6"/>
      <c r="H1091" s="6"/>
      <c r="I1091" s="6"/>
      <c r="J1091" s="6"/>
      <c r="K1091" s="6"/>
      <c r="L1091" s="6"/>
      <c r="M1091" s="6"/>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c r="BU1091" s="6"/>
      <c r="BV1091" s="6"/>
      <c r="BW1091" s="6"/>
      <c r="BX1091" s="6"/>
      <c r="BY1091" s="6"/>
      <c r="BZ1091" s="6"/>
      <c r="CA1091" s="6"/>
      <c r="CB1091" s="6"/>
      <c r="CC1091" s="6"/>
      <c r="CD1091" s="6"/>
      <c r="CE1091" s="6"/>
      <c r="CF1091" s="6"/>
      <c r="CG1091" s="6"/>
      <c r="CH1091" s="6"/>
      <c r="CI1091" s="6"/>
      <c r="CJ1091" s="6"/>
      <c r="CK1091" s="6"/>
      <c r="CL1091" s="6"/>
      <c r="CM1091" s="6"/>
      <c r="CN1091" s="6"/>
      <c r="CO1091" s="6"/>
      <c r="CP1091" s="6"/>
      <c r="CQ1091" s="6"/>
      <c r="CR1091" s="6"/>
      <c r="CS1091" s="6"/>
      <c r="CT1091" s="6"/>
      <c r="CU1091" s="6"/>
      <c r="CV1091" s="6"/>
      <c r="CW1091" s="6"/>
      <c r="CX1091" s="6"/>
      <c r="CY1091" s="6"/>
      <c r="CZ1091" s="6"/>
      <c r="DA1091" s="6"/>
      <c r="DB1091" s="6"/>
      <c r="DC1091" s="6"/>
      <c r="DD1091" s="6"/>
    </row>
    <row r="1092" spans="1:108" ht="12.75" hidden="1" customHeight="1" outlineLevel="6">
      <c r="A1092" s="104" t="s">
        <v>16</v>
      </c>
      <c r="B1092" s="18">
        <f>B1091</f>
        <v>3.06108</v>
      </c>
      <c r="C1092" s="20"/>
      <c r="D1092" s="18" t="str">
        <f t="shared" si="61"/>
        <v>&lt;Width&gt;3.061080&lt;/Width&gt;</v>
      </c>
      <c r="E1092" s="174" t="str">
        <f t="shared" si="60"/>
        <v>Yes</v>
      </c>
      <c r="F1092" s="6" t="s">
        <v>836</v>
      </c>
      <c r="G1092" s="6"/>
      <c r="H1092" s="6"/>
      <c r="I1092" s="6"/>
      <c r="J1092" s="6"/>
      <c r="K1092" s="6"/>
      <c r="L1092" s="6"/>
      <c r="M1092" s="6"/>
      <c r="N1092" s="6"/>
      <c r="O1092" s="6"/>
      <c r="P1092" s="6"/>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c r="BU1092" s="6"/>
      <c r="BV1092" s="6"/>
      <c r="BW1092" s="6"/>
      <c r="BX1092" s="6"/>
      <c r="BY1092" s="6"/>
      <c r="BZ1092" s="6"/>
      <c r="CA1092" s="6"/>
      <c r="CB1092" s="6"/>
      <c r="CC1092" s="6"/>
      <c r="CD1092" s="6"/>
      <c r="CE1092" s="6"/>
      <c r="CF1092" s="6"/>
      <c r="CG1092" s="6"/>
      <c r="CH1092" s="6"/>
      <c r="CI1092" s="6"/>
      <c r="CJ1092" s="6"/>
      <c r="CK1092" s="6"/>
      <c r="CL1092" s="6"/>
      <c r="CM1092" s="6"/>
      <c r="CN1092" s="6"/>
      <c r="CO1092" s="6"/>
      <c r="CP1092" s="6"/>
      <c r="CQ1092" s="6"/>
      <c r="CR1092" s="6"/>
      <c r="CS1092" s="6"/>
      <c r="CT1092" s="6"/>
      <c r="CU1092" s="6"/>
      <c r="CV1092" s="6"/>
      <c r="CW1092" s="6"/>
      <c r="CX1092" s="6"/>
      <c r="CY1092" s="6"/>
      <c r="CZ1092" s="6"/>
      <c r="DA1092" s="6"/>
      <c r="DB1092" s="6"/>
      <c r="DC1092" s="6"/>
      <c r="DD1092" s="6"/>
    </row>
    <row r="1093" spans="1:108" ht="12.75" hidden="1" customHeight="1" outlineLevel="6">
      <c r="A1093" s="104" t="s">
        <v>207</v>
      </c>
      <c r="B1093" s="6">
        <v>0</v>
      </c>
      <c r="C1093" s="20"/>
      <c r="D1093" s="18" t="str">
        <f t="shared" si="61"/>
        <v>&lt;Max_Width_Location&gt;0.000000&lt;/Max_Width_Location&gt;</v>
      </c>
      <c r="E1093" s="174" t="str">
        <f t="shared" si="60"/>
        <v>Yes</v>
      </c>
      <c r="F1093" s="6" t="s">
        <v>797</v>
      </c>
      <c r="G1093" s="6"/>
      <c r="H1093" s="6"/>
      <c r="I1093" s="6"/>
      <c r="J1093" s="6"/>
      <c r="K1093" s="6"/>
      <c r="L1093" s="6"/>
      <c r="M1093" s="6"/>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c r="BU1093" s="6"/>
      <c r="BV1093" s="6"/>
      <c r="BW1093" s="6"/>
      <c r="BX1093" s="6"/>
      <c r="BY1093" s="6"/>
      <c r="BZ1093" s="6"/>
      <c r="CA1093" s="6"/>
      <c r="CB1093" s="6"/>
      <c r="CC1093" s="6"/>
      <c r="CD1093" s="6"/>
      <c r="CE1093" s="6"/>
      <c r="CF1093" s="6"/>
      <c r="CG1093" s="6"/>
      <c r="CH1093" s="6"/>
      <c r="CI1093" s="6"/>
      <c r="CJ1093" s="6"/>
      <c r="CK1093" s="6"/>
      <c r="CL1093" s="6"/>
      <c r="CM1093" s="6"/>
      <c r="CN1093" s="6"/>
      <c r="CO1093" s="6"/>
      <c r="CP1093" s="6"/>
      <c r="CQ1093" s="6"/>
      <c r="CR1093" s="6"/>
      <c r="CS1093" s="6"/>
      <c r="CT1093" s="6"/>
      <c r="CU1093" s="6"/>
      <c r="CV1093" s="6"/>
      <c r="CW1093" s="6"/>
      <c r="CX1093" s="6"/>
      <c r="CY1093" s="6"/>
      <c r="CZ1093" s="6"/>
      <c r="DA1093" s="6"/>
      <c r="DB1093" s="6"/>
      <c r="DC1093" s="6"/>
      <c r="DD1093" s="6"/>
    </row>
    <row r="1094" spans="1:108" ht="12.75" hidden="1" customHeight="1" outlineLevel="6">
      <c r="A1094" s="104" t="s">
        <v>208</v>
      </c>
      <c r="B1094" s="6">
        <v>0.5</v>
      </c>
      <c r="C1094" s="20"/>
      <c r="D1094" s="18" t="str">
        <f t="shared" si="61"/>
        <v>&lt;Corner_Radius&gt;0.500000&lt;/Corner_Radius&gt;</v>
      </c>
      <c r="E1094" s="174" t="str">
        <f t="shared" si="60"/>
        <v>Yes</v>
      </c>
      <c r="F1094" s="6" t="s">
        <v>798</v>
      </c>
      <c r="G1094" s="6"/>
      <c r="H1094" s="6"/>
      <c r="I1094" s="6"/>
      <c r="J1094" s="6"/>
      <c r="K1094" s="6"/>
      <c r="L1094" s="6"/>
      <c r="M1094" s="6"/>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c r="BU1094" s="6"/>
      <c r="BV1094" s="6"/>
      <c r="BW1094" s="6"/>
      <c r="BX1094" s="6"/>
      <c r="BY1094" s="6"/>
      <c r="BZ1094" s="6"/>
      <c r="CA1094" s="6"/>
      <c r="CB1094" s="6"/>
      <c r="CC1094" s="6"/>
      <c r="CD1094" s="6"/>
      <c r="CE1094" s="6"/>
      <c r="CF1094" s="6"/>
      <c r="CG1094" s="6"/>
      <c r="CH1094" s="6"/>
      <c r="CI1094" s="6"/>
      <c r="CJ1094" s="6"/>
      <c r="CK1094" s="6"/>
      <c r="CL1094" s="6"/>
      <c r="CM1094" s="6"/>
      <c r="CN1094" s="6"/>
      <c r="CO1094" s="6"/>
      <c r="CP1094" s="6"/>
      <c r="CQ1094" s="6"/>
      <c r="CR1094" s="6"/>
      <c r="CS1094" s="6"/>
      <c r="CT1094" s="6"/>
      <c r="CU1094" s="6"/>
      <c r="CV1094" s="6"/>
      <c r="CW1094" s="6"/>
      <c r="CX1094" s="6"/>
      <c r="CY1094" s="6"/>
      <c r="CZ1094" s="6"/>
      <c r="DA1094" s="6"/>
      <c r="DB1094" s="6"/>
      <c r="DC1094" s="6"/>
      <c r="DD1094" s="6"/>
    </row>
    <row r="1095" spans="1:108" ht="12.75" hidden="1" customHeight="1" outlineLevel="6">
      <c r="A1095" s="104" t="s">
        <v>209</v>
      </c>
      <c r="B1095" s="6">
        <v>90</v>
      </c>
      <c r="C1095" s="20"/>
      <c r="D1095" s="18" t="str">
        <f t="shared" si="61"/>
        <v>&lt;Top_Tan_Angle&gt;90.000000&lt;/Top_Tan_Angle&gt;</v>
      </c>
      <c r="E1095" s="174" t="str">
        <f t="shared" si="60"/>
        <v>Yes</v>
      </c>
      <c r="F1095" s="6" t="s">
        <v>799</v>
      </c>
      <c r="G1095" s="6"/>
      <c r="H1095" s="6"/>
      <c r="I1095" s="6"/>
      <c r="J1095" s="6"/>
      <c r="K1095" s="6"/>
      <c r="L1095" s="6"/>
      <c r="M1095" s="6"/>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c r="BU1095" s="6"/>
      <c r="BV1095" s="6"/>
      <c r="BW1095" s="6"/>
      <c r="BX1095" s="6"/>
      <c r="BY1095" s="6"/>
      <c r="BZ1095" s="6"/>
      <c r="CA1095" s="6"/>
      <c r="CB1095" s="6"/>
      <c r="CC1095" s="6"/>
      <c r="CD1095" s="6"/>
      <c r="CE1095" s="6"/>
      <c r="CF1095" s="6"/>
      <c r="CG1095" s="6"/>
      <c r="CH1095" s="6"/>
      <c r="CI1095" s="6"/>
      <c r="CJ1095" s="6"/>
      <c r="CK1095" s="6"/>
      <c r="CL1095" s="6"/>
      <c r="CM1095" s="6"/>
      <c r="CN1095" s="6"/>
      <c r="CO1095" s="6"/>
      <c r="CP1095" s="6"/>
      <c r="CQ1095" s="6"/>
      <c r="CR1095" s="6"/>
      <c r="CS1095" s="6"/>
      <c r="CT1095" s="6"/>
      <c r="CU1095" s="6"/>
      <c r="CV1095" s="6"/>
      <c r="CW1095" s="6"/>
      <c r="CX1095" s="6"/>
      <c r="CY1095" s="6"/>
      <c r="CZ1095" s="6"/>
      <c r="DA1095" s="6"/>
      <c r="DB1095" s="6"/>
      <c r="DC1095" s="6"/>
      <c r="DD1095" s="6"/>
    </row>
    <row r="1096" spans="1:108" ht="12.75" hidden="1" customHeight="1" outlineLevel="6">
      <c r="A1096" s="104" t="s">
        <v>210</v>
      </c>
      <c r="B1096" s="6">
        <v>90</v>
      </c>
      <c r="C1096" s="20"/>
      <c r="D1096" s="18" t="str">
        <f t="shared" si="61"/>
        <v>&lt;Bot_Tan_Angle&gt;90.000000&lt;/Bot_Tan_Angle&gt;</v>
      </c>
      <c r="E1096" s="174" t="str">
        <f t="shared" si="60"/>
        <v>Yes</v>
      </c>
      <c r="F1096" s="6" t="s">
        <v>800</v>
      </c>
      <c r="G1096" s="6"/>
      <c r="H1096" s="6"/>
      <c r="I1096" s="6"/>
      <c r="J1096" s="6"/>
      <c r="K1096" s="6"/>
      <c r="L1096" s="6"/>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c r="BU1096" s="6"/>
      <c r="BV1096" s="6"/>
      <c r="BW1096" s="6"/>
      <c r="BX1096" s="6"/>
      <c r="BY1096" s="6"/>
      <c r="BZ1096" s="6"/>
      <c r="CA1096" s="6"/>
      <c r="CB1096" s="6"/>
      <c r="CC1096" s="6"/>
      <c r="CD1096" s="6"/>
      <c r="CE1096" s="6"/>
      <c r="CF1096" s="6"/>
      <c r="CG1096" s="6"/>
      <c r="CH1096" s="6"/>
      <c r="CI1096" s="6"/>
      <c r="CJ1096" s="6"/>
      <c r="CK1096" s="6"/>
      <c r="CL1096" s="6"/>
      <c r="CM1096" s="6"/>
      <c r="CN1096" s="6"/>
      <c r="CO1096" s="6"/>
      <c r="CP1096" s="6"/>
      <c r="CQ1096" s="6"/>
      <c r="CR1096" s="6"/>
      <c r="CS1096" s="6"/>
      <c r="CT1096" s="6"/>
      <c r="CU1096" s="6"/>
      <c r="CV1096" s="6"/>
      <c r="CW1096" s="6"/>
      <c r="CX1096" s="6"/>
      <c r="CY1096" s="6"/>
      <c r="CZ1096" s="6"/>
      <c r="DA1096" s="6"/>
      <c r="DB1096" s="6"/>
      <c r="DC1096" s="6"/>
      <c r="DD1096" s="6"/>
    </row>
    <row r="1097" spans="1:108" ht="12.75" hidden="1" customHeight="1" outlineLevel="6">
      <c r="A1097" s="104" t="s">
        <v>211</v>
      </c>
      <c r="B1097" s="6">
        <v>0.83</v>
      </c>
      <c r="C1097" s="20"/>
      <c r="D1097" s="18" t="str">
        <f t="shared" si="61"/>
        <v>&lt;Top_Tan_Strength&gt;0.830000&lt;/Top_Tan_Strength&gt;</v>
      </c>
      <c r="E1097" s="174" t="str">
        <f t="shared" si="60"/>
        <v>Yes</v>
      </c>
      <c r="F1097" s="6" t="s">
        <v>801</v>
      </c>
      <c r="G1097" s="6"/>
      <c r="H1097" s="6"/>
      <c r="I1097" s="6"/>
      <c r="J1097" s="6"/>
      <c r="K1097" s="6"/>
      <c r="L1097" s="6"/>
      <c r="M1097" s="6"/>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c r="BU1097" s="6"/>
      <c r="BV1097" s="6"/>
      <c r="BW1097" s="6"/>
      <c r="BX1097" s="6"/>
      <c r="BY1097" s="6"/>
      <c r="BZ1097" s="6"/>
      <c r="CA1097" s="6"/>
      <c r="CB1097" s="6"/>
      <c r="CC1097" s="6"/>
      <c r="CD1097" s="6"/>
      <c r="CE1097" s="6"/>
      <c r="CF1097" s="6"/>
      <c r="CG1097" s="6"/>
      <c r="CH1097" s="6"/>
      <c r="CI1097" s="6"/>
      <c r="CJ1097" s="6"/>
      <c r="CK1097" s="6"/>
      <c r="CL1097" s="6"/>
      <c r="CM1097" s="6"/>
      <c r="CN1097" s="6"/>
      <c r="CO1097" s="6"/>
      <c r="CP1097" s="6"/>
      <c r="CQ1097" s="6"/>
      <c r="CR1097" s="6"/>
      <c r="CS1097" s="6"/>
      <c r="CT1097" s="6"/>
      <c r="CU1097" s="6"/>
      <c r="CV1097" s="6"/>
      <c r="CW1097" s="6"/>
      <c r="CX1097" s="6"/>
      <c r="CY1097" s="6"/>
      <c r="CZ1097" s="6"/>
      <c r="DA1097" s="6"/>
      <c r="DB1097" s="6"/>
      <c r="DC1097" s="6"/>
      <c r="DD1097" s="6"/>
    </row>
    <row r="1098" spans="1:108" ht="12.75" hidden="1" customHeight="1" outlineLevel="6">
      <c r="A1098" s="104" t="s">
        <v>212</v>
      </c>
      <c r="B1098" s="6">
        <v>0.83</v>
      </c>
      <c r="C1098" s="20"/>
      <c r="D1098" s="18" t="str">
        <f t="shared" si="61"/>
        <v>&lt;Upper_Tan_Strength&gt;0.830000&lt;/Upper_Tan_Strength&gt;</v>
      </c>
      <c r="E1098" s="174" t="str">
        <f t="shared" si="60"/>
        <v>Yes</v>
      </c>
      <c r="F1098" s="6" t="s">
        <v>802</v>
      </c>
      <c r="G1098" s="6"/>
      <c r="H1098" s="6"/>
      <c r="I1098" s="6"/>
      <c r="J1098" s="6"/>
      <c r="K1098" s="6"/>
      <c r="L1098" s="6"/>
      <c r="M1098" s="6"/>
      <c r="N1098" s="6"/>
      <c r="O1098" s="6"/>
      <c r="P1098" s="6"/>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c r="BU1098" s="6"/>
      <c r="BV1098" s="6"/>
      <c r="BW1098" s="6"/>
      <c r="BX1098" s="6"/>
      <c r="BY1098" s="6"/>
      <c r="BZ1098" s="6"/>
      <c r="CA1098" s="6"/>
      <c r="CB1098" s="6"/>
      <c r="CC1098" s="6"/>
      <c r="CD1098" s="6"/>
      <c r="CE1098" s="6"/>
      <c r="CF1098" s="6"/>
      <c r="CG1098" s="6"/>
      <c r="CH1098" s="6"/>
      <c r="CI1098" s="6"/>
      <c r="CJ1098" s="6"/>
      <c r="CK1098" s="6"/>
      <c r="CL1098" s="6"/>
      <c r="CM1098" s="6"/>
      <c r="CN1098" s="6"/>
      <c r="CO1098" s="6"/>
      <c r="CP1098" s="6"/>
      <c r="CQ1098" s="6"/>
      <c r="CR1098" s="6"/>
      <c r="CS1098" s="6"/>
      <c r="CT1098" s="6"/>
      <c r="CU1098" s="6"/>
      <c r="CV1098" s="6"/>
      <c r="CW1098" s="6"/>
      <c r="CX1098" s="6"/>
      <c r="CY1098" s="6"/>
      <c r="CZ1098" s="6"/>
      <c r="DA1098" s="6"/>
      <c r="DB1098" s="6"/>
      <c r="DC1098" s="6"/>
      <c r="DD1098" s="6"/>
    </row>
    <row r="1099" spans="1:108" ht="12.75" hidden="1" customHeight="1" outlineLevel="6">
      <c r="A1099" s="104" t="s">
        <v>213</v>
      </c>
      <c r="B1099" s="6">
        <v>0.83</v>
      </c>
      <c r="C1099" s="20"/>
      <c r="D1099" s="18" t="str">
        <f t="shared" si="61"/>
        <v>&lt;Lower_Tan_Strength&gt;0.830000&lt;/Lower_Tan_Strength&gt;</v>
      </c>
      <c r="E1099" s="174" t="str">
        <f t="shared" si="60"/>
        <v>Yes</v>
      </c>
      <c r="F1099" s="6" t="s">
        <v>803</v>
      </c>
      <c r="G1099" s="6"/>
      <c r="H1099" s="6"/>
      <c r="I1099" s="6"/>
      <c r="J1099" s="6"/>
      <c r="K1099" s="6"/>
      <c r="L1099" s="6"/>
      <c r="M1099" s="6"/>
      <c r="N1099" s="6"/>
      <c r="O1099" s="6"/>
      <c r="P1099" s="6"/>
      <c r="Q1099" s="6"/>
      <c r="R1099" s="6"/>
      <c r="S1099" s="6"/>
      <c r="T1099" s="6"/>
      <c r="U1099" s="6"/>
      <c r="V1099" s="6"/>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c r="BU1099" s="6"/>
      <c r="BV1099" s="6"/>
      <c r="BW1099" s="6"/>
      <c r="BX1099" s="6"/>
      <c r="BY1099" s="6"/>
      <c r="BZ1099" s="6"/>
      <c r="CA1099" s="6"/>
      <c r="CB1099" s="6"/>
      <c r="CC1099" s="6"/>
      <c r="CD1099" s="6"/>
      <c r="CE1099" s="6"/>
      <c r="CF1099" s="6"/>
      <c r="CG1099" s="6"/>
      <c r="CH1099" s="6"/>
      <c r="CI1099" s="6"/>
      <c r="CJ1099" s="6"/>
      <c r="CK1099" s="6"/>
      <c r="CL1099" s="6"/>
      <c r="CM1099" s="6"/>
      <c r="CN1099" s="6"/>
      <c r="CO1099" s="6"/>
      <c r="CP1099" s="6"/>
      <c r="CQ1099" s="6"/>
      <c r="CR1099" s="6"/>
      <c r="CS1099" s="6"/>
      <c r="CT1099" s="6"/>
      <c r="CU1099" s="6"/>
      <c r="CV1099" s="6"/>
      <c r="CW1099" s="6"/>
      <c r="CX1099" s="6"/>
      <c r="CY1099" s="6"/>
      <c r="CZ1099" s="6"/>
      <c r="DA1099" s="6"/>
      <c r="DB1099" s="6"/>
      <c r="DC1099" s="6"/>
      <c r="DD1099" s="6"/>
    </row>
    <row r="1100" spans="1:108" ht="12.75" hidden="1" customHeight="1" outlineLevel="6">
      <c r="A1100" s="104" t="s">
        <v>214</v>
      </c>
      <c r="B1100" s="6">
        <v>0.83</v>
      </c>
      <c r="C1100" s="20"/>
      <c r="D1100" s="18" t="str">
        <f t="shared" si="61"/>
        <v>&lt;Bottom_Tan_Strength&gt;0.830000&lt;/Bottom_Tan_Strength&gt;</v>
      </c>
      <c r="E1100" s="174" t="str">
        <f t="shared" si="60"/>
        <v>Yes</v>
      </c>
      <c r="F1100" s="6" t="s">
        <v>804</v>
      </c>
      <c r="G1100" s="6"/>
      <c r="H1100" s="6"/>
      <c r="I1100" s="6"/>
      <c r="J1100" s="6"/>
      <c r="K1100" s="6"/>
      <c r="L1100" s="6"/>
      <c r="M1100" s="6"/>
      <c r="N1100" s="6"/>
      <c r="O1100" s="6"/>
      <c r="P1100" s="6"/>
      <c r="Q1100" s="6"/>
      <c r="R1100" s="6"/>
      <c r="S1100" s="6"/>
      <c r="T1100" s="6"/>
      <c r="U1100" s="6"/>
      <c r="V1100" s="6"/>
      <c r="W1100" s="6"/>
      <c r="X1100" s="6"/>
      <c r="Y1100" s="6"/>
      <c r="Z1100" s="6"/>
      <c r="AA1100" s="6"/>
      <c r="AB1100" s="6"/>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c r="BU1100" s="6"/>
      <c r="BV1100" s="6"/>
      <c r="BW1100" s="6"/>
      <c r="BX1100" s="6"/>
      <c r="BY1100" s="6"/>
      <c r="BZ1100" s="6"/>
      <c r="CA1100" s="6"/>
      <c r="CB1100" s="6"/>
      <c r="CC1100" s="6"/>
      <c r="CD1100" s="6"/>
      <c r="CE1100" s="6"/>
      <c r="CF1100" s="6"/>
      <c r="CG1100" s="6"/>
      <c r="CH1100" s="6"/>
      <c r="CI1100" s="6"/>
      <c r="CJ1100" s="6"/>
      <c r="CK1100" s="6"/>
      <c r="CL1100" s="6"/>
      <c r="CM1100" s="6"/>
      <c r="CN1100" s="6"/>
      <c r="CO1100" s="6"/>
      <c r="CP1100" s="6"/>
      <c r="CQ1100" s="6"/>
      <c r="CR1100" s="6"/>
      <c r="CS1100" s="6"/>
      <c r="CT1100" s="6"/>
      <c r="CU1100" s="6"/>
      <c r="CV1100" s="6"/>
      <c r="CW1100" s="6"/>
      <c r="CX1100" s="6"/>
      <c r="CY1100" s="6"/>
      <c r="CZ1100" s="6"/>
      <c r="DA1100" s="6"/>
      <c r="DB1100" s="6"/>
      <c r="DC1100" s="6"/>
      <c r="DD1100" s="6"/>
    </row>
    <row r="1101" spans="1:108" ht="12.75" hidden="1" customHeight="1" outlineLevel="6">
      <c r="A1101" s="104" t="s">
        <v>215</v>
      </c>
      <c r="C1101" s="20"/>
      <c r="D1101" s="6" t="str">
        <f>"&lt;" &amp; A1101 &amp; "&gt;"</f>
        <v>&lt;/OML_Parms&gt;</v>
      </c>
      <c r="E1101" s="174" t="str">
        <f t="shared" si="60"/>
        <v>Yes</v>
      </c>
      <c r="F1101" s="6" t="s">
        <v>805</v>
      </c>
      <c r="G1101" s="6"/>
      <c r="H1101" s="6"/>
      <c r="I1101" s="6"/>
      <c r="J1101" s="6"/>
      <c r="K1101" s="6"/>
      <c r="L1101" s="6"/>
      <c r="M1101" s="6"/>
      <c r="N1101" s="6"/>
      <c r="O1101" s="6"/>
      <c r="P1101" s="6"/>
      <c r="Q1101" s="6"/>
      <c r="R1101" s="6"/>
      <c r="S1101" s="6"/>
      <c r="T1101" s="6"/>
      <c r="U1101" s="6"/>
      <c r="V1101" s="6"/>
      <c r="W1101" s="6"/>
      <c r="X1101" s="6"/>
      <c r="Y1101" s="6"/>
      <c r="Z1101" s="6"/>
      <c r="AA1101" s="6"/>
      <c r="AB1101" s="6"/>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c r="BU1101" s="6"/>
      <c r="BV1101" s="6"/>
      <c r="BW1101" s="6"/>
      <c r="BX1101" s="6"/>
      <c r="BY1101" s="6"/>
      <c r="BZ1101" s="6"/>
      <c r="CA1101" s="6"/>
      <c r="CB1101" s="6"/>
      <c r="CC1101" s="6"/>
      <c r="CD1101" s="6"/>
      <c r="CE1101" s="6"/>
      <c r="CF1101" s="6"/>
      <c r="CG1101" s="6"/>
      <c r="CH1101" s="6"/>
      <c r="CI1101" s="6"/>
      <c r="CJ1101" s="6"/>
      <c r="CK1101" s="6"/>
      <c r="CL1101" s="6"/>
      <c r="CM1101" s="6"/>
      <c r="CN1101" s="6"/>
      <c r="CO1101" s="6"/>
      <c r="CP1101" s="6"/>
      <c r="CQ1101" s="6"/>
      <c r="CR1101" s="6"/>
      <c r="CS1101" s="6"/>
      <c r="CT1101" s="6"/>
      <c r="CU1101" s="6"/>
      <c r="CV1101" s="6"/>
      <c r="CW1101" s="6"/>
      <c r="CX1101" s="6"/>
      <c r="CY1101" s="6"/>
      <c r="CZ1101" s="6"/>
      <c r="DA1101" s="6"/>
      <c r="DB1101" s="6"/>
      <c r="DC1101" s="6"/>
      <c r="DD1101" s="6"/>
    </row>
    <row r="1102" spans="1:108" ht="12.75" hidden="1" customHeight="1" outlineLevel="5">
      <c r="A1102" s="104" t="s">
        <v>216</v>
      </c>
      <c r="C1102" s="20"/>
      <c r="D1102" s="6" t="str">
        <f>"&lt;" &amp; A1102 &amp; "&gt;"</f>
        <v>&lt;IML_Parms&gt;</v>
      </c>
      <c r="E1102" s="174" t="str">
        <f t="shared" si="60"/>
        <v>Yes</v>
      </c>
      <c r="F1102" s="6" t="s">
        <v>806</v>
      </c>
      <c r="G1102" s="6"/>
      <c r="H1102" s="6"/>
      <c r="I1102" s="6"/>
      <c r="J1102" s="6"/>
      <c r="K1102" s="6"/>
      <c r="L1102" s="6"/>
      <c r="M1102" s="6"/>
      <c r="N1102" s="6"/>
      <c r="O1102" s="6"/>
      <c r="P1102" s="6"/>
      <c r="Q1102" s="6"/>
      <c r="R1102" s="6"/>
      <c r="S1102" s="6"/>
      <c r="T1102" s="6"/>
      <c r="U1102" s="6"/>
      <c r="V1102" s="6"/>
      <c r="W1102" s="6"/>
      <c r="X1102" s="6"/>
      <c r="Y1102" s="6"/>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c r="BU1102" s="6"/>
      <c r="BV1102" s="6"/>
      <c r="BW1102" s="6"/>
      <c r="BX1102" s="6"/>
      <c r="BY1102" s="6"/>
      <c r="BZ1102" s="6"/>
      <c r="CA1102" s="6"/>
      <c r="CB1102" s="6"/>
      <c r="CC1102" s="6"/>
      <c r="CD1102" s="6"/>
      <c r="CE1102" s="6"/>
      <c r="CF1102" s="6"/>
      <c r="CG1102" s="6"/>
      <c r="CH1102" s="6"/>
      <c r="CI1102" s="6"/>
      <c r="CJ1102" s="6"/>
      <c r="CK1102" s="6"/>
      <c r="CL1102" s="6"/>
      <c r="CM1102" s="6"/>
      <c r="CN1102" s="6"/>
      <c r="CO1102" s="6"/>
      <c r="CP1102" s="6"/>
      <c r="CQ1102" s="6"/>
      <c r="CR1102" s="6"/>
      <c r="CS1102" s="6"/>
      <c r="CT1102" s="6"/>
      <c r="CU1102" s="6"/>
      <c r="CV1102" s="6"/>
      <c r="CW1102" s="6"/>
      <c r="CX1102" s="6"/>
      <c r="CY1102" s="6"/>
      <c r="CZ1102" s="6"/>
      <c r="DA1102" s="6"/>
      <c r="DB1102" s="6"/>
      <c r="DC1102" s="6"/>
      <c r="DD1102" s="6"/>
    </row>
    <row r="1103" spans="1:108" ht="12.75" hidden="1" customHeight="1" outlineLevel="6">
      <c r="A1103" s="104" t="s">
        <v>14</v>
      </c>
      <c r="B1103" s="6">
        <v>2</v>
      </c>
      <c r="C1103" s="20"/>
      <c r="D1103" s="18" t="str">
        <f>"&lt;" &amp; A1103 &amp; "&gt;" &amp; TEXT(B1103,0) &amp; "&lt;/" &amp; A1103 &amp; "&gt;"</f>
        <v>&lt;Type&gt;2&lt;/Type&gt;</v>
      </c>
      <c r="E1103" s="174" t="str">
        <f t="shared" si="60"/>
        <v>Yes</v>
      </c>
      <c r="F1103" s="6" t="s">
        <v>807</v>
      </c>
      <c r="G1103" s="6"/>
      <c r="H1103" s="6"/>
      <c r="I1103" s="6"/>
      <c r="J1103" s="6"/>
      <c r="K1103" s="6"/>
      <c r="L1103" s="6"/>
      <c r="M1103" s="6"/>
      <c r="N1103" s="6"/>
      <c r="O1103" s="6"/>
      <c r="P1103" s="6"/>
      <c r="Q1103" s="6"/>
      <c r="R1103" s="6"/>
      <c r="S1103" s="6"/>
      <c r="T1103" s="6"/>
      <c r="U1103" s="6"/>
      <c r="V1103" s="6"/>
      <c r="W1103" s="6"/>
      <c r="X1103" s="6"/>
      <c r="Y1103" s="6"/>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c r="BU1103" s="6"/>
      <c r="BV1103" s="6"/>
      <c r="BW1103" s="6"/>
      <c r="BX1103" s="6"/>
      <c r="BY1103" s="6"/>
      <c r="BZ1103" s="6"/>
      <c r="CA1103" s="6"/>
      <c r="CB1103" s="6"/>
      <c r="CC1103" s="6"/>
      <c r="CD1103" s="6"/>
      <c r="CE1103" s="6"/>
      <c r="CF1103" s="6"/>
      <c r="CG1103" s="6"/>
      <c r="CH1103" s="6"/>
      <c r="CI1103" s="6"/>
      <c r="CJ1103" s="6"/>
      <c r="CK1103" s="6"/>
      <c r="CL1103" s="6"/>
      <c r="CM1103" s="6"/>
      <c r="CN1103" s="6"/>
      <c r="CO1103" s="6"/>
      <c r="CP1103" s="6"/>
      <c r="CQ1103" s="6"/>
      <c r="CR1103" s="6"/>
      <c r="CS1103" s="6"/>
      <c r="CT1103" s="6"/>
      <c r="CU1103" s="6"/>
      <c r="CV1103" s="6"/>
      <c r="CW1103" s="6"/>
      <c r="CX1103" s="6"/>
      <c r="CY1103" s="6"/>
      <c r="CZ1103" s="6"/>
      <c r="DA1103" s="6"/>
      <c r="DB1103" s="6"/>
      <c r="DC1103" s="6"/>
      <c r="DD1103" s="6"/>
    </row>
    <row r="1104" spans="1:108" ht="12.75" hidden="1" customHeight="1" outlineLevel="6">
      <c r="A1104" s="104" t="s">
        <v>15</v>
      </c>
      <c r="B1104" s="6">
        <v>3</v>
      </c>
      <c r="C1104" s="20"/>
      <c r="D1104" s="18" t="str">
        <f t="shared" ref="D1104:D1113" si="62">"&lt;" &amp; A1104 &amp; "&gt;" &amp; TEXT(B1104,"0.000000") &amp; "&lt;/" &amp; A1104 &amp; "&gt;"</f>
        <v>&lt;Height&gt;3.000000&lt;/Height&gt;</v>
      </c>
      <c r="E1104" s="174" t="str">
        <f t="shared" si="60"/>
        <v>Yes</v>
      </c>
      <c r="F1104" s="6" t="s">
        <v>808</v>
      </c>
      <c r="G1104" s="6"/>
      <c r="H1104" s="6"/>
      <c r="I1104" s="6"/>
      <c r="J1104" s="6"/>
      <c r="K1104" s="6"/>
      <c r="L1104" s="6"/>
      <c r="M1104" s="6"/>
      <c r="N1104" s="6"/>
      <c r="O1104" s="6"/>
      <c r="P1104" s="6"/>
      <c r="Q1104" s="6"/>
      <c r="R1104" s="6"/>
      <c r="S1104" s="6"/>
      <c r="T1104" s="6"/>
      <c r="U1104" s="6"/>
      <c r="V1104" s="6"/>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c r="BU1104" s="6"/>
      <c r="BV1104" s="6"/>
      <c r="BW1104" s="6"/>
      <c r="BX1104" s="6"/>
      <c r="BY1104" s="6"/>
      <c r="BZ1104" s="6"/>
      <c r="CA1104" s="6"/>
      <c r="CB1104" s="6"/>
      <c r="CC1104" s="6"/>
      <c r="CD1104" s="6"/>
      <c r="CE1104" s="6"/>
      <c r="CF1104" s="6"/>
      <c r="CG1104" s="6"/>
      <c r="CH1104" s="6"/>
      <c r="CI1104" s="6"/>
      <c r="CJ1104" s="6"/>
      <c r="CK1104" s="6"/>
      <c r="CL1104" s="6"/>
      <c r="CM1104" s="6"/>
      <c r="CN1104" s="6"/>
      <c r="CO1104" s="6"/>
      <c r="CP1104" s="6"/>
      <c r="CQ1104" s="6"/>
      <c r="CR1104" s="6"/>
      <c r="CS1104" s="6"/>
      <c r="CT1104" s="6"/>
      <c r="CU1104" s="6"/>
      <c r="CV1104" s="6"/>
      <c r="CW1104" s="6"/>
      <c r="CX1104" s="6"/>
      <c r="CY1104" s="6"/>
      <c r="CZ1104" s="6"/>
      <c r="DA1104" s="6"/>
      <c r="DB1104" s="6"/>
      <c r="DC1104" s="6"/>
      <c r="DD1104" s="6"/>
    </row>
    <row r="1105" spans="1:108" ht="12.75" hidden="1" customHeight="1" outlineLevel="6">
      <c r="A1105" s="104" t="s">
        <v>16</v>
      </c>
      <c r="B1105" s="6">
        <v>2.5</v>
      </c>
      <c r="C1105" s="20"/>
      <c r="D1105" s="18" t="str">
        <f t="shared" si="62"/>
        <v>&lt;Width&gt;2.500000&lt;/Width&gt;</v>
      </c>
      <c r="E1105" s="174" t="str">
        <f t="shared" si="60"/>
        <v>Yes</v>
      </c>
      <c r="F1105" s="6" t="s">
        <v>809</v>
      </c>
      <c r="G1105" s="6"/>
      <c r="H1105" s="6"/>
      <c r="I1105" s="6"/>
      <c r="J1105" s="6"/>
      <c r="K1105" s="6"/>
      <c r="L1105" s="6"/>
      <c r="M1105" s="6"/>
      <c r="N1105" s="6"/>
      <c r="O1105" s="6"/>
      <c r="P1105" s="6"/>
      <c r="Q1105" s="6"/>
      <c r="R1105" s="6"/>
      <c r="S1105" s="6"/>
      <c r="T1105" s="6"/>
      <c r="U1105" s="6"/>
      <c r="V1105" s="6"/>
      <c r="W1105" s="6"/>
      <c r="X1105" s="6"/>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c r="BU1105" s="6"/>
      <c r="BV1105" s="6"/>
      <c r="BW1105" s="6"/>
      <c r="BX1105" s="6"/>
      <c r="BY1105" s="6"/>
      <c r="BZ1105" s="6"/>
      <c r="CA1105" s="6"/>
      <c r="CB1105" s="6"/>
      <c r="CC1105" s="6"/>
      <c r="CD1105" s="6"/>
      <c r="CE1105" s="6"/>
      <c r="CF1105" s="6"/>
      <c r="CG1105" s="6"/>
      <c r="CH1105" s="6"/>
      <c r="CI1105" s="6"/>
      <c r="CJ1105" s="6"/>
      <c r="CK1105" s="6"/>
      <c r="CL1105" s="6"/>
      <c r="CM1105" s="6"/>
      <c r="CN1105" s="6"/>
      <c r="CO1105" s="6"/>
      <c r="CP1105" s="6"/>
      <c r="CQ1105" s="6"/>
      <c r="CR1105" s="6"/>
      <c r="CS1105" s="6"/>
      <c r="CT1105" s="6"/>
      <c r="CU1105" s="6"/>
      <c r="CV1105" s="6"/>
      <c r="CW1105" s="6"/>
      <c r="CX1105" s="6"/>
      <c r="CY1105" s="6"/>
      <c r="CZ1105" s="6"/>
      <c r="DA1105" s="6"/>
      <c r="DB1105" s="6"/>
      <c r="DC1105" s="6"/>
      <c r="DD1105" s="6"/>
    </row>
    <row r="1106" spans="1:108" ht="12.75" hidden="1" customHeight="1" outlineLevel="6">
      <c r="A1106" s="104" t="s">
        <v>207</v>
      </c>
      <c r="B1106" s="6">
        <v>0</v>
      </c>
      <c r="C1106" s="20"/>
      <c r="D1106" s="18" t="str">
        <f t="shared" si="62"/>
        <v>&lt;Max_Width_Location&gt;0.000000&lt;/Max_Width_Location&gt;</v>
      </c>
      <c r="E1106" s="174" t="str">
        <f t="shared" si="60"/>
        <v>Yes</v>
      </c>
      <c r="F1106" s="6" t="s">
        <v>797</v>
      </c>
      <c r="G1106" s="6"/>
      <c r="H1106" s="6"/>
      <c r="I1106" s="6"/>
      <c r="J1106" s="6"/>
      <c r="K1106" s="6"/>
      <c r="L1106" s="6"/>
      <c r="M1106" s="6"/>
      <c r="N1106" s="6"/>
      <c r="O1106" s="6"/>
      <c r="P1106" s="6"/>
      <c r="Q1106" s="6"/>
      <c r="R1106" s="6"/>
      <c r="S1106" s="6"/>
      <c r="T1106" s="6"/>
      <c r="U1106" s="6"/>
      <c r="V1106" s="6"/>
      <c r="W1106" s="6"/>
      <c r="X1106" s="6"/>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c r="BU1106" s="6"/>
      <c r="BV1106" s="6"/>
      <c r="BW1106" s="6"/>
      <c r="BX1106" s="6"/>
      <c r="BY1106" s="6"/>
      <c r="BZ1106" s="6"/>
      <c r="CA1106" s="6"/>
      <c r="CB1106" s="6"/>
      <c r="CC1106" s="6"/>
      <c r="CD1106" s="6"/>
      <c r="CE1106" s="6"/>
      <c r="CF1106" s="6"/>
      <c r="CG1106" s="6"/>
      <c r="CH1106" s="6"/>
      <c r="CI1106" s="6"/>
      <c r="CJ1106" s="6"/>
      <c r="CK1106" s="6"/>
      <c r="CL1106" s="6"/>
      <c r="CM1106" s="6"/>
      <c r="CN1106" s="6"/>
      <c r="CO1106" s="6"/>
      <c r="CP1106" s="6"/>
      <c r="CQ1106" s="6"/>
      <c r="CR1106" s="6"/>
      <c r="CS1106" s="6"/>
      <c r="CT1106" s="6"/>
      <c r="CU1106" s="6"/>
      <c r="CV1106" s="6"/>
      <c r="CW1106" s="6"/>
      <c r="CX1106" s="6"/>
      <c r="CY1106" s="6"/>
      <c r="CZ1106" s="6"/>
      <c r="DA1106" s="6"/>
      <c r="DB1106" s="6"/>
      <c r="DC1106" s="6"/>
      <c r="DD1106" s="6"/>
    </row>
    <row r="1107" spans="1:108" ht="12.75" hidden="1" customHeight="1" outlineLevel="6">
      <c r="A1107" s="104" t="s">
        <v>208</v>
      </c>
      <c r="B1107" s="6">
        <v>0.5</v>
      </c>
      <c r="C1107" s="20"/>
      <c r="D1107" s="18" t="str">
        <f t="shared" si="62"/>
        <v>&lt;Corner_Radius&gt;0.500000&lt;/Corner_Radius&gt;</v>
      </c>
      <c r="E1107" s="174" t="str">
        <f t="shared" si="60"/>
        <v>Yes</v>
      </c>
      <c r="F1107" s="6" t="s">
        <v>798</v>
      </c>
      <c r="G1107" s="6"/>
      <c r="H1107" s="6"/>
      <c r="I1107" s="6"/>
      <c r="J1107" s="6"/>
      <c r="K1107" s="6"/>
      <c r="L1107" s="6"/>
      <c r="M1107" s="6"/>
      <c r="N1107" s="6"/>
      <c r="O1107" s="6"/>
      <c r="P1107" s="6"/>
      <c r="Q1107" s="6"/>
      <c r="R1107" s="6"/>
      <c r="S1107" s="6"/>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c r="BU1107" s="6"/>
      <c r="BV1107" s="6"/>
      <c r="BW1107" s="6"/>
      <c r="BX1107" s="6"/>
      <c r="BY1107" s="6"/>
      <c r="BZ1107" s="6"/>
      <c r="CA1107" s="6"/>
      <c r="CB1107" s="6"/>
      <c r="CC1107" s="6"/>
      <c r="CD1107" s="6"/>
      <c r="CE1107" s="6"/>
      <c r="CF1107" s="6"/>
      <c r="CG1107" s="6"/>
      <c r="CH1107" s="6"/>
      <c r="CI1107" s="6"/>
      <c r="CJ1107" s="6"/>
      <c r="CK1107" s="6"/>
      <c r="CL1107" s="6"/>
      <c r="CM1107" s="6"/>
      <c r="CN1107" s="6"/>
      <c r="CO1107" s="6"/>
      <c r="CP1107" s="6"/>
      <c r="CQ1107" s="6"/>
      <c r="CR1107" s="6"/>
      <c r="CS1107" s="6"/>
      <c r="CT1107" s="6"/>
      <c r="CU1107" s="6"/>
      <c r="CV1107" s="6"/>
      <c r="CW1107" s="6"/>
      <c r="CX1107" s="6"/>
      <c r="CY1107" s="6"/>
      <c r="CZ1107" s="6"/>
      <c r="DA1107" s="6"/>
      <c r="DB1107" s="6"/>
      <c r="DC1107" s="6"/>
      <c r="DD1107" s="6"/>
    </row>
    <row r="1108" spans="1:108" ht="12.75" hidden="1" customHeight="1" outlineLevel="6">
      <c r="A1108" s="104" t="s">
        <v>209</v>
      </c>
      <c r="B1108" s="6">
        <v>90</v>
      </c>
      <c r="C1108" s="20"/>
      <c r="D1108" s="18" t="str">
        <f t="shared" si="62"/>
        <v>&lt;Top_Tan_Angle&gt;90.000000&lt;/Top_Tan_Angle&gt;</v>
      </c>
      <c r="E1108" s="174" t="str">
        <f t="shared" si="60"/>
        <v>Yes</v>
      </c>
      <c r="F1108" s="6" t="s">
        <v>799</v>
      </c>
      <c r="G1108" s="6"/>
      <c r="H1108" s="6"/>
      <c r="I1108" s="6"/>
      <c r="J1108" s="6"/>
      <c r="K1108" s="6"/>
      <c r="L1108" s="6"/>
      <c r="M1108" s="6"/>
      <c r="N1108" s="6"/>
      <c r="O1108" s="6"/>
      <c r="P1108" s="6"/>
      <c r="Q1108" s="6"/>
      <c r="R1108" s="6"/>
      <c r="S1108" s="6"/>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c r="BU1108" s="6"/>
      <c r="BV1108" s="6"/>
      <c r="BW1108" s="6"/>
      <c r="BX1108" s="6"/>
      <c r="BY1108" s="6"/>
      <c r="BZ1108" s="6"/>
      <c r="CA1108" s="6"/>
      <c r="CB1108" s="6"/>
      <c r="CC1108" s="6"/>
      <c r="CD1108" s="6"/>
      <c r="CE1108" s="6"/>
      <c r="CF1108" s="6"/>
      <c r="CG1108" s="6"/>
      <c r="CH1108" s="6"/>
      <c r="CI1108" s="6"/>
      <c r="CJ1108" s="6"/>
      <c r="CK1108" s="6"/>
      <c r="CL1108" s="6"/>
      <c r="CM1108" s="6"/>
      <c r="CN1108" s="6"/>
      <c r="CO1108" s="6"/>
      <c r="CP1108" s="6"/>
      <c r="CQ1108" s="6"/>
      <c r="CR1108" s="6"/>
      <c r="CS1108" s="6"/>
      <c r="CT1108" s="6"/>
      <c r="CU1108" s="6"/>
      <c r="CV1108" s="6"/>
      <c r="CW1108" s="6"/>
      <c r="CX1108" s="6"/>
      <c r="CY1108" s="6"/>
      <c r="CZ1108" s="6"/>
      <c r="DA1108" s="6"/>
      <c r="DB1108" s="6"/>
      <c r="DC1108" s="6"/>
      <c r="DD1108" s="6"/>
    </row>
    <row r="1109" spans="1:108" ht="12.75" hidden="1" customHeight="1" outlineLevel="6">
      <c r="A1109" s="104" t="s">
        <v>210</v>
      </c>
      <c r="B1109" s="6">
        <v>90</v>
      </c>
      <c r="C1109" s="20"/>
      <c r="D1109" s="18" t="str">
        <f t="shared" si="62"/>
        <v>&lt;Bot_Tan_Angle&gt;90.000000&lt;/Bot_Tan_Angle&gt;</v>
      </c>
      <c r="E1109" s="174" t="str">
        <f t="shared" si="60"/>
        <v>Yes</v>
      </c>
      <c r="F1109" s="6" t="s">
        <v>800</v>
      </c>
      <c r="G1109" s="6"/>
      <c r="H1109" s="6"/>
      <c r="I1109" s="6"/>
      <c r="J1109" s="6"/>
      <c r="K1109" s="6"/>
      <c r="L1109" s="6"/>
      <c r="M1109" s="6"/>
      <c r="N1109" s="6"/>
      <c r="O1109" s="6"/>
      <c r="P1109" s="6"/>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c r="BU1109" s="6"/>
      <c r="BV1109" s="6"/>
      <c r="BW1109" s="6"/>
      <c r="BX1109" s="6"/>
      <c r="BY1109" s="6"/>
      <c r="BZ1109" s="6"/>
      <c r="CA1109" s="6"/>
      <c r="CB1109" s="6"/>
      <c r="CC1109" s="6"/>
      <c r="CD1109" s="6"/>
      <c r="CE1109" s="6"/>
      <c r="CF1109" s="6"/>
      <c r="CG1109" s="6"/>
      <c r="CH1109" s="6"/>
      <c r="CI1109" s="6"/>
      <c r="CJ1109" s="6"/>
      <c r="CK1109" s="6"/>
      <c r="CL1109" s="6"/>
      <c r="CM1109" s="6"/>
      <c r="CN1109" s="6"/>
      <c r="CO1109" s="6"/>
      <c r="CP1109" s="6"/>
      <c r="CQ1109" s="6"/>
      <c r="CR1109" s="6"/>
      <c r="CS1109" s="6"/>
      <c r="CT1109" s="6"/>
      <c r="CU1109" s="6"/>
      <c r="CV1109" s="6"/>
      <c r="CW1109" s="6"/>
      <c r="CX1109" s="6"/>
      <c r="CY1109" s="6"/>
      <c r="CZ1109" s="6"/>
      <c r="DA1109" s="6"/>
      <c r="DB1109" s="6"/>
      <c r="DC1109" s="6"/>
      <c r="DD1109" s="6"/>
    </row>
    <row r="1110" spans="1:108" ht="12.75" hidden="1" customHeight="1" outlineLevel="6">
      <c r="A1110" s="104" t="s">
        <v>211</v>
      </c>
      <c r="B1110" s="6">
        <v>0.83</v>
      </c>
      <c r="C1110" s="20"/>
      <c r="D1110" s="18" t="str">
        <f t="shared" si="62"/>
        <v>&lt;Top_Tan_Strength&gt;0.830000&lt;/Top_Tan_Strength&gt;</v>
      </c>
      <c r="E1110" s="174" t="str">
        <f t="shared" si="60"/>
        <v>Yes</v>
      </c>
      <c r="F1110" s="6" t="s">
        <v>801</v>
      </c>
      <c r="G1110" s="6"/>
      <c r="H1110" s="6"/>
      <c r="I1110" s="6"/>
      <c r="J1110" s="6"/>
      <c r="K1110" s="6"/>
      <c r="L1110" s="6"/>
      <c r="M1110" s="6"/>
      <c r="N1110" s="6"/>
      <c r="O1110" s="6"/>
      <c r="P1110" s="6"/>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c r="BU1110" s="6"/>
      <c r="BV1110" s="6"/>
      <c r="BW1110" s="6"/>
      <c r="BX1110" s="6"/>
      <c r="BY1110" s="6"/>
      <c r="BZ1110" s="6"/>
      <c r="CA1110" s="6"/>
      <c r="CB1110" s="6"/>
      <c r="CC1110" s="6"/>
      <c r="CD1110" s="6"/>
      <c r="CE1110" s="6"/>
      <c r="CF1110" s="6"/>
      <c r="CG1110" s="6"/>
      <c r="CH1110" s="6"/>
      <c r="CI1110" s="6"/>
      <c r="CJ1110" s="6"/>
      <c r="CK1110" s="6"/>
      <c r="CL1110" s="6"/>
      <c r="CM1110" s="6"/>
      <c r="CN1110" s="6"/>
      <c r="CO1110" s="6"/>
      <c r="CP1110" s="6"/>
      <c r="CQ1110" s="6"/>
      <c r="CR1110" s="6"/>
      <c r="CS1110" s="6"/>
      <c r="CT1110" s="6"/>
      <c r="CU1110" s="6"/>
      <c r="CV1110" s="6"/>
      <c r="CW1110" s="6"/>
      <c r="CX1110" s="6"/>
      <c r="CY1110" s="6"/>
      <c r="CZ1110" s="6"/>
      <c r="DA1110" s="6"/>
      <c r="DB1110" s="6"/>
      <c r="DC1110" s="6"/>
      <c r="DD1110" s="6"/>
    </row>
    <row r="1111" spans="1:108" ht="12.75" hidden="1" customHeight="1" outlineLevel="6">
      <c r="A1111" s="104" t="s">
        <v>212</v>
      </c>
      <c r="B1111" s="6">
        <v>0.83</v>
      </c>
      <c r="C1111" s="20"/>
      <c r="D1111" s="18" t="str">
        <f t="shared" si="62"/>
        <v>&lt;Upper_Tan_Strength&gt;0.830000&lt;/Upper_Tan_Strength&gt;</v>
      </c>
      <c r="E1111" s="174" t="str">
        <f t="shared" si="60"/>
        <v>Yes</v>
      </c>
      <c r="F1111" s="6" t="s">
        <v>802</v>
      </c>
      <c r="G1111" s="6"/>
      <c r="H1111" s="6"/>
      <c r="I1111" s="6"/>
      <c r="J1111" s="6"/>
      <c r="K1111" s="6"/>
      <c r="L1111" s="6"/>
      <c r="M1111" s="6"/>
      <c r="N1111" s="6"/>
      <c r="O1111" s="6"/>
      <c r="P1111" s="6"/>
      <c r="Q1111" s="6"/>
      <c r="R1111" s="6"/>
      <c r="S1111" s="6"/>
      <c r="T1111" s="6"/>
      <c r="U1111" s="6"/>
      <c r="V1111" s="6"/>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c r="BU1111" s="6"/>
      <c r="BV1111" s="6"/>
      <c r="BW1111" s="6"/>
      <c r="BX1111" s="6"/>
      <c r="BY1111" s="6"/>
      <c r="BZ1111" s="6"/>
      <c r="CA1111" s="6"/>
      <c r="CB1111" s="6"/>
      <c r="CC1111" s="6"/>
      <c r="CD1111" s="6"/>
      <c r="CE1111" s="6"/>
      <c r="CF1111" s="6"/>
      <c r="CG1111" s="6"/>
      <c r="CH1111" s="6"/>
      <c r="CI1111" s="6"/>
      <c r="CJ1111" s="6"/>
      <c r="CK1111" s="6"/>
      <c r="CL1111" s="6"/>
      <c r="CM1111" s="6"/>
      <c r="CN1111" s="6"/>
      <c r="CO1111" s="6"/>
      <c r="CP1111" s="6"/>
      <c r="CQ1111" s="6"/>
      <c r="CR1111" s="6"/>
      <c r="CS1111" s="6"/>
      <c r="CT1111" s="6"/>
      <c r="CU1111" s="6"/>
      <c r="CV1111" s="6"/>
      <c r="CW1111" s="6"/>
      <c r="CX1111" s="6"/>
      <c r="CY1111" s="6"/>
      <c r="CZ1111" s="6"/>
      <c r="DA1111" s="6"/>
      <c r="DB1111" s="6"/>
      <c r="DC1111" s="6"/>
      <c r="DD1111" s="6"/>
    </row>
    <row r="1112" spans="1:108" ht="12.75" hidden="1" customHeight="1" outlineLevel="6">
      <c r="A1112" s="104" t="s">
        <v>213</v>
      </c>
      <c r="B1112" s="6">
        <v>0.83</v>
      </c>
      <c r="C1112" s="20"/>
      <c r="D1112" s="18" t="str">
        <f t="shared" si="62"/>
        <v>&lt;Lower_Tan_Strength&gt;0.830000&lt;/Lower_Tan_Strength&gt;</v>
      </c>
      <c r="E1112" s="174" t="str">
        <f t="shared" si="60"/>
        <v>Yes</v>
      </c>
      <c r="F1112" s="6" t="s">
        <v>803</v>
      </c>
      <c r="G1112" s="6"/>
      <c r="H1112" s="6"/>
      <c r="I1112" s="6"/>
      <c r="J1112" s="6"/>
      <c r="K1112" s="6"/>
      <c r="L1112" s="6"/>
      <c r="M1112" s="6"/>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c r="BU1112" s="6"/>
      <c r="BV1112" s="6"/>
      <c r="BW1112" s="6"/>
      <c r="BX1112" s="6"/>
      <c r="BY1112" s="6"/>
      <c r="BZ1112" s="6"/>
      <c r="CA1112" s="6"/>
      <c r="CB1112" s="6"/>
      <c r="CC1112" s="6"/>
      <c r="CD1112" s="6"/>
      <c r="CE1112" s="6"/>
      <c r="CF1112" s="6"/>
      <c r="CG1112" s="6"/>
      <c r="CH1112" s="6"/>
      <c r="CI1112" s="6"/>
      <c r="CJ1112" s="6"/>
      <c r="CK1112" s="6"/>
      <c r="CL1112" s="6"/>
      <c r="CM1112" s="6"/>
      <c r="CN1112" s="6"/>
      <c r="CO1112" s="6"/>
      <c r="CP1112" s="6"/>
      <c r="CQ1112" s="6"/>
      <c r="CR1112" s="6"/>
      <c r="CS1112" s="6"/>
      <c r="CT1112" s="6"/>
      <c r="CU1112" s="6"/>
      <c r="CV1112" s="6"/>
      <c r="CW1112" s="6"/>
      <c r="CX1112" s="6"/>
      <c r="CY1112" s="6"/>
      <c r="CZ1112" s="6"/>
      <c r="DA1112" s="6"/>
      <c r="DB1112" s="6"/>
      <c r="DC1112" s="6"/>
      <c r="DD1112" s="6"/>
    </row>
    <row r="1113" spans="1:108" ht="12.75" hidden="1" customHeight="1" outlineLevel="6">
      <c r="A1113" s="104" t="s">
        <v>214</v>
      </c>
      <c r="B1113" s="6">
        <v>0.83</v>
      </c>
      <c r="C1113" s="20"/>
      <c r="D1113" s="18" t="str">
        <f t="shared" si="62"/>
        <v>&lt;Bottom_Tan_Strength&gt;0.830000&lt;/Bottom_Tan_Strength&gt;</v>
      </c>
      <c r="E1113" s="174" t="str">
        <f t="shared" si="60"/>
        <v>Yes</v>
      </c>
      <c r="F1113" s="6" t="s">
        <v>804</v>
      </c>
      <c r="G1113" s="6"/>
      <c r="H1113" s="6"/>
      <c r="I1113" s="6"/>
      <c r="J1113" s="6"/>
      <c r="K1113" s="6"/>
      <c r="L1113" s="6"/>
      <c r="M1113" s="6"/>
      <c r="N1113" s="6"/>
      <c r="O1113" s="6"/>
      <c r="P1113" s="6"/>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c r="BU1113" s="6"/>
      <c r="BV1113" s="6"/>
      <c r="BW1113" s="6"/>
      <c r="BX1113" s="6"/>
      <c r="BY1113" s="6"/>
      <c r="BZ1113" s="6"/>
      <c r="CA1113" s="6"/>
      <c r="CB1113" s="6"/>
      <c r="CC1113" s="6"/>
      <c r="CD1113" s="6"/>
      <c r="CE1113" s="6"/>
      <c r="CF1113" s="6"/>
      <c r="CG1113" s="6"/>
      <c r="CH1113" s="6"/>
      <c r="CI1113" s="6"/>
      <c r="CJ1113" s="6"/>
      <c r="CK1113" s="6"/>
      <c r="CL1113" s="6"/>
      <c r="CM1113" s="6"/>
      <c r="CN1113" s="6"/>
      <c r="CO1113" s="6"/>
      <c r="CP1113" s="6"/>
      <c r="CQ1113" s="6"/>
      <c r="CR1113" s="6"/>
      <c r="CS1113" s="6"/>
      <c r="CT1113" s="6"/>
      <c r="CU1113" s="6"/>
      <c r="CV1113" s="6"/>
      <c r="CW1113" s="6"/>
      <c r="CX1113" s="6"/>
      <c r="CY1113" s="6"/>
      <c r="CZ1113" s="6"/>
      <c r="DA1113" s="6"/>
      <c r="DB1113" s="6"/>
      <c r="DC1113" s="6"/>
      <c r="DD1113" s="6"/>
    </row>
    <row r="1114" spans="1:108" ht="12.75" hidden="1" customHeight="1" outlineLevel="6">
      <c r="A1114" s="104" t="s">
        <v>217</v>
      </c>
      <c r="C1114" s="20"/>
      <c r="D1114" s="6" t="str">
        <f>"&lt;" &amp; A1114 &amp; "&gt;"</f>
        <v>&lt;/IML_Parms&gt;</v>
      </c>
      <c r="E1114" s="174" t="str">
        <f t="shared" si="60"/>
        <v>Yes</v>
      </c>
      <c r="F1114" s="6" t="s">
        <v>810</v>
      </c>
      <c r="G1114" s="6"/>
      <c r="H1114" s="6"/>
      <c r="I1114" s="6"/>
      <c r="J1114" s="6"/>
      <c r="K1114" s="6"/>
      <c r="L1114" s="6"/>
      <c r="M1114" s="6"/>
      <c r="N1114" s="6"/>
      <c r="O1114" s="6"/>
      <c r="P1114" s="6"/>
      <c r="Q1114" s="6"/>
      <c r="R1114" s="6"/>
      <c r="S1114" s="6"/>
      <c r="T1114" s="6"/>
      <c r="U1114" s="6"/>
      <c r="V1114" s="6"/>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c r="BU1114" s="6"/>
      <c r="BV1114" s="6"/>
      <c r="BW1114" s="6"/>
      <c r="BX1114" s="6"/>
      <c r="BY1114" s="6"/>
      <c r="BZ1114" s="6"/>
      <c r="CA1114" s="6"/>
      <c r="CB1114" s="6"/>
      <c r="CC1114" s="6"/>
      <c r="CD1114" s="6"/>
      <c r="CE1114" s="6"/>
      <c r="CF1114" s="6"/>
      <c r="CG1114" s="6"/>
      <c r="CH1114" s="6"/>
      <c r="CI1114" s="6"/>
      <c r="CJ1114" s="6"/>
      <c r="CK1114" s="6"/>
      <c r="CL1114" s="6"/>
      <c r="CM1114" s="6"/>
      <c r="CN1114" s="6"/>
      <c r="CO1114" s="6"/>
      <c r="CP1114" s="6"/>
      <c r="CQ1114" s="6"/>
      <c r="CR1114" s="6"/>
      <c r="CS1114" s="6"/>
      <c r="CT1114" s="6"/>
      <c r="CU1114" s="6"/>
      <c r="CV1114" s="6"/>
      <c r="CW1114" s="6"/>
      <c r="CX1114" s="6"/>
      <c r="CY1114" s="6"/>
      <c r="CZ1114" s="6"/>
      <c r="DA1114" s="6"/>
      <c r="DB1114" s="6"/>
      <c r="DC1114" s="6"/>
      <c r="DD1114" s="6"/>
    </row>
    <row r="1115" spans="1:108" ht="12.75" hidden="1" customHeight="1" outlineLevel="5">
      <c r="A1115" s="104" t="s">
        <v>218</v>
      </c>
      <c r="C1115" s="20"/>
      <c r="D1115" s="6" t="str">
        <f>"&lt;" &amp; A1115 &amp; "&gt;"</f>
        <v>&lt;/Cross_Section&gt;</v>
      </c>
      <c r="E1115" s="174" t="str">
        <f t="shared" si="60"/>
        <v>Yes</v>
      </c>
      <c r="F1115" s="6" t="s">
        <v>811</v>
      </c>
      <c r="G1115" s="6"/>
      <c r="H1115" s="6"/>
      <c r="I1115" s="6"/>
      <c r="J1115" s="6"/>
      <c r="K1115" s="6"/>
      <c r="L1115" s="6"/>
      <c r="M1115" s="6"/>
      <c r="N1115" s="6"/>
      <c r="O1115" s="6"/>
      <c r="P1115" s="6"/>
      <c r="Q1115" s="6"/>
      <c r="R1115" s="6"/>
      <c r="S1115" s="6"/>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c r="BU1115" s="6"/>
      <c r="BV1115" s="6"/>
      <c r="BW1115" s="6"/>
      <c r="BX1115" s="6"/>
      <c r="BY1115" s="6"/>
      <c r="BZ1115" s="6"/>
      <c r="CA1115" s="6"/>
      <c r="CB1115" s="6"/>
      <c r="CC1115" s="6"/>
      <c r="CD1115" s="6"/>
      <c r="CE1115" s="6"/>
      <c r="CF1115" s="6"/>
      <c r="CG1115" s="6"/>
      <c r="CH1115" s="6"/>
      <c r="CI1115" s="6"/>
      <c r="CJ1115" s="6"/>
      <c r="CK1115" s="6"/>
      <c r="CL1115" s="6"/>
      <c r="CM1115" s="6"/>
      <c r="CN1115" s="6"/>
      <c r="CO1115" s="6"/>
      <c r="CP1115" s="6"/>
      <c r="CQ1115" s="6"/>
      <c r="CR1115" s="6"/>
      <c r="CS1115" s="6"/>
      <c r="CT1115" s="6"/>
      <c r="CU1115" s="6"/>
      <c r="CV1115" s="6"/>
      <c r="CW1115" s="6"/>
      <c r="CX1115" s="6"/>
      <c r="CY1115" s="6"/>
      <c r="CZ1115" s="6"/>
      <c r="DA1115" s="6"/>
      <c r="DB1115" s="6"/>
      <c r="DC1115" s="6"/>
      <c r="DD1115" s="6"/>
    </row>
    <row r="1116" spans="1:108" ht="12.75" hidden="1" customHeight="1" outlineLevel="4">
      <c r="A1116" s="104" t="s">
        <v>188</v>
      </c>
      <c r="B1116" s="99" t="s">
        <v>397</v>
      </c>
      <c r="C1116" s="20"/>
      <c r="D1116" s="6" t="str">
        <f>"&lt;" &amp; A1116 &amp; "&gt;"</f>
        <v>&lt;Cross_Section&gt;</v>
      </c>
      <c r="E1116" s="174" t="str">
        <f t="shared" si="60"/>
        <v>Yes</v>
      </c>
      <c r="F1116" s="6" t="s">
        <v>776</v>
      </c>
      <c r="G1116" s="6"/>
      <c r="H1116" s="6"/>
      <c r="I1116" s="6"/>
      <c r="J1116" s="6"/>
      <c r="K1116" s="6"/>
      <c r="L1116" s="6"/>
      <c r="M1116" s="6"/>
      <c r="N1116" s="6"/>
      <c r="O1116" s="6"/>
      <c r="P1116" s="6"/>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c r="BU1116" s="6"/>
      <c r="BV1116" s="6"/>
      <c r="BW1116" s="6"/>
      <c r="BX1116" s="6"/>
      <c r="BY1116" s="6"/>
      <c r="BZ1116" s="6"/>
      <c r="CA1116" s="6"/>
      <c r="CB1116" s="6"/>
      <c r="CC1116" s="6"/>
      <c r="CD1116" s="6"/>
      <c r="CE1116" s="6"/>
      <c r="CF1116" s="6"/>
      <c r="CG1116" s="6"/>
      <c r="CH1116" s="6"/>
      <c r="CI1116" s="6"/>
      <c r="CJ1116" s="6"/>
      <c r="CK1116" s="6"/>
      <c r="CL1116" s="6"/>
      <c r="CM1116" s="6"/>
      <c r="CN1116" s="6"/>
      <c r="CO1116" s="6"/>
      <c r="CP1116" s="6"/>
      <c r="CQ1116" s="6"/>
      <c r="CR1116" s="6"/>
      <c r="CS1116" s="6"/>
      <c r="CT1116" s="6"/>
      <c r="CU1116" s="6"/>
      <c r="CV1116" s="6"/>
      <c r="CW1116" s="6"/>
      <c r="CX1116" s="6"/>
      <c r="CY1116" s="6"/>
      <c r="CZ1116" s="6"/>
      <c r="DA1116" s="6"/>
      <c r="DB1116" s="6"/>
      <c r="DC1116" s="6"/>
      <c r="DD1116" s="6"/>
    </row>
    <row r="1117" spans="1:108" ht="12.75" hidden="1" customHeight="1" outlineLevel="5">
      <c r="A1117" s="104" t="s">
        <v>189</v>
      </c>
      <c r="B1117" s="108">
        <v>45</v>
      </c>
      <c r="C1117" s="20"/>
      <c r="D1117" s="18" t="str">
        <f>"&lt;" &amp; A1117 &amp; "&gt;" &amp; TEXT(B1117,0) &amp; "&lt;/" &amp; A1117 &amp; "&gt;"</f>
        <v>&lt;Num_Pnts&gt;45&lt;/Num_Pnts&gt;</v>
      </c>
      <c r="E1117" s="174" t="str">
        <f t="shared" si="60"/>
        <v>Yes</v>
      </c>
      <c r="F1117" s="6" t="s">
        <v>777</v>
      </c>
      <c r="G1117" s="6"/>
      <c r="H1117" s="6"/>
      <c r="I1117" s="6"/>
      <c r="J1117" s="6"/>
      <c r="K1117" s="6"/>
      <c r="L1117" s="6"/>
      <c r="M1117" s="6"/>
      <c r="N1117" s="6"/>
      <c r="O1117" s="6"/>
      <c r="P1117" s="6"/>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c r="BU1117" s="6"/>
      <c r="BV1117" s="6"/>
      <c r="BW1117" s="6"/>
      <c r="BX1117" s="6"/>
      <c r="BY1117" s="6"/>
      <c r="BZ1117" s="6"/>
      <c r="CA1117" s="6"/>
      <c r="CB1117" s="6"/>
      <c r="CC1117" s="6"/>
      <c r="CD1117" s="6"/>
      <c r="CE1117" s="6"/>
      <c r="CF1117" s="6"/>
      <c r="CG1117" s="6"/>
      <c r="CH1117" s="6"/>
      <c r="CI1117" s="6"/>
      <c r="CJ1117" s="6"/>
      <c r="CK1117" s="6"/>
      <c r="CL1117" s="6"/>
      <c r="CM1117" s="6"/>
      <c r="CN1117" s="6"/>
      <c r="CO1117" s="6"/>
      <c r="CP1117" s="6"/>
      <c r="CQ1117" s="6"/>
      <c r="CR1117" s="6"/>
      <c r="CS1117" s="6"/>
      <c r="CT1117" s="6"/>
      <c r="CU1117" s="6"/>
      <c r="CV1117" s="6"/>
      <c r="CW1117" s="6"/>
      <c r="CX1117" s="6"/>
      <c r="CY1117" s="6"/>
      <c r="CZ1117" s="6"/>
      <c r="DA1117" s="6"/>
      <c r="DB1117" s="6"/>
      <c r="DC1117" s="6"/>
      <c r="DD1117" s="6"/>
    </row>
    <row r="1118" spans="1:108" ht="12.75" hidden="1" customHeight="1" outlineLevel="5">
      <c r="A1118" s="104" t="s">
        <v>190</v>
      </c>
      <c r="B1118" s="36">
        <v>0.984155</v>
      </c>
      <c r="C1118" s="20"/>
      <c r="D1118" s="18" t="str">
        <f t="shared" ref="D1118:D1127" si="63">"&lt;" &amp; A1118 &amp; "&gt;" &amp; TEXT(B1118,"0.000000") &amp; "&lt;/" &amp; A1118 &amp; "&gt;"</f>
        <v>&lt;Spine_Location&gt;0.984155&lt;/Spine_Location&gt;</v>
      </c>
      <c r="E1118" s="174" t="str">
        <f t="shared" si="60"/>
        <v>Yes</v>
      </c>
      <c r="F1118" s="6" t="s">
        <v>837</v>
      </c>
      <c r="G1118" s="6"/>
      <c r="H1118" s="6"/>
      <c r="I1118" s="6"/>
      <c r="J1118" s="6"/>
      <c r="K1118" s="6"/>
      <c r="L1118" s="6"/>
      <c r="M1118" s="6"/>
      <c r="N1118" s="6"/>
      <c r="O1118" s="6"/>
      <c r="P1118" s="6"/>
      <c r="Q1118" s="6"/>
      <c r="R1118" s="6"/>
      <c r="S1118" s="6"/>
      <c r="T1118" s="6"/>
      <c r="U1118" s="6"/>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c r="BU1118" s="6"/>
      <c r="BV1118" s="6"/>
      <c r="BW1118" s="6"/>
      <c r="BX1118" s="6"/>
      <c r="BY1118" s="6"/>
      <c r="BZ1118" s="6"/>
      <c r="CA1118" s="6"/>
      <c r="CB1118" s="6"/>
      <c r="CC1118" s="6"/>
      <c r="CD1118" s="6"/>
      <c r="CE1118" s="6"/>
      <c r="CF1118" s="6"/>
      <c r="CG1118" s="6"/>
      <c r="CH1118" s="6"/>
      <c r="CI1118" s="6"/>
      <c r="CJ1118" s="6"/>
      <c r="CK1118" s="6"/>
      <c r="CL1118" s="6"/>
      <c r="CM1118" s="6"/>
      <c r="CN1118" s="6"/>
      <c r="CO1118" s="6"/>
      <c r="CP1118" s="6"/>
      <c r="CQ1118" s="6"/>
      <c r="CR1118" s="6"/>
      <c r="CS1118" s="6"/>
      <c r="CT1118" s="6"/>
      <c r="CU1118" s="6"/>
      <c r="CV1118" s="6"/>
      <c r="CW1118" s="6"/>
      <c r="CX1118" s="6"/>
      <c r="CY1118" s="6"/>
      <c r="CZ1118" s="6"/>
      <c r="DA1118" s="6"/>
      <c r="DB1118" s="6"/>
      <c r="DC1118" s="6"/>
      <c r="DD1118" s="6"/>
    </row>
    <row r="1119" spans="1:108" ht="12.75" hidden="1" customHeight="1" outlineLevel="5">
      <c r="A1119" s="104" t="s">
        <v>191</v>
      </c>
      <c r="B1119" s="36">
        <f>($B$1045-B1137)/2</f>
        <v>1.3266</v>
      </c>
      <c r="C1119" s="20"/>
      <c r="D1119" s="18" t="str">
        <f t="shared" si="63"/>
        <v>&lt;Z_Offset&gt;1.326600&lt;/Z_Offset&gt;</v>
      </c>
      <c r="E1119" s="174" t="str">
        <f t="shared" si="60"/>
        <v>Yes</v>
      </c>
      <c r="F1119" s="6" t="s">
        <v>838</v>
      </c>
      <c r="G1119" s="6"/>
      <c r="H1119" s="6"/>
      <c r="I1119" s="6"/>
      <c r="J1119" s="6"/>
      <c r="K1119" s="6"/>
      <c r="L1119" s="6"/>
      <c r="M1119" s="6"/>
      <c r="N1119" s="6"/>
      <c r="O1119" s="6"/>
      <c r="P1119" s="6"/>
      <c r="Q1119" s="6"/>
      <c r="R1119" s="6"/>
      <c r="S1119" s="6"/>
      <c r="T1119" s="6"/>
      <c r="U1119" s="6"/>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c r="BU1119" s="6"/>
      <c r="BV1119" s="6"/>
      <c r="BW1119" s="6"/>
      <c r="BX1119" s="6"/>
      <c r="BY1119" s="6"/>
      <c r="BZ1119" s="6"/>
      <c r="CA1119" s="6"/>
      <c r="CB1119" s="6"/>
      <c r="CC1119" s="6"/>
      <c r="CD1119" s="6"/>
      <c r="CE1119" s="6"/>
      <c r="CF1119" s="6"/>
      <c r="CG1119" s="6"/>
      <c r="CH1119" s="6"/>
      <c r="CI1119" s="6"/>
      <c r="CJ1119" s="6"/>
      <c r="CK1119" s="6"/>
      <c r="CL1119" s="6"/>
      <c r="CM1119" s="6"/>
      <c r="CN1119" s="6"/>
      <c r="CO1119" s="6"/>
      <c r="CP1119" s="6"/>
      <c r="CQ1119" s="6"/>
      <c r="CR1119" s="6"/>
      <c r="CS1119" s="6"/>
      <c r="CT1119" s="6"/>
      <c r="CU1119" s="6"/>
      <c r="CV1119" s="6"/>
      <c r="CW1119" s="6"/>
      <c r="CX1119" s="6"/>
      <c r="CY1119" s="6"/>
      <c r="CZ1119" s="6"/>
      <c r="DA1119" s="6"/>
      <c r="DB1119" s="6"/>
      <c r="DC1119" s="6"/>
      <c r="DD1119" s="6"/>
    </row>
    <row r="1120" spans="1:108" ht="12.75" hidden="1" customHeight="1" outlineLevel="5">
      <c r="A1120" s="104" t="s">
        <v>192</v>
      </c>
      <c r="B1120" s="108">
        <v>0.5</v>
      </c>
      <c r="C1120" s="20"/>
      <c r="D1120" s="18" t="str">
        <f t="shared" si="63"/>
        <v>&lt;Top_Thick&gt;0.500000&lt;/Top_Thick&gt;</v>
      </c>
      <c r="E1120" s="174" t="str">
        <f t="shared" si="60"/>
        <v>Yes</v>
      </c>
      <c r="F1120" s="6" t="s">
        <v>780</v>
      </c>
      <c r="G1120" s="6"/>
      <c r="H1120" s="6"/>
      <c r="I1120" s="6"/>
      <c r="J1120" s="6"/>
      <c r="K1120" s="6"/>
      <c r="L1120" s="6"/>
      <c r="M1120" s="6"/>
      <c r="N1120" s="6"/>
      <c r="O1120" s="6"/>
      <c r="P1120" s="6"/>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c r="BU1120" s="6"/>
      <c r="BV1120" s="6"/>
      <c r="BW1120" s="6"/>
      <c r="BX1120" s="6"/>
      <c r="BY1120" s="6"/>
      <c r="BZ1120" s="6"/>
      <c r="CA1120" s="6"/>
      <c r="CB1120" s="6"/>
      <c r="CC1120" s="6"/>
      <c r="CD1120" s="6"/>
      <c r="CE1120" s="6"/>
      <c r="CF1120" s="6"/>
      <c r="CG1120" s="6"/>
      <c r="CH1120" s="6"/>
      <c r="CI1120" s="6"/>
      <c r="CJ1120" s="6"/>
      <c r="CK1120" s="6"/>
      <c r="CL1120" s="6"/>
      <c r="CM1120" s="6"/>
      <c r="CN1120" s="6"/>
      <c r="CO1120" s="6"/>
      <c r="CP1120" s="6"/>
      <c r="CQ1120" s="6"/>
      <c r="CR1120" s="6"/>
      <c r="CS1120" s="6"/>
      <c r="CT1120" s="6"/>
      <c r="CU1120" s="6"/>
      <c r="CV1120" s="6"/>
      <c r="CW1120" s="6"/>
      <c r="CX1120" s="6"/>
      <c r="CY1120" s="6"/>
      <c r="CZ1120" s="6"/>
      <c r="DA1120" s="6"/>
      <c r="DB1120" s="6"/>
      <c r="DC1120" s="6"/>
      <c r="DD1120" s="6"/>
    </row>
    <row r="1121" spans="1:108" ht="12.75" hidden="1" customHeight="1" outlineLevel="5">
      <c r="A1121" s="104" t="s">
        <v>193</v>
      </c>
      <c r="B1121" s="108">
        <v>0.5</v>
      </c>
      <c r="C1121" s="20"/>
      <c r="D1121" s="18" t="str">
        <f t="shared" si="63"/>
        <v>&lt;Bot_Thick&gt;0.500000&lt;/Bot_Thick&gt;</v>
      </c>
      <c r="E1121" s="174" t="str">
        <f t="shared" si="60"/>
        <v>Yes</v>
      </c>
      <c r="F1121" s="6" t="s">
        <v>781</v>
      </c>
      <c r="G1121" s="6"/>
      <c r="H1121" s="6"/>
      <c r="I1121" s="6"/>
      <c r="J1121" s="6"/>
      <c r="K1121" s="6"/>
      <c r="L1121" s="6"/>
      <c r="M1121" s="6"/>
      <c r="N1121" s="6"/>
      <c r="O1121" s="6"/>
      <c r="P1121" s="6"/>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c r="BU1121" s="6"/>
      <c r="BV1121" s="6"/>
      <c r="BW1121" s="6"/>
      <c r="BX1121" s="6"/>
      <c r="BY1121" s="6"/>
      <c r="BZ1121" s="6"/>
      <c r="CA1121" s="6"/>
      <c r="CB1121" s="6"/>
      <c r="CC1121" s="6"/>
      <c r="CD1121" s="6"/>
      <c r="CE1121" s="6"/>
      <c r="CF1121" s="6"/>
      <c r="CG1121" s="6"/>
      <c r="CH1121" s="6"/>
      <c r="CI1121" s="6"/>
      <c r="CJ1121" s="6"/>
      <c r="CK1121" s="6"/>
      <c r="CL1121" s="6"/>
      <c r="CM1121" s="6"/>
      <c r="CN1121" s="6"/>
      <c r="CO1121" s="6"/>
      <c r="CP1121" s="6"/>
      <c r="CQ1121" s="6"/>
      <c r="CR1121" s="6"/>
      <c r="CS1121" s="6"/>
      <c r="CT1121" s="6"/>
      <c r="CU1121" s="6"/>
      <c r="CV1121" s="6"/>
      <c r="CW1121" s="6"/>
      <c r="CX1121" s="6"/>
      <c r="CY1121" s="6"/>
      <c r="CZ1121" s="6"/>
      <c r="DA1121" s="6"/>
      <c r="DB1121" s="6"/>
      <c r="DC1121" s="6"/>
      <c r="DD1121" s="6"/>
    </row>
    <row r="1122" spans="1:108" ht="12.75" hidden="1" customHeight="1" outlineLevel="5">
      <c r="A1122" s="104" t="s">
        <v>194</v>
      </c>
      <c r="B1122" s="108">
        <v>0.5</v>
      </c>
      <c r="C1122" s="20"/>
      <c r="D1122" s="18" t="str">
        <f t="shared" si="63"/>
        <v>&lt;Side_Thick&gt;0.500000&lt;/Side_Thick&gt;</v>
      </c>
      <c r="E1122" s="174" t="str">
        <f t="shared" si="60"/>
        <v>Yes</v>
      </c>
      <c r="F1122" s="6" t="s">
        <v>782</v>
      </c>
      <c r="G1122" s="6"/>
      <c r="H1122" s="6"/>
      <c r="I1122" s="6"/>
      <c r="J1122" s="6"/>
      <c r="K1122" s="6"/>
      <c r="L1122" s="6"/>
      <c r="M1122" s="6"/>
      <c r="N1122" s="6"/>
      <c r="O1122" s="6"/>
      <c r="P1122" s="6"/>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c r="BU1122" s="6"/>
      <c r="BV1122" s="6"/>
      <c r="BW1122" s="6"/>
      <c r="BX1122" s="6"/>
      <c r="BY1122" s="6"/>
      <c r="BZ1122" s="6"/>
      <c r="CA1122" s="6"/>
      <c r="CB1122" s="6"/>
      <c r="CC1122" s="6"/>
      <c r="CD1122" s="6"/>
      <c r="CE1122" s="6"/>
      <c r="CF1122" s="6"/>
      <c r="CG1122" s="6"/>
      <c r="CH1122" s="6"/>
      <c r="CI1122" s="6"/>
      <c r="CJ1122" s="6"/>
      <c r="CK1122" s="6"/>
      <c r="CL1122" s="6"/>
      <c r="CM1122" s="6"/>
      <c r="CN1122" s="6"/>
      <c r="CO1122" s="6"/>
      <c r="CP1122" s="6"/>
      <c r="CQ1122" s="6"/>
      <c r="CR1122" s="6"/>
      <c r="CS1122" s="6"/>
      <c r="CT1122" s="6"/>
      <c r="CU1122" s="6"/>
      <c r="CV1122" s="6"/>
      <c r="CW1122" s="6"/>
      <c r="CX1122" s="6"/>
      <c r="CY1122" s="6"/>
      <c r="CZ1122" s="6"/>
      <c r="DA1122" s="6"/>
      <c r="DB1122" s="6"/>
      <c r="DC1122" s="6"/>
      <c r="DD1122" s="6"/>
    </row>
    <row r="1123" spans="1:108" ht="12.75" hidden="1" customHeight="1" outlineLevel="5">
      <c r="A1123" s="104" t="s">
        <v>195</v>
      </c>
      <c r="B1123" s="108">
        <v>0.5</v>
      </c>
      <c r="C1123" s="20"/>
      <c r="D1123" s="18" t="str">
        <f t="shared" si="63"/>
        <v>&lt;Act_Top_Thick&gt;0.500000&lt;/Act_Top_Thick&gt;</v>
      </c>
      <c r="E1123" s="174" t="str">
        <f t="shared" si="60"/>
        <v>Yes</v>
      </c>
      <c r="F1123" s="6" t="s">
        <v>783</v>
      </c>
      <c r="G1123" s="6"/>
      <c r="H1123" s="6"/>
      <c r="I1123" s="6"/>
      <c r="J1123" s="6"/>
      <c r="K1123" s="6"/>
      <c r="L1123" s="6"/>
      <c r="M1123" s="6"/>
      <c r="N1123" s="6"/>
      <c r="O1123" s="6"/>
      <c r="P1123" s="6"/>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c r="BU1123" s="6"/>
      <c r="BV1123" s="6"/>
      <c r="BW1123" s="6"/>
      <c r="BX1123" s="6"/>
      <c r="BY1123" s="6"/>
      <c r="BZ1123" s="6"/>
      <c r="CA1123" s="6"/>
      <c r="CB1123" s="6"/>
      <c r="CC1123" s="6"/>
      <c r="CD1123" s="6"/>
      <c r="CE1123" s="6"/>
      <c r="CF1123" s="6"/>
      <c r="CG1123" s="6"/>
      <c r="CH1123" s="6"/>
      <c r="CI1123" s="6"/>
      <c r="CJ1123" s="6"/>
      <c r="CK1123" s="6"/>
      <c r="CL1123" s="6"/>
      <c r="CM1123" s="6"/>
      <c r="CN1123" s="6"/>
      <c r="CO1123" s="6"/>
      <c r="CP1123" s="6"/>
      <c r="CQ1123" s="6"/>
      <c r="CR1123" s="6"/>
      <c r="CS1123" s="6"/>
      <c r="CT1123" s="6"/>
      <c r="CU1123" s="6"/>
      <c r="CV1123" s="6"/>
      <c r="CW1123" s="6"/>
      <c r="CX1123" s="6"/>
      <c r="CY1123" s="6"/>
      <c r="CZ1123" s="6"/>
      <c r="DA1123" s="6"/>
      <c r="DB1123" s="6"/>
      <c r="DC1123" s="6"/>
      <c r="DD1123" s="6"/>
    </row>
    <row r="1124" spans="1:108" ht="12.75" hidden="1" customHeight="1" outlineLevel="5">
      <c r="A1124" s="104" t="s">
        <v>196</v>
      </c>
      <c r="B1124" s="108">
        <v>0.5</v>
      </c>
      <c r="C1124" s="20"/>
      <c r="D1124" s="18" t="str">
        <f t="shared" si="63"/>
        <v>&lt;Act_Bot_Thick&gt;0.500000&lt;/Act_Bot_Thick&gt;</v>
      </c>
      <c r="E1124" s="174" t="str">
        <f t="shared" si="60"/>
        <v>Yes</v>
      </c>
      <c r="F1124" s="6" t="s">
        <v>784</v>
      </c>
      <c r="G1124" s="6"/>
      <c r="H1124" s="6"/>
      <c r="I1124" s="6"/>
      <c r="J1124" s="6"/>
      <c r="K1124" s="6"/>
      <c r="L1124" s="6"/>
      <c r="M1124" s="6"/>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c r="BU1124" s="6"/>
      <c r="BV1124" s="6"/>
      <c r="BW1124" s="6"/>
      <c r="BX1124" s="6"/>
      <c r="BY1124" s="6"/>
      <c r="BZ1124" s="6"/>
      <c r="CA1124" s="6"/>
      <c r="CB1124" s="6"/>
      <c r="CC1124" s="6"/>
      <c r="CD1124" s="6"/>
      <c r="CE1124" s="6"/>
      <c r="CF1124" s="6"/>
      <c r="CG1124" s="6"/>
      <c r="CH1124" s="6"/>
      <c r="CI1124" s="6"/>
      <c r="CJ1124" s="6"/>
      <c r="CK1124" s="6"/>
      <c r="CL1124" s="6"/>
      <c r="CM1124" s="6"/>
      <c r="CN1124" s="6"/>
      <c r="CO1124" s="6"/>
      <c r="CP1124" s="6"/>
      <c r="CQ1124" s="6"/>
      <c r="CR1124" s="6"/>
      <c r="CS1124" s="6"/>
      <c r="CT1124" s="6"/>
      <c r="CU1124" s="6"/>
      <c r="CV1124" s="6"/>
      <c r="CW1124" s="6"/>
      <c r="CX1124" s="6"/>
      <c r="CY1124" s="6"/>
      <c r="CZ1124" s="6"/>
      <c r="DA1124" s="6"/>
      <c r="DB1124" s="6"/>
      <c r="DC1124" s="6"/>
      <c r="DD1124" s="6"/>
    </row>
    <row r="1125" spans="1:108" ht="12.75" hidden="1" customHeight="1" outlineLevel="5">
      <c r="A1125" s="104" t="s">
        <v>197</v>
      </c>
      <c r="B1125" s="108">
        <v>0.5</v>
      </c>
      <c r="C1125" s="20"/>
      <c r="D1125" s="18" t="str">
        <f t="shared" si="63"/>
        <v>&lt;Act_Side_Thick&gt;0.500000&lt;/Act_Side_Thick&gt;</v>
      </c>
      <c r="E1125" s="174" t="str">
        <f t="shared" si="60"/>
        <v>Yes</v>
      </c>
      <c r="F1125" s="6" t="s">
        <v>785</v>
      </c>
      <c r="G1125" s="6"/>
      <c r="H1125" s="6"/>
      <c r="I1125" s="6"/>
      <c r="J1125" s="6"/>
      <c r="K1125" s="6"/>
      <c r="L1125" s="6"/>
      <c r="M1125" s="6"/>
      <c r="N1125" s="6"/>
      <c r="O1125" s="6"/>
      <c r="P1125" s="6"/>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c r="BU1125" s="6"/>
      <c r="BV1125" s="6"/>
      <c r="BW1125" s="6"/>
      <c r="BX1125" s="6"/>
      <c r="BY1125" s="6"/>
      <c r="BZ1125" s="6"/>
      <c r="CA1125" s="6"/>
      <c r="CB1125" s="6"/>
      <c r="CC1125" s="6"/>
      <c r="CD1125" s="6"/>
      <c r="CE1125" s="6"/>
      <c r="CF1125" s="6"/>
      <c r="CG1125" s="6"/>
      <c r="CH1125" s="6"/>
      <c r="CI1125" s="6"/>
      <c r="CJ1125" s="6"/>
      <c r="CK1125" s="6"/>
      <c r="CL1125" s="6"/>
      <c r="CM1125" s="6"/>
      <c r="CN1125" s="6"/>
      <c r="CO1125" s="6"/>
      <c r="CP1125" s="6"/>
      <c r="CQ1125" s="6"/>
      <c r="CR1125" s="6"/>
      <c r="CS1125" s="6"/>
      <c r="CT1125" s="6"/>
      <c r="CU1125" s="6"/>
      <c r="CV1125" s="6"/>
      <c r="CW1125" s="6"/>
      <c r="CX1125" s="6"/>
      <c r="CY1125" s="6"/>
      <c r="CZ1125" s="6"/>
      <c r="DA1125" s="6"/>
      <c r="DB1125" s="6"/>
      <c r="DC1125" s="6"/>
      <c r="DD1125" s="6"/>
    </row>
    <row r="1126" spans="1:108" ht="12.75" hidden="1" customHeight="1" outlineLevel="5">
      <c r="A1126" s="104" t="s">
        <v>198</v>
      </c>
      <c r="B1126" s="108">
        <v>0</v>
      </c>
      <c r="C1126" s="20"/>
      <c r="D1126" s="18" t="str">
        <f t="shared" si="63"/>
        <v>&lt;IML_X_Offset&gt;0.000000&lt;/IML_X_Offset&gt;</v>
      </c>
      <c r="E1126" s="174" t="str">
        <f t="shared" si="60"/>
        <v>Yes</v>
      </c>
      <c r="F1126" s="6" t="s">
        <v>786</v>
      </c>
      <c r="G1126" s="6"/>
      <c r="H1126" s="6"/>
      <c r="I1126" s="6"/>
      <c r="J1126" s="6"/>
      <c r="K1126" s="6"/>
      <c r="L1126" s="6"/>
      <c r="M1126" s="6"/>
      <c r="N1126" s="6"/>
      <c r="O1126" s="6"/>
      <c r="P1126" s="6"/>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c r="BU1126" s="6"/>
      <c r="BV1126" s="6"/>
      <c r="BW1126" s="6"/>
      <c r="BX1126" s="6"/>
      <c r="BY1126" s="6"/>
      <c r="BZ1126" s="6"/>
      <c r="CA1126" s="6"/>
      <c r="CB1126" s="6"/>
      <c r="CC1126" s="6"/>
      <c r="CD1126" s="6"/>
      <c r="CE1126" s="6"/>
      <c r="CF1126" s="6"/>
      <c r="CG1126" s="6"/>
      <c r="CH1126" s="6"/>
      <c r="CI1126" s="6"/>
      <c r="CJ1126" s="6"/>
      <c r="CK1126" s="6"/>
      <c r="CL1126" s="6"/>
      <c r="CM1126" s="6"/>
      <c r="CN1126" s="6"/>
      <c r="CO1126" s="6"/>
      <c r="CP1126" s="6"/>
      <c r="CQ1126" s="6"/>
      <c r="CR1126" s="6"/>
      <c r="CS1126" s="6"/>
      <c r="CT1126" s="6"/>
      <c r="CU1126" s="6"/>
      <c r="CV1126" s="6"/>
      <c r="CW1126" s="6"/>
      <c r="CX1126" s="6"/>
      <c r="CY1126" s="6"/>
      <c r="CZ1126" s="6"/>
      <c r="DA1126" s="6"/>
      <c r="DB1126" s="6"/>
      <c r="DC1126" s="6"/>
      <c r="DD1126" s="6"/>
    </row>
    <row r="1127" spans="1:108" ht="12.75" hidden="1" customHeight="1" outlineLevel="5">
      <c r="A1127" s="104" t="s">
        <v>199</v>
      </c>
      <c r="B1127" s="108">
        <v>0</v>
      </c>
      <c r="C1127" s="20"/>
      <c r="D1127" s="18" t="str">
        <f t="shared" si="63"/>
        <v>&lt;IML_Z_Offset&gt;0.000000&lt;/IML_Z_Offset&gt;</v>
      </c>
      <c r="E1127" s="174" t="str">
        <f t="shared" si="60"/>
        <v>Yes</v>
      </c>
      <c r="F1127" s="6" t="s">
        <v>787</v>
      </c>
      <c r="G1127" s="6"/>
      <c r="H1127" s="6"/>
      <c r="I1127" s="6"/>
      <c r="J1127" s="6"/>
      <c r="K1127" s="6"/>
      <c r="L1127" s="6"/>
      <c r="M1127" s="6"/>
      <c r="N1127" s="6"/>
      <c r="O1127" s="6"/>
      <c r="P1127" s="6"/>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c r="BU1127" s="6"/>
      <c r="BV1127" s="6"/>
      <c r="BW1127" s="6"/>
      <c r="BX1127" s="6"/>
      <c r="BY1127" s="6"/>
      <c r="BZ1127" s="6"/>
      <c r="CA1127" s="6"/>
      <c r="CB1127" s="6"/>
      <c r="CC1127" s="6"/>
      <c r="CD1127" s="6"/>
      <c r="CE1127" s="6"/>
      <c r="CF1127" s="6"/>
      <c r="CG1127" s="6"/>
      <c r="CH1127" s="6"/>
      <c r="CI1127" s="6"/>
      <c r="CJ1127" s="6"/>
      <c r="CK1127" s="6"/>
      <c r="CL1127" s="6"/>
      <c r="CM1127" s="6"/>
      <c r="CN1127" s="6"/>
      <c r="CO1127" s="6"/>
      <c r="CP1127" s="6"/>
      <c r="CQ1127" s="6"/>
      <c r="CR1127" s="6"/>
      <c r="CS1127" s="6"/>
      <c r="CT1127" s="6"/>
      <c r="CU1127" s="6"/>
      <c r="CV1127" s="6"/>
      <c r="CW1127" s="6"/>
      <c r="CX1127" s="6"/>
      <c r="CY1127" s="6"/>
      <c r="CZ1127" s="6"/>
      <c r="DA1127" s="6"/>
      <c r="DB1127" s="6"/>
      <c r="DC1127" s="6"/>
      <c r="DD1127" s="6"/>
    </row>
    <row r="1128" spans="1:108" ht="12.75" hidden="1" customHeight="1" outlineLevel="5">
      <c r="A1128" s="104" t="s">
        <v>200</v>
      </c>
      <c r="B1128" s="108">
        <v>0</v>
      </c>
      <c r="C1128" s="20"/>
      <c r="D1128" s="18" t="str">
        <f>"&lt;" &amp; A1128 &amp; "&gt;" &amp; TEXT(B1128,0) &amp; "&lt;/" &amp; A1128 &amp; "&gt;"</f>
        <v>&lt;ML_Type&gt;0&lt;/ML_Type&gt;</v>
      </c>
      <c r="E1128" s="174" t="str">
        <f t="shared" si="60"/>
        <v>Yes</v>
      </c>
      <c r="F1128" s="6" t="s">
        <v>788</v>
      </c>
      <c r="G1128" s="6"/>
      <c r="H1128" s="6"/>
      <c r="I1128" s="6"/>
      <c r="J1128" s="6"/>
      <c r="K1128" s="6"/>
      <c r="L1128" s="6"/>
      <c r="M1128" s="6"/>
      <c r="N1128" s="6"/>
      <c r="O1128" s="6"/>
      <c r="P1128" s="6"/>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c r="BU1128" s="6"/>
      <c r="BV1128" s="6"/>
      <c r="BW1128" s="6"/>
      <c r="BX1128" s="6"/>
      <c r="BY1128" s="6"/>
      <c r="BZ1128" s="6"/>
      <c r="CA1128" s="6"/>
      <c r="CB1128" s="6"/>
      <c r="CC1128" s="6"/>
      <c r="CD1128" s="6"/>
      <c r="CE1128" s="6"/>
      <c r="CF1128" s="6"/>
      <c r="CG1128" s="6"/>
      <c r="CH1128" s="6"/>
      <c r="CI1128" s="6"/>
      <c r="CJ1128" s="6"/>
      <c r="CK1128" s="6"/>
      <c r="CL1128" s="6"/>
      <c r="CM1128" s="6"/>
      <c r="CN1128" s="6"/>
      <c r="CO1128" s="6"/>
      <c r="CP1128" s="6"/>
      <c r="CQ1128" s="6"/>
      <c r="CR1128" s="6"/>
      <c r="CS1128" s="6"/>
      <c r="CT1128" s="6"/>
      <c r="CU1128" s="6"/>
      <c r="CV1128" s="6"/>
      <c r="CW1128" s="6"/>
      <c r="CX1128" s="6"/>
      <c r="CY1128" s="6"/>
      <c r="CZ1128" s="6"/>
      <c r="DA1128" s="6"/>
      <c r="DB1128" s="6"/>
      <c r="DC1128" s="6"/>
      <c r="DD1128" s="6"/>
    </row>
    <row r="1129" spans="1:108" ht="12.75" hidden="1" customHeight="1" outlineLevel="5">
      <c r="A1129" s="104" t="s">
        <v>182</v>
      </c>
      <c r="B1129" s="108">
        <v>0</v>
      </c>
      <c r="C1129" s="20"/>
      <c r="D1129" s="18" t="str">
        <f>"&lt;" &amp; A1129 &amp; "&gt;" &amp; TEXT(B1129,0) &amp; "&lt;/" &amp; A1129 &amp; "&gt;"</f>
        <v>&lt;IML_Flag&gt;0&lt;/IML_Flag&gt;</v>
      </c>
      <c r="E1129" s="174" t="str">
        <f t="shared" si="60"/>
        <v>Yes</v>
      </c>
      <c r="F1129" s="6" t="s">
        <v>770</v>
      </c>
      <c r="G1129" s="6"/>
      <c r="H1129" s="6"/>
      <c r="I1129" s="6"/>
      <c r="J1129" s="6"/>
      <c r="K1129" s="6"/>
      <c r="L1129" s="6"/>
      <c r="M1129" s="6"/>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c r="BU1129" s="6"/>
      <c r="BV1129" s="6"/>
      <c r="BW1129" s="6"/>
      <c r="BX1129" s="6"/>
      <c r="BY1129" s="6"/>
      <c r="BZ1129" s="6"/>
      <c r="CA1129" s="6"/>
      <c r="CB1129" s="6"/>
      <c r="CC1129" s="6"/>
      <c r="CD1129" s="6"/>
      <c r="CE1129" s="6"/>
      <c r="CF1129" s="6"/>
      <c r="CG1129" s="6"/>
      <c r="CH1129" s="6"/>
      <c r="CI1129" s="6"/>
      <c r="CJ1129" s="6"/>
      <c r="CK1129" s="6"/>
      <c r="CL1129" s="6"/>
      <c r="CM1129" s="6"/>
      <c r="CN1129" s="6"/>
      <c r="CO1129" s="6"/>
      <c r="CP1129" s="6"/>
      <c r="CQ1129" s="6"/>
      <c r="CR1129" s="6"/>
      <c r="CS1129" s="6"/>
      <c r="CT1129" s="6"/>
      <c r="CU1129" s="6"/>
      <c r="CV1129" s="6"/>
      <c r="CW1129" s="6"/>
      <c r="CX1129" s="6"/>
      <c r="CY1129" s="6"/>
      <c r="CZ1129" s="6"/>
      <c r="DA1129" s="6"/>
      <c r="DB1129" s="6"/>
      <c r="DC1129" s="6"/>
      <c r="DD1129" s="6"/>
    </row>
    <row r="1130" spans="1:108" ht="12.75" hidden="1" customHeight="1" outlineLevel="5">
      <c r="A1130" s="104" t="s">
        <v>201</v>
      </c>
      <c r="B1130" s="108">
        <v>0.25</v>
      </c>
      <c r="C1130" s="20"/>
      <c r="D1130" s="18" t="str">
        <f>"&lt;" &amp; A1130 &amp; "&gt;" &amp; TEXT(B1130,"0.000000") &amp; "&lt;/" &amp; A1130 &amp; "&gt;"</f>
        <v>&lt;Profile_Tan_Str_1&gt;0.250000&lt;/Profile_Tan_Str_1&gt;</v>
      </c>
      <c r="E1130" s="174" t="str">
        <f t="shared" si="60"/>
        <v>Yes</v>
      </c>
      <c r="F1130" s="6" t="s">
        <v>789</v>
      </c>
      <c r="G1130" s="6"/>
      <c r="H1130" s="6"/>
      <c r="I1130" s="6"/>
      <c r="J1130" s="6"/>
      <c r="K1130" s="6"/>
      <c r="L1130" s="6"/>
      <c r="M1130" s="6"/>
      <c r="N1130" s="6"/>
      <c r="O1130" s="6"/>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c r="BU1130" s="6"/>
      <c r="BV1130" s="6"/>
      <c r="BW1130" s="6"/>
      <c r="BX1130" s="6"/>
      <c r="BY1130" s="6"/>
      <c r="BZ1130" s="6"/>
      <c r="CA1130" s="6"/>
      <c r="CB1130" s="6"/>
      <c r="CC1130" s="6"/>
      <c r="CD1130" s="6"/>
      <c r="CE1130" s="6"/>
      <c r="CF1130" s="6"/>
      <c r="CG1130" s="6"/>
      <c r="CH1130" s="6"/>
      <c r="CI1130" s="6"/>
      <c r="CJ1130" s="6"/>
      <c r="CK1130" s="6"/>
      <c r="CL1130" s="6"/>
      <c r="CM1130" s="6"/>
      <c r="CN1130" s="6"/>
      <c r="CO1130" s="6"/>
      <c r="CP1130" s="6"/>
      <c r="CQ1130" s="6"/>
      <c r="CR1130" s="6"/>
      <c r="CS1130" s="6"/>
      <c r="CT1130" s="6"/>
      <c r="CU1130" s="6"/>
      <c r="CV1130" s="6"/>
      <c r="CW1130" s="6"/>
      <c r="CX1130" s="6"/>
      <c r="CY1130" s="6"/>
      <c r="CZ1130" s="6"/>
      <c r="DA1130" s="6"/>
      <c r="DB1130" s="6"/>
      <c r="DC1130" s="6"/>
      <c r="DD1130" s="6"/>
    </row>
    <row r="1131" spans="1:108" ht="12.75" hidden="1" customHeight="1" outlineLevel="5">
      <c r="A1131" s="104" t="s">
        <v>202</v>
      </c>
      <c r="B1131" s="108">
        <v>0.25</v>
      </c>
      <c r="C1131" s="20"/>
      <c r="D1131" s="18" t="str">
        <f>"&lt;" &amp; A1131 &amp; "&gt;" &amp; TEXT(B1131,"0.000000") &amp; "&lt;/" &amp; A1131 &amp; "&gt;"</f>
        <v>&lt;Profile_Tan_Str_2&gt;0.250000&lt;/Profile_Tan_Str_2&gt;</v>
      </c>
      <c r="E1131" s="174" t="str">
        <f t="shared" si="60"/>
        <v>Yes</v>
      </c>
      <c r="F1131" s="6" t="s">
        <v>790</v>
      </c>
      <c r="G1131" s="6"/>
      <c r="H1131" s="6"/>
      <c r="I1131" s="6"/>
      <c r="J1131" s="6"/>
      <c r="K1131" s="6"/>
      <c r="L1131" s="6"/>
      <c r="M1131" s="6"/>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c r="BU1131" s="6"/>
      <c r="BV1131" s="6"/>
      <c r="BW1131" s="6"/>
      <c r="BX1131" s="6"/>
      <c r="BY1131" s="6"/>
      <c r="BZ1131" s="6"/>
      <c r="CA1131" s="6"/>
      <c r="CB1131" s="6"/>
      <c r="CC1131" s="6"/>
      <c r="CD1131" s="6"/>
      <c r="CE1131" s="6"/>
      <c r="CF1131" s="6"/>
      <c r="CG1131" s="6"/>
      <c r="CH1131" s="6"/>
      <c r="CI1131" s="6"/>
      <c r="CJ1131" s="6"/>
      <c r="CK1131" s="6"/>
      <c r="CL1131" s="6"/>
      <c r="CM1131" s="6"/>
      <c r="CN1131" s="6"/>
      <c r="CO1131" s="6"/>
      <c r="CP1131" s="6"/>
      <c r="CQ1131" s="6"/>
      <c r="CR1131" s="6"/>
      <c r="CS1131" s="6"/>
      <c r="CT1131" s="6"/>
      <c r="CU1131" s="6"/>
      <c r="CV1131" s="6"/>
      <c r="CW1131" s="6"/>
      <c r="CX1131" s="6"/>
      <c r="CY1131" s="6"/>
      <c r="CZ1131" s="6"/>
      <c r="DA1131" s="6"/>
      <c r="DB1131" s="6"/>
      <c r="DC1131" s="6"/>
      <c r="DD1131" s="6"/>
    </row>
    <row r="1132" spans="1:108" ht="12.75" hidden="1" customHeight="1" outlineLevel="5">
      <c r="A1132" s="104" t="s">
        <v>203</v>
      </c>
      <c r="B1132" s="108">
        <v>0</v>
      </c>
      <c r="C1132" s="20"/>
      <c r="D1132" s="18" t="str">
        <f>"&lt;" &amp; A1132 &amp; "&gt;" &amp; TEXT(B1132,"0.000000") &amp; "&lt;/" &amp; A1132 &amp; "&gt;"</f>
        <v>&lt;Profile_Tan_Ang&gt;0.000000&lt;/Profile_Tan_Ang&gt;</v>
      </c>
      <c r="E1132" s="174" t="str">
        <f t="shared" si="60"/>
        <v>Yes</v>
      </c>
      <c r="F1132" s="6" t="s">
        <v>791</v>
      </c>
      <c r="G1132" s="6"/>
      <c r="H1132" s="6"/>
      <c r="I1132" s="6"/>
      <c r="J1132" s="6"/>
      <c r="K1132" s="6"/>
      <c r="L1132" s="6"/>
      <c r="M1132" s="6"/>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c r="BU1132" s="6"/>
      <c r="BV1132" s="6"/>
      <c r="BW1132" s="6"/>
      <c r="BX1132" s="6"/>
      <c r="BY1132" s="6"/>
      <c r="BZ1132" s="6"/>
      <c r="CA1132" s="6"/>
      <c r="CB1132" s="6"/>
      <c r="CC1132" s="6"/>
      <c r="CD1132" s="6"/>
      <c r="CE1132" s="6"/>
      <c r="CF1132" s="6"/>
      <c r="CG1132" s="6"/>
      <c r="CH1132" s="6"/>
      <c r="CI1132" s="6"/>
      <c r="CJ1132" s="6"/>
      <c r="CK1132" s="6"/>
      <c r="CL1132" s="6"/>
      <c r="CM1132" s="6"/>
      <c r="CN1132" s="6"/>
      <c r="CO1132" s="6"/>
      <c r="CP1132" s="6"/>
      <c r="CQ1132" s="6"/>
      <c r="CR1132" s="6"/>
      <c r="CS1132" s="6"/>
      <c r="CT1132" s="6"/>
      <c r="CU1132" s="6"/>
      <c r="CV1132" s="6"/>
      <c r="CW1132" s="6"/>
      <c r="CX1132" s="6"/>
      <c r="CY1132" s="6"/>
      <c r="CZ1132" s="6"/>
      <c r="DA1132" s="6"/>
      <c r="DB1132" s="6"/>
      <c r="DC1132" s="6"/>
      <c r="DD1132" s="6"/>
    </row>
    <row r="1133" spans="1:108" ht="12.75" hidden="1" customHeight="1" outlineLevel="5">
      <c r="A1133" s="104" t="s">
        <v>204</v>
      </c>
      <c r="B1133" s="108">
        <v>0</v>
      </c>
      <c r="C1133" s="20"/>
      <c r="D1133" s="18" t="str">
        <f>"&lt;" &amp; A1133 &amp; "&gt;" &amp; TEXT(B1133,0) &amp; "&lt;/" &amp; A1133 &amp; "&gt;"</f>
        <v>&lt;Num_Sect_Interp_1&gt;0&lt;/Num_Sect_Interp_1&gt;</v>
      </c>
      <c r="E1133" s="174" t="str">
        <f t="shared" si="60"/>
        <v>Yes</v>
      </c>
      <c r="F1133" s="6" t="s">
        <v>792</v>
      </c>
      <c r="G1133" s="6"/>
      <c r="H1133" s="6"/>
      <c r="I1133" s="6"/>
      <c r="J1133" s="6"/>
      <c r="K1133" s="6"/>
      <c r="L1133" s="6"/>
      <c r="M1133" s="6"/>
      <c r="N1133" s="6"/>
      <c r="O1133" s="6"/>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c r="BU1133" s="6"/>
      <c r="BV1133" s="6"/>
      <c r="BW1133" s="6"/>
      <c r="BX1133" s="6"/>
      <c r="BY1133" s="6"/>
      <c r="BZ1133" s="6"/>
      <c r="CA1133" s="6"/>
      <c r="CB1133" s="6"/>
      <c r="CC1133" s="6"/>
      <c r="CD1133" s="6"/>
      <c r="CE1133" s="6"/>
      <c r="CF1133" s="6"/>
      <c r="CG1133" s="6"/>
      <c r="CH1133" s="6"/>
      <c r="CI1133" s="6"/>
      <c r="CJ1133" s="6"/>
      <c r="CK1133" s="6"/>
      <c r="CL1133" s="6"/>
      <c r="CM1133" s="6"/>
      <c r="CN1133" s="6"/>
      <c r="CO1133" s="6"/>
      <c r="CP1133" s="6"/>
      <c r="CQ1133" s="6"/>
      <c r="CR1133" s="6"/>
      <c r="CS1133" s="6"/>
      <c r="CT1133" s="6"/>
      <c r="CU1133" s="6"/>
      <c r="CV1133" s="6"/>
      <c r="CW1133" s="6"/>
      <c r="CX1133" s="6"/>
      <c r="CY1133" s="6"/>
      <c r="CZ1133" s="6"/>
      <c r="DA1133" s="6"/>
      <c r="DB1133" s="6"/>
      <c r="DC1133" s="6"/>
      <c r="DD1133" s="6"/>
    </row>
    <row r="1134" spans="1:108" ht="12.75" hidden="1" customHeight="1" outlineLevel="5">
      <c r="A1134" s="104" t="s">
        <v>205</v>
      </c>
      <c r="B1134" s="108">
        <v>6</v>
      </c>
      <c r="C1134" s="20"/>
      <c r="D1134" s="18" t="str">
        <f>"&lt;" &amp; A1134 &amp; "&gt;" &amp; TEXT(B1134,0) &amp; "&lt;/" &amp; A1134 &amp; "&gt;"</f>
        <v>&lt;Num_Sect_Interp_2&gt;6&lt;/Num_Sect_Interp_2&gt;</v>
      </c>
      <c r="E1134" s="174" t="str">
        <f t="shared" si="60"/>
        <v>Yes</v>
      </c>
      <c r="F1134" s="6" t="s">
        <v>793</v>
      </c>
      <c r="G1134" s="6"/>
      <c r="H1134" s="6"/>
      <c r="I1134" s="6"/>
      <c r="J1134" s="6"/>
      <c r="K1134" s="6"/>
      <c r="L1134" s="6"/>
      <c r="M1134" s="6"/>
      <c r="N1134" s="6"/>
      <c r="O1134" s="6"/>
      <c r="P1134" s="6"/>
      <c r="Q1134" s="6"/>
      <c r="R1134" s="6"/>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c r="BU1134" s="6"/>
      <c r="BV1134" s="6"/>
      <c r="BW1134" s="6"/>
      <c r="BX1134" s="6"/>
      <c r="BY1134" s="6"/>
      <c r="BZ1134" s="6"/>
      <c r="CA1134" s="6"/>
      <c r="CB1134" s="6"/>
      <c r="CC1134" s="6"/>
      <c r="CD1134" s="6"/>
      <c r="CE1134" s="6"/>
      <c r="CF1134" s="6"/>
      <c r="CG1134" s="6"/>
      <c r="CH1134" s="6"/>
      <c r="CI1134" s="6"/>
      <c r="CJ1134" s="6"/>
      <c r="CK1134" s="6"/>
      <c r="CL1134" s="6"/>
      <c r="CM1134" s="6"/>
      <c r="CN1134" s="6"/>
      <c r="CO1134" s="6"/>
      <c r="CP1134" s="6"/>
      <c r="CQ1134" s="6"/>
      <c r="CR1134" s="6"/>
      <c r="CS1134" s="6"/>
      <c r="CT1134" s="6"/>
      <c r="CU1134" s="6"/>
      <c r="CV1134" s="6"/>
      <c r="CW1134" s="6"/>
      <c r="CX1134" s="6"/>
      <c r="CY1134" s="6"/>
      <c r="CZ1134" s="6"/>
      <c r="DA1134" s="6"/>
      <c r="DB1134" s="6"/>
      <c r="DC1134" s="6"/>
      <c r="DD1134" s="6"/>
    </row>
    <row r="1135" spans="1:108" ht="12.75" hidden="1" customHeight="1" outlineLevel="5">
      <c r="A1135" s="104" t="s">
        <v>206</v>
      </c>
      <c r="B1135" s="17"/>
      <c r="C1135" s="20"/>
      <c r="D1135" s="6" t="str">
        <f>"&lt;" &amp; A1135 &amp; "&gt;"</f>
        <v>&lt;OML_Parms&gt;</v>
      </c>
      <c r="E1135" s="174" t="str">
        <f t="shared" si="60"/>
        <v>Yes</v>
      </c>
      <c r="F1135" s="6" t="s">
        <v>794</v>
      </c>
      <c r="G1135" s="6"/>
      <c r="H1135" s="6"/>
      <c r="I1135" s="6"/>
      <c r="J1135" s="6"/>
      <c r="K1135" s="6"/>
      <c r="L1135" s="6"/>
      <c r="M1135" s="6"/>
      <c r="N1135" s="6"/>
      <c r="O1135" s="6"/>
      <c r="P1135" s="6"/>
      <c r="Q1135" s="6"/>
      <c r="R1135" s="6"/>
      <c r="S1135" s="6"/>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c r="BU1135" s="6"/>
      <c r="BV1135" s="6"/>
      <c r="BW1135" s="6"/>
      <c r="BX1135" s="6"/>
      <c r="BY1135" s="6"/>
      <c r="BZ1135" s="6"/>
      <c r="CA1135" s="6"/>
      <c r="CB1135" s="6"/>
      <c r="CC1135" s="6"/>
      <c r="CD1135" s="6"/>
      <c r="CE1135" s="6"/>
      <c r="CF1135" s="6"/>
      <c r="CG1135" s="6"/>
      <c r="CH1135" s="6"/>
      <c r="CI1135" s="6"/>
      <c r="CJ1135" s="6"/>
      <c r="CK1135" s="6"/>
      <c r="CL1135" s="6"/>
      <c r="CM1135" s="6"/>
      <c r="CN1135" s="6"/>
      <c r="CO1135" s="6"/>
      <c r="CP1135" s="6"/>
      <c r="CQ1135" s="6"/>
      <c r="CR1135" s="6"/>
      <c r="CS1135" s="6"/>
      <c r="CT1135" s="6"/>
      <c r="CU1135" s="6"/>
      <c r="CV1135" s="6"/>
      <c r="CW1135" s="6"/>
      <c r="CX1135" s="6"/>
      <c r="CY1135" s="6"/>
      <c r="CZ1135" s="6"/>
      <c r="DA1135" s="6"/>
      <c r="DB1135" s="6"/>
      <c r="DC1135" s="6"/>
      <c r="DD1135" s="6"/>
    </row>
    <row r="1136" spans="1:108" ht="12.75" hidden="1" customHeight="1" outlineLevel="6">
      <c r="A1136" s="104" t="s">
        <v>14</v>
      </c>
      <c r="B1136" s="6">
        <v>1</v>
      </c>
      <c r="C1136" s="20"/>
      <c r="D1136" s="18" t="str">
        <f>"&lt;" &amp; A1136 &amp; "&gt;" &amp; TEXT(B1136,0) &amp; "&lt;/" &amp; A1136 &amp; "&gt;"</f>
        <v>&lt;Type&gt;1&lt;/Type&gt;</v>
      </c>
      <c r="E1136" s="174" t="str">
        <f t="shared" si="60"/>
        <v>Yes</v>
      </c>
      <c r="F1136" s="6" t="s">
        <v>679</v>
      </c>
      <c r="G1136" s="6"/>
      <c r="H1136" s="6"/>
      <c r="I1136" s="6"/>
      <c r="J1136" s="6"/>
      <c r="K1136" s="6"/>
      <c r="L1136" s="6"/>
      <c r="M1136" s="6"/>
      <c r="N1136" s="6"/>
      <c r="O1136" s="6"/>
      <c r="P1136" s="6"/>
      <c r="Q1136" s="6"/>
      <c r="R1136" s="6"/>
      <c r="S1136" s="6"/>
      <c r="T1136" s="6"/>
      <c r="U1136" s="6"/>
      <c r="V1136" s="6"/>
      <c r="W1136" s="6"/>
      <c r="X1136" s="6"/>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c r="BU1136" s="6"/>
      <c r="BV1136" s="6"/>
      <c r="BW1136" s="6"/>
      <c r="BX1136" s="6"/>
      <c r="BY1136" s="6"/>
      <c r="BZ1136" s="6"/>
      <c r="CA1136" s="6"/>
      <c r="CB1136" s="6"/>
      <c r="CC1136" s="6"/>
      <c r="CD1136" s="6"/>
      <c r="CE1136" s="6"/>
      <c r="CF1136" s="6"/>
      <c r="CG1136" s="6"/>
      <c r="CH1136" s="6"/>
      <c r="CI1136" s="6"/>
      <c r="CJ1136" s="6"/>
      <c r="CK1136" s="6"/>
      <c r="CL1136" s="6"/>
      <c r="CM1136" s="6"/>
      <c r="CN1136" s="6"/>
      <c r="CO1136" s="6"/>
      <c r="CP1136" s="6"/>
      <c r="CQ1136" s="6"/>
      <c r="CR1136" s="6"/>
      <c r="CS1136" s="6"/>
      <c r="CT1136" s="6"/>
      <c r="CU1136" s="6"/>
      <c r="CV1136" s="6"/>
      <c r="CW1136" s="6"/>
      <c r="CX1136" s="6"/>
      <c r="CY1136" s="6"/>
      <c r="CZ1136" s="6"/>
      <c r="DA1136" s="6"/>
      <c r="DB1136" s="6"/>
      <c r="DC1136" s="6"/>
      <c r="DD1136" s="6"/>
    </row>
    <row r="1137" spans="1:108" ht="12.75" hidden="1" customHeight="1" outlineLevel="6">
      <c r="A1137" s="104" t="s">
        <v>15</v>
      </c>
      <c r="B1137" s="35">
        <f>0.33*$B$999</f>
        <v>1.3068</v>
      </c>
      <c r="C1137" s="20"/>
      <c r="D1137" s="18" t="str">
        <f t="shared" ref="D1137:D1146" si="64">"&lt;" &amp; A1137 &amp; "&gt;" &amp; TEXT(B1137,"0.000000") &amp; "&lt;/" &amp; A1137 &amp; "&gt;"</f>
        <v>&lt;Height&gt;1.306800&lt;/Height&gt;</v>
      </c>
      <c r="E1137" s="174" t="str">
        <f t="shared" si="60"/>
        <v>Yes</v>
      </c>
      <c r="F1137" s="6" t="s">
        <v>839</v>
      </c>
      <c r="G1137" s="6"/>
      <c r="H1137" s="6"/>
      <c r="I1137" s="6"/>
      <c r="J1137" s="6"/>
      <c r="K1137" s="6"/>
      <c r="L1137" s="6"/>
      <c r="M1137" s="6"/>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c r="BU1137" s="6"/>
      <c r="BV1137" s="6"/>
      <c r="BW1137" s="6"/>
      <c r="BX1137" s="6"/>
      <c r="BY1137" s="6"/>
      <c r="BZ1137" s="6"/>
      <c r="CA1137" s="6"/>
      <c r="CB1137" s="6"/>
      <c r="CC1137" s="6"/>
      <c r="CD1137" s="6"/>
      <c r="CE1137" s="6"/>
      <c r="CF1137" s="6"/>
      <c r="CG1137" s="6"/>
      <c r="CH1137" s="6"/>
      <c r="CI1137" s="6"/>
      <c r="CJ1137" s="6"/>
      <c r="CK1137" s="6"/>
      <c r="CL1137" s="6"/>
      <c r="CM1137" s="6"/>
      <c r="CN1137" s="6"/>
      <c r="CO1137" s="6"/>
      <c r="CP1137" s="6"/>
      <c r="CQ1137" s="6"/>
      <c r="CR1137" s="6"/>
      <c r="CS1137" s="6"/>
      <c r="CT1137" s="6"/>
      <c r="CU1137" s="6"/>
      <c r="CV1137" s="6"/>
      <c r="CW1137" s="6"/>
      <c r="CX1137" s="6"/>
      <c r="CY1137" s="6"/>
      <c r="CZ1137" s="6"/>
      <c r="DA1137" s="6"/>
      <c r="DB1137" s="6"/>
      <c r="DC1137" s="6"/>
      <c r="DD1137" s="6"/>
    </row>
    <row r="1138" spans="1:108" ht="12.75" hidden="1" customHeight="1" outlineLevel="6">
      <c r="A1138" s="104" t="s">
        <v>16</v>
      </c>
      <c r="B1138" s="35">
        <f>B1137</f>
        <v>1.3068</v>
      </c>
      <c r="C1138" s="20"/>
      <c r="D1138" s="18" t="str">
        <f t="shared" si="64"/>
        <v>&lt;Width&gt;1.306800&lt;/Width&gt;</v>
      </c>
      <c r="E1138" s="174" t="str">
        <f t="shared" si="60"/>
        <v>Yes</v>
      </c>
      <c r="F1138" s="6" t="s">
        <v>840</v>
      </c>
      <c r="G1138" s="6"/>
      <c r="H1138" s="6"/>
      <c r="I1138" s="6"/>
      <c r="J1138" s="6"/>
      <c r="K1138" s="6"/>
      <c r="L1138" s="6"/>
      <c r="M1138" s="6"/>
      <c r="N1138" s="6"/>
      <c r="O1138" s="6"/>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c r="BU1138" s="6"/>
      <c r="BV1138" s="6"/>
      <c r="BW1138" s="6"/>
      <c r="BX1138" s="6"/>
      <c r="BY1138" s="6"/>
      <c r="BZ1138" s="6"/>
      <c r="CA1138" s="6"/>
      <c r="CB1138" s="6"/>
      <c r="CC1138" s="6"/>
      <c r="CD1138" s="6"/>
      <c r="CE1138" s="6"/>
      <c r="CF1138" s="6"/>
      <c r="CG1138" s="6"/>
      <c r="CH1138" s="6"/>
      <c r="CI1138" s="6"/>
      <c r="CJ1138" s="6"/>
      <c r="CK1138" s="6"/>
      <c r="CL1138" s="6"/>
      <c r="CM1138" s="6"/>
      <c r="CN1138" s="6"/>
      <c r="CO1138" s="6"/>
      <c r="CP1138" s="6"/>
      <c r="CQ1138" s="6"/>
      <c r="CR1138" s="6"/>
      <c r="CS1138" s="6"/>
      <c r="CT1138" s="6"/>
      <c r="CU1138" s="6"/>
      <c r="CV1138" s="6"/>
      <c r="CW1138" s="6"/>
      <c r="CX1138" s="6"/>
      <c r="CY1138" s="6"/>
      <c r="CZ1138" s="6"/>
      <c r="DA1138" s="6"/>
      <c r="DB1138" s="6"/>
      <c r="DC1138" s="6"/>
      <c r="DD1138" s="6"/>
    </row>
    <row r="1139" spans="1:108" ht="12.75" hidden="1" customHeight="1" outlineLevel="6">
      <c r="A1139" s="104" t="s">
        <v>207</v>
      </c>
      <c r="B1139" s="6">
        <v>0</v>
      </c>
      <c r="C1139" s="20"/>
      <c r="D1139" s="18" t="str">
        <f t="shared" si="64"/>
        <v>&lt;Max_Width_Location&gt;0.000000&lt;/Max_Width_Location&gt;</v>
      </c>
      <c r="E1139" s="174" t="str">
        <f t="shared" si="60"/>
        <v>Yes</v>
      </c>
      <c r="F1139" s="6" t="s">
        <v>797</v>
      </c>
      <c r="G1139" s="6"/>
      <c r="H1139" s="6"/>
      <c r="I1139" s="6"/>
      <c r="J1139" s="6"/>
      <c r="K1139" s="6"/>
      <c r="L1139" s="6"/>
      <c r="M1139" s="6"/>
      <c r="N1139" s="6"/>
      <c r="O1139" s="6"/>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c r="BU1139" s="6"/>
      <c r="BV1139" s="6"/>
      <c r="BW1139" s="6"/>
      <c r="BX1139" s="6"/>
      <c r="BY1139" s="6"/>
      <c r="BZ1139" s="6"/>
      <c r="CA1139" s="6"/>
      <c r="CB1139" s="6"/>
      <c r="CC1139" s="6"/>
      <c r="CD1139" s="6"/>
      <c r="CE1139" s="6"/>
      <c r="CF1139" s="6"/>
      <c r="CG1139" s="6"/>
      <c r="CH1139" s="6"/>
      <c r="CI1139" s="6"/>
      <c r="CJ1139" s="6"/>
      <c r="CK1139" s="6"/>
      <c r="CL1139" s="6"/>
      <c r="CM1139" s="6"/>
      <c r="CN1139" s="6"/>
      <c r="CO1139" s="6"/>
      <c r="CP1139" s="6"/>
      <c r="CQ1139" s="6"/>
      <c r="CR1139" s="6"/>
      <c r="CS1139" s="6"/>
      <c r="CT1139" s="6"/>
      <c r="CU1139" s="6"/>
      <c r="CV1139" s="6"/>
      <c r="CW1139" s="6"/>
      <c r="CX1139" s="6"/>
      <c r="CY1139" s="6"/>
      <c r="CZ1139" s="6"/>
      <c r="DA1139" s="6"/>
      <c r="DB1139" s="6"/>
      <c r="DC1139" s="6"/>
      <c r="DD1139" s="6"/>
    </row>
    <row r="1140" spans="1:108" ht="12.75" hidden="1" customHeight="1" outlineLevel="6">
      <c r="A1140" s="104" t="s">
        <v>208</v>
      </c>
      <c r="B1140" s="6">
        <v>0.5</v>
      </c>
      <c r="C1140" s="20"/>
      <c r="D1140" s="18" t="str">
        <f t="shared" si="64"/>
        <v>&lt;Corner_Radius&gt;0.500000&lt;/Corner_Radius&gt;</v>
      </c>
      <c r="E1140" s="174" t="str">
        <f t="shared" si="60"/>
        <v>Yes</v>
      </c>
      <c r="F1140" s="6" t="s">
        <v>798</v>
      </c>
      <c r="G1140" s="6"/>
      <c r="H1140" s="6"/>
      <c r="I1140" s="6"/>
      <c r="J1140" s="6"/>
      <c r="K1140" s="6"/>
      <c r="L1140" s="6"/>
      <c r="M1140" s="6"/>
      <c r="N1140" s="6"/>
      <c r="O1140" s="6"/>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c r="BU1140" s="6"/>
      <c r="BV1140" s="6"/>
      <c r="BW1140" s="6"/>
      <c r="BX1140" s="6"/>
      <c r="BY1140" s="6"/>
      <c r="BZ1140" s="6"/>
      <c r="CA1140" s="6"/>
      <c r="CB1140" s="6"/>
      <c r="CC1140" s="6"/>
      <c r="CD1140" s="6"/>
      <c r="CE1140" s="6"/>
      <c r="CF1140" s="6"/>
      <c r="CG1140" s="6"/>
      <c r="CH1140" s="6"/>
      <c r="CI1140" s="6"/>
      <c r="CJ1140" s="6"/>
      <c r="CK1140" s="6"/>
      <c r="CL1140" s="6"/>
      <c r="CM1140" s="6"/>
      <c r="CN1140" s="6"/>
      <c r="CO1140" s="6"/>
      <c r="CP1140" s="6"/>
      <c r="CQ1140" s="6"/>
      <c r="CR1140" s="6"/>
      <c r="CS1140" s="6"/>
      <c r="CT1140" s="6"/>
      <c r="CU1140" s="6"/>
      <c r="CV1140" s="6"/>
      <c r="CW1140" s="6"/>
      <c r="CX1140" s="6"/>
      <c r="CY1140" s="6"/>
      <c r="CZ1140" s="6"/>
      <c r="DA1140" s="6"/>
      <c r="DB1140" s="6"/>
      <c r="DC1140" s="6"/>
      <c r="DD1140" s="6"/>
    </row>
    <row r="1141" spans="1:108" ht="12.75" hidden="1" customHeight="1" outlineLevel="6">
      <c r="A1141" s="104" t="s">
        <v>209</v>
      </c>
      <c r="B1141" s="6">
        <v>90</v>
      </c>
      <c r="C1141" s="20"/>
      <c r="D1141" s="18" t="str">
        <f t="shared" si="64"/>
        <v>&lt;Top_Tan_Angle&gt;90.000000&lt;/Top_Tan_Angle&gt;</v>
      </c>
      <c r="E1141" s="174" t="str">
        <f t="shared" si="60"/>
        <v>Yes</v>
      </c>
      <c r="F1141" s="6" t="s">
        <v>799</v>
      </c>
      <c r="G1141" s="6"/>
      <c r="H1141" s="6"/>
      <c r="I1141" s="6"/>
      <c r="J1141" s="6"/>
      <c r="K1141" s="6"/>
      <c r="L1141" s="6"/>
      <c r="M1141" s="6"/>
      <c r="N1141" s="6"/>
      <c r="O1141" s="6"/>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c r="BU1141" s="6"/>
      <c r="BV1141" s="6"/>
      <c r="BW1141" s="6"/>
      <c r="BX1141" s="6"/>
      <c r="BY1141" s="6"/>
      <c r="BZ1141" s="6"/>
      <c r="CA1141" s="6"/>
      <c r="CB1141" s="6"/>
      <c r="CC1141" s="6"/>
      <c r="CD1141" s="6"/>
      <c r="CE1141" s="6"/>
      <c r="CF1141" s="6"/>
      <c r="CG1141" s="6"/>
      <c r="CH1141" s="6"/>
      <c r="CI1141" s="6"/>
      <c r="CJ1141" s="6"/>
      <c r="CK1141" s="6"/>
      <c r="CL1141" s="6"/>
      <c r="CM1141" s="6"/>
      <c r="CN1141" s="6"/>
      <c r="CO1141" s="6"/>
      <c r="CP1141" s="6"/>
      <c r="CQ1141" s="6"/>
      <c r="CR1141" s="6"/>
      <c r="CS1141" s="6"/>
      <c r="CT1141" s="6"/>
      <c r="CU1141" s="6"/>
      <c r="CV1141" s="6"/>
      <c r="CW1141" s="6"/>
      <c r="CX1141" s="6"/>
      <c r="CY1141" s="6"/>
      <c r="CZ1141" s="6"/>
      <c r="DA1141" s="6"/>
      <c r="DB1141" s="6"/>
      <c r="DC1141" s="6"/>
      <c r="DD1141" s="6"/>
    </row>
    <row r="1142" spans="1:108" ht="12.75" hidden="1" customHeight="1" outlineLevel="6">
      <c r="A1142" s="104" t="s">
        <v>210</v>
      </c>
      <c r="B1142" s="6">
        <v>90</v>
      </c>
      <c r="C1142" s="20"/>
      <c r="D1142" s="18" t="str">
        <f t="shared" si="64"/>
        <v>&lt;Bot_Tan_Angle&gt;90.000000&lt;/Bot_Tan_Angle&gt;</v>
      </c>
      <c r="E1142" s="174" t="str">
        <f t="shared" si="60"/>
        <v>Yes</v>
      </c>
      <c r="F1142" s="6" t="s">
        <v>800</v>
      </c>
      <c r="G1142" s="6"/>
      <c r="H1142" s="6"/>
      <c r="I1142" s="6"/>
      <c r="J1142" s="6"/>
      <c r="K1142" s="6"/>
      <c r="L1142" s="6"/>
      <c r="M1142" s="6"/>
      <c r="N1142" s="6"/>
      <c r="O1142" s="6"/>
      <c r="P1142" s="6"/>
      <c r="Q1142" s="6"/>
      <c r="R1142" s="6"/>
      <c r="S1142" s="6"/>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c r="BU1142" s="6"/>
      <c r="BV1142" s="6"/>
      <c r="BW1142" s="6"/>
      <c r="BX1142" s="6"/>
      <c r="BY1142" s="6"/>
      <c r="BZ1142" s="6"/>
      <c r="CA1142" s="6"/>
      <c r="CB1142" s="6"/>
      <c r="CC1142" s="6"/>
      <c r="CD1142" s="6"/>
      <c r="CE1142" s="6"/>
      <c r="CF1142" s="6"/>
      <c r="CG1142" s="6"/>
      <c r="CH1142" s="6"/>
      <c r="CI1142" s="6"/>
      <c r="CJ1142" s="6"/>
      <c r="CK1142" s="6"/>
      <c r="CL1142" s="6"/>
      <c r="CM1142" s="6"/>
      <c r="CN1142" s="6"/>
      <c r="CO1142" s="6"/>
      <c r="CP1142" s="6"/>
      <c r="CQ1142" s="6"/>
      <c r="CR1142" s="6"/>
      <c r="CS1142" s="6"/>
      <c r="CT1142" s="6"/>
      <c r="CU1142" s="6"/>
      <c r="CV1142" s="6"/>
      <c r="CW1142" s="6"/>
      <c r="CX1142" s="6"/>
      <c r="CY1142" s="6"/>
      <c r="CZ1142" s="6"/>
      <c r="DA1142" s="6"/>
      <c r="DB1142" s="6"/>
      <c r="DC1142" s="6"/>
      <c r="DD1142" s="6"/>
    </row>
    <row r="1143" spans="1:108" ht="12.75" hidden="1" customHeight="1" outlineLevel="6">
      <c r="A1143" s="104" t="s">
        <v>211</v>
      </c>
      <c r="B1143" s="6">
        <v>0.83</v>
      </c>
      <c r="C1143" s="20"/>
      <c r="D1143" s="18" t="str">
        <f t="shared" si="64"/>
        <v>&lt;Top_Tan_Strength&gt;0.830000&lt;/Top_Tan_Strength&gt;</v>
      </c>
      <c r="E1143" s="174" t="str">
        <f t="shared" si="60"/>
        <v>Yes</v>
      </c>
      <c r="F1143" s="6" t="s">
        <v>801</v>
      </c>
      <c r="G1143" s="6"/>
      <c r="H1143" s="6"/>
      <c r="I1143" s="6"/>
      <c r="J1143" s="6"/>
      <c r="K1143" s="6"/>
      <c r="L1143" s="6"/>
      <c r="M1143" s="6"/>
      <c r="N1143" s="6"/>
      <c r="O1143" s="6"/>
      <c r="P1143" s="6"/>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c r="BU1143" s="6"/>
      <c r="BV1143" s="6"/>
      <c r="BW1143" s="6"/>
      <c r="BX1143" s="6"/>
      <c r="BY1143" s="6"/>
      <c r="BZ1143" s="6"/>
      <c r="CA1143" s="6"/>
      <c r="CB1143" s="6"/>
      <c r="CC1143" s="6"/>
      <c r="CD1143" s="6"/>
      <c r="CE1143" s="6"/>
      <c r="CF1143" s="6"/>
      <c r="CG1143" s="6"/>
      <c r="CH1143" s="6"/>
      <c r="CI1143" s="6"/>
      <c r="CJ1143" s="6"/>
      <c r="CK1143" s="6"/>
      <c r="CL1143" s="6"/>
      <c r="CM1143" s="6"/>
      <c r="CN1143" s="6"/>
      <c r="CO1143" s="6"/>
      <c r="CP1143" s="6"/>
      <c r="CQ1143" s="6"/>
      <c r="CR1143" s="6"/>
      <c r="CS1143" s="6"/>
      <c r="CT1143" s="6"/>
      <c r="CU1143" s="6"/>
      <c r="CV1143" s="6"/>
      <c r="CW1143" s="6"/>
      <c r="CX1143" s="6"/>
      <c r="CY1143" s="6"/>
      <c r="CZ1143" s="6"/>
      <c r="DA1143" s="6"/>
      <c r="DB1143" s="6"/>
      <c r="DC1143" s="6"/>
      <c r="DD1143" s="6"/>
    </row>
    <row r="1144" spans="1:108" ht="12.75" hidden="1" customHeight="1" outlineLevel="6">
      <c r="A1144" s="104" t="s">
        <v>212</v>
      </c>
      <c r="B1144" s="6">
        <v>0.83</v>
      </c>
      <c r="C1144" s="20"/>
      <c r="D1144" s="18" t="str">
        <f t="shared" si="64"/>
        <v>&lt;Upper_Tan_Strength&gt;0.830000&lt;/Upper_Tan_Strength&gt;</v>
      </c>
      <c r="E1144" s="174" t="str">
        <f t="shared" si="60"/>
        <v>Yes</v>
      </c>
      <c r="F1144" s="6" t="s">
        <v>802</v>
      </c>
      <c r="G1144" s="6"/>
      <c r="H1144" s="6"/>
      <c r="I1144" s="6"/>
      <c r="J1144" s="6"/>
      <c r="K1144" s="6"/>
      <c r="L1144" s="6"/>
      <c r="M1144" s="6"/>
      <c r="N1144" s="6"/>
      <c r="O1144" s="6"/>
      <c r="P1144" s="6"/>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c r="BU1144" s="6"/>
      <c r="BV1144" s="6"/>
      <c r="BW1144" s="6"/>
      <c r="BX1144" s="6"/>
      <c r="BY1144" s="6"/>
      <c r="BZ1144" s="6"/>
      <c r="CA1144" s="6"/>
      <c r="CB1144" s="6"/>
      <c r="CC1144" s="6"/>
      <c r="CD1144" s="6"/>
      <c r="CE1144" s="6"/>
      <c r="CF1144" s="6"/>
      <c r="CG1144" s="6"/>
      <c r="CH1144" s="6"/>
      <c r="CI1144" s="6"/>
      <c r="CJ1144" s="6"/>
      <c r="CK1144" s="6"/>
      <c r="CL1144" s="6"/>
      <c r="CM1144" s="6"/>
      <c r="CN1144" s="6"/>
      <c r="CO1144" s="6"/>
      <c r="CP1144" s="6"/>
      <c r="CQ1144" s="6"/>
      <c r="CR1144" s="6"/>
      <c r="CS1144" s="6"/>
      <c r="CT1144" s="6"/>
      <c r="CU1144" s="6"/>
      <c r="CV1144" s="6"/>
      <c r="CW1144" s="6"/>
      <c r="CX1144" s="6"/>
      <c r="CY1144" s="6"/>
      <c r="CZ1144" s="6"/>
      <c r="DA1144" s="6"/>
      <c r="DB1144" s="6"/>
      <c r="DC1144" s="6"/>
      <c r="DD1144" s="6"/>
    </row>
    <row r="1145" spans="1:108" ht="12.75" hidden="1" customHeight="1" outlineLevel="6">
      <c r="A1145" s="104" t="s">
        <v>213</v>
      </c>
      <c r="B1145" s="6">
        <v>0.83</v>
      </c>
      <c r="C1145" s="20"/>
      <c r="D1145" s="18" t="str">
        <f t="shared" si="64"/>
        <v>&lt;Lower_Tan_Strength&gt;0.830000&lt;/Lower_Tan_Strength&gt;</v>
      </c>
      <c r="E1145" s="174" t="str">
        <f t="shared" ref="E1145:E1208" si="65">IF(D1145=F1145,"Yes","No")</f>
        <v>Yes</v>
      </c>
      <c r="F1145" s="6" t="s">
        <v>803</v>
      </c>
      <c r="G1145" s="6"/>
      <c r="H1145" s="6"/>
      <c r="I1145" s="6"/>
      <c r="J1145" s="6"/>
      <c r="K1145" s="6"/>
      <c r="L1145" s="6"/>
      <c r="M1145" s="6"/>
      <c r="N1145" s="6"/>
      <c r="O1145" s="6"/>
      <c r="P1145" s="6"/>
      <c r="Q1145" s="6"/>
      <c r="R1145" s="6"/>
      <c r="S1145" s="6"/>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c r="BU1145" s="6"/>
      <c r="BV1145" s="6"/>
      <c r="BW1145" s="6"/>
      <c r="BX1145" s="6"/>
      <c r="BY1145" s="6"/>
      <c r="BZ1145" s="6"/>
      <c r="CA1145" s="6"/>
      <c r="CB1145" s="6"/>
      <c r="CC1145" s="6"/>
      <c r="CD1145" s="6"/>
      <c r="CE1145" s="6"/>
      <c r="CF1145" s="6"/>
      <c r="CG1145" s="6"/>
      <c r="CH1145" s="6"/>
      <c r="CI1145" s="6"/>
      <c r="CJ1145" s="6"/>
      <c r="CK1145" s="6"/>
      <c r="CL1145" s="6"/>
      <c r="CM1145" s="6"/>
      <c r="CN1145" s="6"/>
      <c r="CO1145" s="6"/>
      <c r="CP1145" s="6"/>
      <c r="CQ1145" s="6"/>
      <c r="CR1145" s="6"/>
      <c r="CS1145" s="6"/>
      <c r="CT1145" s="6"/>
      <c r="CU1145" s="6"/>
      <c r="CV1145" s="6"/>
      <c r="CW1145" s="6"/>
      <c r="CX1145" s="6"/>
      <c r="CY1145" s="6"/>
      <c r="CZ1145" s="6"/>
      <c r="DA1145" s="6"/>
      <c r="DB1145" s="6"/>
      <c r="DC1145" s="6"/>
      <c r="DD1145" s="6"/>
    </row>
    <row r="1146" spans="1:108" ht="12.75" hidden="1" customHeight="1" outlineLevel="6">
      <c r="A1146" s="104" t="s">
        <v>214</v>
      </c>
      <c r="B1146" s="6">
        <v>0.83</v>
      </c>
      <c r="C1146" s="20"/>
      <c r="D1146" s="18" t="str">
        <f t="shared" si="64"/>
        <v>&lt;Bottom_Tan_Strength&gt;0.830000&lt;/Bottom_Tan_Strength&gt;</v>
      </c>
      <c r="E1146" s="174" t="str">
        <f t="shared" si="65"/>
        <v>Yes</v>
      </c>
      <c r="F1146" s="6" t="s">
        <v>804</v>
      </c>
      <c r="G1146" s="6"/>
      <c r="H1146" s="6"/>
      <c r="I1146" s="6"/>
      <c r="J1146" s="6"/>
      <c r="K1146" s="6"/>
      <c r="L1146" s="6"/>
      <c r="M1146" s="6"/>
      <c r="N1146" s="6"/>
      <c r="O1146" s="6"/>
      <c r="P1146" s="6"/>
      <c r="Q1146" s="6"/>
      <c r="R1146" s="6"/>
      <c r="S1146" s="6"/>
      <c r="T1146" s="6"/>
      <c r="U1146" s="6"/>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c r="BU1146" s="6"/>
      <c r="BV1146" s="6"/>
      <c r="BW1146" s="6"/>
      <c r="BX1146" s="6"/>
      <c r="BY1146" s="6"/>
      <c r="BZ1146" s="6"/>
      <c r="CA1146" s="6"/>
      <c r="CB1146" s="6"/>
      <c r="CC1146" s="6"/>
      <c r="CD1146" s="6"/>
      <c r="CE1146" s="6"/>
      <c r="CF1146" s="6"/>
      <c r="CG1146" s="6"/>
      <c r="CH1146" s="6"/>
      <c r="CI1146" s="6"/>
      <c r="CJ1146" s="6"/>
      <c r="CK1146" s="6"/>
      <c r="CL1146" s="6"/>
      <c r="CM1146" s="6"/>
      <c r="CN1146" s="6"/>
      <c r="CO1146" s="6"/>
      <c r="CP1146" s="6"/>
      <c r="CQ1146" s="6"/>
      <c r="CR1146" s="6"/>
      <c r="CS1146" s="6"/>
      <c r="CT1146" s="6"/>
      <c r="CU1146" s="6"/>
      <c r="CV1146" s="6"/>
      <c r="CW1146" s="6"/>
      <c r="CX1146" s="6"/>
      <c r="CY1146" s="6"/>
      <c r="CZ1146" s="6"/>
      <c r="DA1146" s="6"/>
      <c r="DB1146" s="6"/>
      <c r="DC1146" s="6"/>
      <c r="DD1146" s="6"/>
    </row>
    <row r="1147" spans="1:108" ht="12.75" hidden="1" customHeight="1" outlineLevel="6">
      <c r="A1147" s="104" t="s">
        <v>215</v>
      </c>
      <c r="C1147" s="20"/>
      <c r="D1147" s="6" t="str">
        <f>"&lt;" &amp; A1147 &amp; "&gt;"</f>
        <v>&lt;/OML_Parms&gt;</v>
      </c>
      <c r="E1147" s="174" t="str">
        <f t="shared" si="65"/>
        <v>Yes</v>
      </c>
      <c r="F1147" s="6" t="s">
        <v>805</v>
      </c>
      <c r="G1147" s="6"/>
      <c r="H1147" s="6"/>
      <c r="I1147" s="6"/>
      <c r="J1147" s="6"/>
      <c r="K1147" s="6"/>
      <c r="L1147" s="6"/>
      <c r="M1147" s="6"/>
      <c r="N1147" s="6"/>
      <c r="O1147" s="6"/>
      <c r="P1147" s="6"/>
      <c r="Q1147" s="6"/>
      <c r="R1147" s="6"/>
      <c r="S1147" s="6"/>
      <c r="T1147" s="6"/>
      <c r="U1147" s="6"/>
      <c r="V1147" s="6"/>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c r="BU1147" s="6"/>
      <c r="BV1147" s="6"/>
      <c r="BW1147" s="6"/>
      <c r="BX1147" s="6"/>
      <c r="BY1147" s="6"/>
      <c r="BZ1147" s="6"/>
      <c r="CA1147" s="6"/>
      <c r="CB1147" s="6"/>
      <c r="CC1147" s="6"/>
      <c r="CD1147" s="6"/>
      <c r="CE1147" s="6"/>
      <c r="CF1147" s="6"/>
      <c r="CG1147" s="6"/>
      <c r="CH1147" s="6"/>
      <c r="CI1147" s="6"/>
      <c r="CJ1147" s="6"/>
      <c r="CK1147" s="6"/>
      <c r="CL1147" s="6"/>
      <c r="CM1147" s="6"/>
      <c r="CN1147" s="6"/>
      <c r="CO1147" s="6"/>
      <c r="CP1147" s="6"/>
      <c r="CQ1147" s="6"/>
      <c r="CR1147" s="6"/>
      <c r="CS1147" s="6"/>
      <c r="CT1147" s="6"/>
      <c r="CU1147" s="6"/>
      <c r="CV1147" s="6"/>
      <c r="CW1147" s="6"/>
      <c r="CX1147" s="6"/>
      <c r="CY1147" s="6"/>
      <c r="CZ1147" s="6"/>
      <c r="DA1147" s="6"/>
      <c r="DB1147" s="6"/>
      <c r="DC1147" s="6"/>
      <c r="DD1147" s="6"/>
    </row>
    <row r="1148" spans="1:108" ht="12.75" hidden="1" customHeight="1" outlineLevel="5">
      <c r="A1148" s="104" t="s">
        <v>216</v>
      </c>
      <c r="C1148" s="20"/>
      <c r="D1148" s="6" t="str">
        <f>"&lt;" &amp; A1148 &amp; "&gt;"</f>
        <v>&lt;IML_Parms&gt;</v>
      </c>
      <c r="E1148" s="174" t="str">
        <f t="shared" si="65"/>
        <v>Yes</v>
      </c>
      <c r="F1148" s="6" t="s">
        <v>806</v>
      </c>
      <c r="G1148" s="6"/>
      <c r="H1148" s="6"/>
      <c r="I1148" s="6"/>
      <c r="J1148" s="6"/>
      <c r="K1148" s="6"/>
      <c r="L1148" s="6"/>
      <c r="M1148" s="6"/>
      <c r="N1148" s="6"/>
      <c r="O1148" s="6"/>
      <c r="P1148" s="6"/>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c r="BU1148" s="6"/>
      <c r="BV1148" s="6"/>
      <c r="BW1148" s="6"/>
      <c r="BX1148" s="6"/>
      <c r="BY1148" s="6"/>
      <c r="BZ1148" s="6"/>
      <c r="CA1148" s="6"/>
      <c r="CB1148" s="6"/>
      <c r="CC1148" s="6"/>
      <c r="CD1148" s="6"/>
      <c r="CE1148" s="6"/>
      <c r="CF1148" s="6"/>
      <c r="CG1148" s="6"/>
      <c r="CH1148" s="6"/>
      <c r="CI1148" s="6"/>
      <c r="CJ1148" s="6"/>
      <c r="CK1148" s="6"/>
      <c r="CL1148" s="6"/>
      <c r="CM1148" s="6"/>
      <c r="CN1148" s="6"/>
      <c r="CO1148" s="6"/>
      <c r="CP1148" s="6"/>
      <c r="CQ1148" s="6"/>
      <c r="CR1148" s="6"/>
      <c r="CS1148" s="6"/>
      <c r="CT1148" s="6"/>
      <c r="CU1148" s="6"/>
      <c r="CV1148" s="6"/>
      <c r="CW1148" s="6"/>
      <c r="CX1148" s="6"/>
      <c r="CY1148" s="6"/>
      <c r="CZ1148" s="6"/>
      <c r="DA1148" s="6"/>
      <c r="DB1148" s="6"/>
      <c r="DC1148" s="6"/>
      <c r="DD1148" s="6"/>
    </row>
    <row r="1149" spans="1:108" ht="12.75" hidden="1" customHeight="1" outlineLevel="6">
      <c r="A1149" s="104" t="s">
        <v>14</v>
      </c>
      <c r="B1149" s="6">
        <v>2</v>
      </c>
      <c r="C1149" s="20"/>
      <c r="D1149" s="18" t="str">
        <f>"&lt;" &amp; A1149 &amp; "&gt;" &amp; TEXT(B1149,0) &amp; "&lt;/" &amp; A1149 &amp; "&gt;"</f>
        <v>&lt;Type&gt;2&lt;/Type&gt;</v>
      </c>
      <c r="E1149" s="174" t="str">
        <f t="shared" si="65"/>
        <v>Yes</v>
      </c>
      <c r="F1149" s="6" t="s">
        <v>807</v>
      </c>
      <c r="G1149" s="6"/>
      <c r="H1149" s="6"/>
      <c r="I1149" s="6"/>
      <c r="J1149" s="6"/>
      <c r="K1149" s="6"/>
      <c r="L1149" s="6"/>
      <c r="M1149" s="6"/>
      <c r="N1149" s="6"/>
      <c r="O1149" s="6"/>
      <c r="P1149" s="6"/>
      <c r="Q1149" s="6"/>
      <c r="R1149" s="6"/>
      <c r="S1149" s="6"/>
      <c r="T1149" s="6"/>
      <c r="U1149" s="6"/>
      <c r="V1149" s="6"/>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c r="BU1149" s="6"/>
      <c r="BV1149" s="6"/>
      <c r="BW1149" s="6"/>
      <c r="BX1149" s="6"/>
      <c r="BY1149" s="6"/>
      <c r="BZ1149" s="6"/>
      <c r="CA1149" s="6"/>
      <c r="CB1149" s="6"/>
      <c r="CC1149" s="6"/>
      <c r="CD1149" s="6"/>
      <c r="CE1149" s="6"/>
      <c r="CF1149" s="6"/>
      <c r="CG1149" s="6"/>
      <c r="CH1149" s="6"/>
      <c r="CI1149" s="6"/>
      <c r="CJ1149" s="6"/>
      <c r="CK1149" s="6"/>
      <c r="CL1149" s="6"/>
      <c r="CM1149" s="6"/>
      <c r="CN1149" s="6"/>
      <c r="CO1149" s="6"/>
      <c r="CP1149" s="6"/>
      <c r="CQ1149" s="6"/>
      <c r="CR1149" s="6"/>
      <c r="CS1149" s="6"/>
      <c r="CT1149" s="6"/>
      <c r="CU1149" s="6"/>
      <c r="CV1149" s="6"/>
      <c r="CW1149" s="6"/>
      <c r="CX1149" s="6"/>
      <c r="CY1149" s="6"/>
      <c r="CZ1149" s="6"/>
      <c r="DA1149" s="6"/>
      <c r="DB1149" s="6"/>
      <c r="DC1149" s="6"/>
      <c r="DD1149" s="6"/>
    </row>
    <row r="1150" spans="1:108" ht="12.75" hidden="1" customHeight="1" outlineLevel="6">
      <c r="A1150" s="104" t="s">
        <v>15</v>
      </c>
      <c r="B1150" s="6">
        <v>3</v>
      </c>
      <c r="C1150" s="20"/>
      <c r="D1150" s="18" t="str">
        <f t="shared" ref="D1150:D1159" si="66">"&lt;" &amp; A1150 &amp; "&gt;" &amp; TEXT(B1150,"0.000000") &amp; "&lt;/" &amp; A1150 &amp; "&gt;"</f>
        <v>&lt;Height&gt;3.000000&lt;/Height&gt;</v>
      </c>
      <c r="E1150" s="174" t="str">
        <f t="shared" si="65"/>
        <v>Yes</v>
      </c>
      <c r="F1150" s="6" t="s">
        <v>808</v>
      </c>
      <c r="G1150" s="6"/>
      <c r="H1150" s="6"/>
      <c r="I1150" s="6"/>
      <c r="J1150" s="6"/>
      <c r="K1150" s="6"/>
      <c r="L1150" s="6"/>
      <c r="M1150" s="6"/>
      <c r="N1150" s="6"/>
      <c r="O1150" s="6"/>
      <c r="P1150" s="6"/>
      <c r="Q1150" s="6"/>
      <c r="R1150" s="6"/>
      <c r="S1150" s="6"/>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c r="BU1150" s="6"/>
      <c r="BV1150" s="6"/>
      <c r="BW1150" s="6"/>
      <c r="BX1150" s="6"/>
      <c r="BY1150" s="6"/>
      <c r="BZ1150" s="6"/>
      <c r="CA1150" s="6"/>
      <c r="CB1150" s="6"/>
      <c r="CC1150" s="6"/>
      <c r="CD1150" s="6"/>
      <c r="CE1150" s="6"/>
      <c r="CF1150" s="6"/>
      <c r="CG1150" s="6"/>
      <c r="CH1150" s="6"/>
      <c r="CI1150" s="6"/>
      <c r="CJ1150" s="6"/>
      <c r="CK1150" s="6"/>
      <c r="CL1150" s="6"/>
      <c r="CM1150" s="6"/>
      <c r="CN1150" s="6"/>
      <c r="CO1150" s="6"/>
      <c r="CP1150" s="6"/>
      <c r="CQ1150" s="6"/>
      <c r="CR1150" s="6"/>
      <c r="CS1150" s="6"/>
      <c r="CT1150" s="6"/>
      <c r="CU1150" s="6"/>
      <c r="CV1150" s="6"/>
      <c r="CW1150" s="6"/>
      <c r="CX1150" s="6"/>
      <c r="CY1150" s="6"/>
      <c r="CZ1150" s="6"/>
      <c r="DA1150" s="6"/>
      <c r="DB1150" s="6"/>
      <c r="DC1150" s="6"/>
      <c r="DD1150" s="6"/>
    </row>
    <row r="1151" spans="1:108" ht="12.75" hidden="1" customHeight="1" outlineLevel="6">
      <c r="A1151" s="104" t="s">
        <v>16</v>
      </c>
      <c r="B1151" s="6">
        <v>2.5</v>
      </c>
      <c r="C1151" s="20"/>
      <c r="D1151" s="18" t="str">
        <f t="shared" si="66"/>
        <v>&lt;Width&gt;2.500000&lt;/Width&gt;</v>
      </c>
      <c r="E1151" s="174" t="str">
        <f t="shared" si="65"/>
        <v>Yes</v>
      </c>
      <c r="F1151" s="6" t="s">
        <v>809</v>
      </c>
      <c r="G1151" s="6"/>
      <c r="H1151" s="6"/>
      <c r="I1151" s="6"/>
      <c r="J1151" s="6"/>
      <c r="K1151" s="6"/>
      <c r="L1151" s="6"/>
      <c r="M1151" s="6"/>
      <c r="N1151" s="6"/>
      <c r="O1151" s="6"/>
      <c r="P1151" s="6"/>
      <c r="Q1151" s="6"/>
      <c r="R1151" s="6"/>
      <c r="S1151" s="6"/>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c r="BU1151" s="6"/>
      <c r="BV1151" s="6"/>
      <c r="BW1151" s="6"/>
      <c r="BX1151" s="6"/>
      <c r="BY1151" s="6"/>
      <c r="BZ1151" s="6"/>
      <c r="CA1151" s="6"/>
      <c r="CB1151" s="6"/>
      <c r="CC1151" s="6"/>
      <c r="CD1151" s="6"/>
      <c r="CE1151" s="6"/>
      <c r="CF1151" s="6"/>
      <c r="CG1151" s="6"/>
      <c r="CH1151" s="6"/>
      <c r="CI1151" s="6"/>
      <c r="CJ1151" s="6"/>
      <c r="CK1151" s="6"/>
      <c r="CL1151" s="6"/>
      <c r="CM1151" s="6"/>
      <c r="CN1151" s="6"/>
      <c r="CO1151" s="6"/>
      <c r="CP1151" s="6"/>
      <c r="CQ1151" s="6"/>
      <c r="CR1151" s="6"/>
      <c r="CS1151" s="6"/>
      <c r="CT1151" s="6"/>
      <c r="CU1151" s="6"/>
      <c r="CV1151" s="6"/>
      <c r="CW1151" s="6"/>
      <c r="CX1151" s="6"/>
      <c r="CY1151" s="6"/>
      <c r="CZ1151" s="6"/>
      <c r="DA1151" s="6"/>
      <c r="DB1151" s="6"/>
      <c r="DC1151" s="6"/>
      <c r="DD1151" s="6"/>
    </row>
    <row r="1152" spans="1:108" ht="12.75" hidden="1" customHeight="1" outlineLevel="6">
      <c r="A1152" s="104" t="s">
        <v>207</v>
      </c>
      <c r="B1152" s="6">
        <v>0</v>
      </c>
      <c r="C1152" s="20"/>
      <c r="D1152" s="18" t="str">
        <f t="shared" si="66"/>
        <v>&lt;Max_Width_Location&gt;0.000000&lt;/Max_Width_Location&gt;</v>
      </c>
      <c r="E1152" s="174" t="str">
        <f t="shared" si="65"/>
        <v>Yes</v>
      </c>
      <c r="F1152" s="6" t="s">
        <v>797</v>
      </c>
      <c r="G1152" s="6"/>
      <c r="H1152" s="6"/>
      <c r="I1152" s="6"/>
      <c r="J1152" s="6"/>
      <c r="K1152" s="6"/>
      <c r="L1152" s="6"/>
      <c r="M1152" s="6"/>
      <c r="N1152" s="6"/>
      <c r="O1152" s="6"/>
      <c r="P1152" s="6"/>
      <c r="Q1152" s="6"/>
      <c r="R1152" s="6"/>
      <c r="S1152" s="6"/>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c r="BU1152" s="6"/>
      <c r="BV1152" s="6"/>
      <c r="BW1152" s="6"/>
      <c r="BX1152" s="6"/>
      <c r="BY1152" s="6"/>
      <c r="BZ1152" s="6"/>
      <c r="CA1152" s="6"/>
      <c r="CB1152" s="6"/>
      <c r="CC1152" s="6"/>
      <c r="CD1152" s="6"/>
      <c r="CE1152" s="6"/>
      <c r="CF1152" s="6"/>
      <c r="CG1152" s="6"/>
      <c r="CH1152" s="6"/>
      <c r="CI1152" s="6"/>
      <c r="CJ1152" s="6"/>
      <c r="CK1152" s="6"/>
      <c r="CL1152" s="6"/>
      <c r="CM1152" s="6"/>
      <c r="CN1152" s="6"/>
      <c r="CO1152" s="6"/>
      <c r="CP1152" s="6"/>
      <c r="CQ1152" s="6"/>
      <c r="CR1152" s="6"/>
      <c r="CS1152" s="6"/>
      <c r="CT1152" s="6"/>
      <c r="CU1152" s="6"/>
      <c r="CV1152" s="6"/>
      <c r="CW1152" s="6"/>
      <c r="CX1152" s="6"/>
      <c r="CY1152" s="6"/>
      <c r="CZ1152" s="6"/>
      <c r="DA1152" s="6"/>
      <c r="DB1152" s="6"/>
      <c r="DC1152" s="6"/>
      <c r="DD1152" s="6"/>
    </row>
    <row r="1153" spans="1:108" ht="12.75" hidden="1" customHeight="1" outlineLevel="6">
      <c r="A1153" s="104" t="s">
        <v>208</v>
      </c>
      <c r="B1153" s="6">
        <v>0.5</v>
      </c>
      <c r="C1153" s="20"/>
      <c r="D1153" s="18" t="str">
        <f t="shared" si="66"/>
        <v>&lt;Corner_Radius&gt;0.500000&lt;/Corner_Radius&gt;</v>
      </c>
      <c r="E1153" s="174" t="str">
        <f t="shared" si="65"/>
        <v>Yes</v>
      </c>
      <c r="F1153" s="6" t="s">
        <v>798</v>
      </c>
      <c r="G1153" s="6"/>
      <c r="H1153" s="6"/>
      <c r="I1153" s="6"/>
      <c r="J1153" s="6"/>
      <c r="K1153" s="6"/>
      <c r="L1153" s="6"/>
      <c r="M1153" s="6"/>
      <c r="N1153" s="6"/>
      <c r="O1153" s="6"/>
      <c r="P1153" s="6"/>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c r="BU1153" s="6"/>
      <c r="BV1153" s="6"/>
      <c r="BW1153" s="6"/>
      <c r="BX1153" s="6"/>
      <c r="BY1153" s="6"/>
      <c r="BZ1153" s="6"/>
      <c r="CA1153" s="6"/>
      <c r="CB1153" s="6"/>
      <c r="CC1153" s="6"/>
      <c r="CD1153" s="6"/>
      <c r="CE1153" s="6"/>
      <c r="CF1153" s="6"/>
      <c r="CG1153" s="6"/>
      <c r="CH1153" s="6"/>
      <c r="CI1153" s="6"/>
      <c r="CJ1153" s="6"/>
      <c r="CK1153" s="6"/>
      <c r="CL1153" s="6"/>
      <c r="CM1153" s="6"/>
      <c r="CN1153" s="6"/>
      <c r="CO1153" s="6"/>
      <c r="CP1153" s="6"/>
      <c r="CQ1153" s="6"/>
      <c r="CR1153" s="6"/>
      <c r="CS1153" s="6"/>
      <c r="CT1153" s="6"/>
      <c r="CU1153" s="6"/>
      <c r="CV1153" s="6"/>
      <c r="CW1153" s="6"/>
      <c r="CX1153" s="6"/>
      <c r="CY1153" s="6"/>
      <c r="CZ1153" s="6"/>
      <c r="DA1153" s="6"/>
      <c r="DB1153" s="6"/>
      <c r="DC1153" s="6"/>
      <c r="DD1153" s="6"/>
    </row>
    <row r="1154" spans="1:108" ht="12.75" hidden="1" customHeight="1" outlineLevel="6">
      <c r="A1154" s="104" t="s">
        <v>209</v>
      </c>
      <c r="B1154" s="6">
        <v>90</v>
      </c>
      <c r="C1154" s="20"/>
      <c r="D1154" s="18" t="str">
        <f t="shared" si="66"/>
        <v>&lt;Top_Tan_Angle&gt;90.000000&lt;/Top_Tan_Angle&gt;</v>
      </c>
      <c r="E1154" s="174" t="str">
        <f t="shared" si="65"/>
        <v>Yes</v>
      </c>
      <c r="F1154" s="6" t="s">
        <v>799</v>
      </c>
      <c r="G1154" s="6"/>
      <c r="H1154" s="6"/>
      <c r="I1154" s="6"/>
      <c r="J1154" s="6"/>
      <c r="K1154" s="6"/>
      <c r="L1154" s="6"/>
      <c r="M1154" s="6"/>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c r="BU1154" s="6"/>
      <c r="BV1154" s="6"/>
      <c r="BW1154" s="6"/>
      <c r="BX1154" s="6"/>
      <c r="BY1154" s="6"/>
      <c r="BZ1154" s="6"/>
      <c r="CA1154" s="6"/>
      <c r="CB1154" s="6"/>
      <c r="CC1154" s="6"/>
      <c r="CD1154" s="6"/>
      <c r="CE1154" s="6"/>
      <c r="CF1154" s="6"/>
      <c r="CG1154" s="6"/>
      <c r="CH1154" s="6"/>
      <c r="CI1154" s="6"/>
      <c r="CJ1154" s="6"/>
      <c r="CK1154" s="6"/>
      <c r="CL1154" s="6"/>
      <c r="CM1154" s="6"/>
      <c r="CN1154" s="6"/>
      <c r="CO1154" s="6"/>
      <c r="CP1154" s="6"/>
      <c r="CQ1154" s="6"/>
      <c r="CR1154" s="6"/>
      <c r="CS1154" s="6"/>
      <c r="CT1154" s="6"/>
      <c r="CU1154" s="6"/>
      <c r="CV1154" s="6"/>
      <c r="CW1154" s="6"/>
      <c r="CX1154" s="6"/>
      <c r="CY1154" s="6"/>
      <c r="CZ1154" s="6"/>
      <c r="DA1154" s="6"/>
      <c r="DB1154" s="6"/>
      <c r="DC1154" s="6"/>
      <c r="DD1154" s="6"/>
    </row>
    <row r="1155" spans="1:108" ht="12.75" hidden="1" customHeight="1" outlineLevel="6">
      <c r="A1155" s="104" t="s">
        <v>210</v>
      </c>
      <c r="B1155" s="6">
        <v>90</v>
      </c>
      <c r="C1155" s="20"/>
      <c r="D1155" s="18" t="str">
        <f t="shared" si="66"/>
        <v>&lt;Bot_Tan_Angle&gt;90.000000&lt;/Bot_Tan_Angle&gt;</v>
      </c>
      <c r="E1155" s="174" t="str">
        <f t="shared" si="65"/>
        <v>Yes</v>
      </c>
      <c r="F1155" s="6" t="s">
        <v>800</v>
      </c>
      <c r="G1155" s="6"/>
      <c r="H1155" s="6"/>
      <c r="I1155" s="6"/>
      <c r="J1155" s="6"/>
      <c r="K1155" s="6"/>
      <c r="L1155" s="6"/>
      <c r="M1155" s="6"/>
      <c r="N1155" s="6"/>
      <c r="O1155" s="6"/>
      <c r="P1155" s="6"/>
      <c r="Q1155" s="6"/>
      <c r="R1155" s="6"/>
      <c r="S1155" s="6"/>
      <c r="T1155" s="6"/>
      <c r="U1155" s="6"/>
      <c r="V1155" s="6"/>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c r="BU1155" s="6"/>
      <c r="BV1155" s="6"/>
      <c r="BW1155" s="6"/>
      <c r="BX1155" s="6"/>
      <c r="BY1155" s="6"/>
      <c r="BZ1155" s="6"/>
      <c r="CA1155" s="6"/>
      <c r="CB1155" s="6"/>
      <c r="CC1155" s="6"/>
      <c r="CD1155" s="6"/>
      <c r="CE1155" s="6"/>
      <c r="CF1155" s="6"/>
      <c r="CG1155" s="6"/>
      <c r="CH1155" s="6"/>
      <c r="CI1155" s="6"/>
      <c r="CJ1155" s="6"/>
      <c r="CK1155" s="6"/>
      <c r="CL1155" s="6"/>
      <c r="CM1155" s="6"/>
      <c r="CN1155" s="6"/>
      <c r="CO1155" s="6"/>
      <c r="CP1155" s="6"/>
      <c r="CQ1155" s="6"/>
      <c r="CR1155" s="6"/>
      <c r="CS1155" s="6"/>
      <c r="CT1155" s="6"/>
      <c r="CU1155" s="6"/>
      <c r="CV1155" s="6"/>
      <c r="CW1155" s="6"/>
      <c r="CX1155" s="6"/>
      <c r="CY1155" s="6"/>
      <c r="CZ1155" s="6"/>
      <c r="DA1155" s="6"/>
      <c r="DB1155" s="6"/>
      <c r="DC1155" s="6"/>
      <c r="DD1155" s="6"/>
    </row>
    <row r="1156" spans="1:108" ht="12.75" hidden="1" customHeight="1" outlineLevel="6">
      <c r="A1156" s="104" t="s">
        <v>211</v>
      </c>
      <c r="B1156" s="6">
        <v>0.83</v>
      </c>
      <c r="C1156" s="20"/>
      <c r="D1156" s="18" t="str">
        <f t="shared" si="66"/>
        <v>&lt;Top_Tan_Strength&gt;0.830000&lt;/Top_Tan_Strength&gt;</v>
      </c>
      <c r="E1156" s="174" t="str">
        <f t="shared" si="65"/>
        <v>Yes</v>
      </c>
      <c r="F1156" s="6" t="s">
        <v>801</v>
      </c>
      <c r="G1156" s="6"/>
      <c r="H1156" s="6"/>
      <c r="I1156" s="6"/>
      <c r="J1156" s="6"/>
      <c r="K1156" s="6"/>
      <c r="L1156" s="6"/>
      <c r="M1156" s="6"/>
      <c r="N1156" s="6"/>
      <c r="O1156" s="6"/>
      <c r="P1156" s="6"/>
      <c r="Q1156" s="6"/>
      <c r="R1156" s="6"/>
      <c r="S1156" s="6"/>
      <c r="T1156" s="6"/>
      <c r="U1156" s="6"/>
      <c r="V1156" s="6"/>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c r="BU1156" s="6"/>
      <c r="BV1156" s="6"/>
      <c r="BW1156" s="6"/>
      <c r="BX1156" s="6"/>
      <c r="BY1156" s="6"/>
      <c r="BZ1156" s="6"/>
      <c r="CA1156" s="6"/>
      <c r="CB1156" s="6"/>
      <c r="CC1156" s="6"/>
      <c r="CD1156" s="6"/>
      <c r="CE1156" s="6"/>
      <c r="CF1156" s="6"/>
      <c r="CG1156" s="6"/>
      <c r="CH1156" s="6"/>
      <c r="CI1156" s="6"/>
      <c r="CJ1156" s="6"/>
      <c r="CK1156" s="6"/>
      <c r="CL1156" s="6"/>
      <c r="CM1156" s="6"/>
      <c r="CN1156" s="6"/>
      <c r="CO1156" s="6"/>
      <c r="CP1156" s="6"/>
      <c r="CQ1156" s="6"/>
      <c r="CR1156" s="6"/>
      <c r="CS1156" s="6"/>
      <c r="CT1156" s="6"/>
      <c r="CU1156" s="6"/>
      <c r="CV1156" s="6"/>
      <c r="CW1156" s="6"/>
      <c r="CX1156" s="6"/>
      <c r="CY1156" s="6"/>
      <c r="CZ1156" s="6"/>
      <c r="DA1156" s="6"/>
      <c r="DB1156" s="6"/>
      <c r="DC1156" s="6"/>
      <c r="DD1156" s="6"/>
    </row>
    <row r="1157" spans="1:108" ht="12.75" hidden="1" customHeight="1" outlineLevel="6">
      <c r="A1157" s="104" t="s">
        <v>212</v>
      </c>
      <c r="B1157" s="6">
        <v>0.83</v>
      </c>
      <c r="C1157" s="20"/>
      <c r="D1157" s="18" t="str">
        <f t="shared" si="66"/>
        <v>&lt;Upper_Tan_Strength&gt;0.830000&lt;/Upper_Tan_Strength&gt;</v>
      </c>
      <c r="E1157" s="174" t="str">
        <f t="shared" si="65"/>
        <v>Yes</v>
      </c>
      <c r="F1157" s="6" t="s">
        <v>802</v>
      </c>
      <c r="G1157" s="6"/>
      <c r="H1157" s="6"/>
      <c r="I1157" s="6"/>
      <c r="J1157" s="6"/>
      <c r="K1157" s="6"/>
      <c r="L1157" s="6"/>
      <c r="M1157" s="6"/>
      <c r="N1157" s="6"/>
      <c r="O1157" s="6"/>
      <c r="P1157" s="6"/>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c r="BU1157" s="6"/>
      <c r="BV1157" s="6"/>
      <c r="BW1157" s="6"/>
      <c r="BX1157" s="6"/>
      <c r="BY1157" s="6"/>
      <c r="BZ1157" s="6"/>
      <c r="CA1157" s="6"/>
      <c r="CB1157" s="6"/>
      <c r="CC1157" s="6"/>
      <c r="CD1157" s="6"/>
      <c r="CE1157" s="6"/>
      <c r="CF1157" s="6"/>
      <c r="CG1157" s="6"/>
      <c r="CH1157" s="6"/>
      <c r="CI1157" s="6"/>
      <c r="CJ1157" s="6"/>
      <c r="CK1157" s="6"/>
      <c r="CL1157" s="6"/>
      <c r="CM1157" s="6"/>
      <c r="CN1157" s="6"/>
      <c r="CO1157" s="6"/>
      <c r="CP1157" s="6"/>
      <c r="CQ1157" s="6"/>
      <c r="CR1157" s="6"/>
      <c r="CS1157" s="6"/>
      <c r="CT1157" s="6"/>
      <c r="CU1157" s="6"/>
      <c r="CV1157" s="6"/>
      <c r="CW1157" s="6"/>
      <c r="CX1157" s="6"/>
      <c r="CY1157" s="6"/>
      <c r="CZ1157" s="6"/>
      <c r="DA1157" s="6"/>
      <c r="DB1157" s="6"/>
      <c r="DC1157" s="6"/>
      <c r="DD1157" s="6"/>
    </row>
    <row r="1158" spans="1:108" ht="12.75" hidden="1" customHeight="1" outlineLevel="6">
      <c r="A1158" s="104" t="s">
        <v>213</v>
      </c>
      <c r="B1158" s="6">
        <v>0.83</v>
      </c>
      <c r="C1158" s="20"/>
      <c r="D1158" s="18" t="str">
        <f t="shared" si="66"/>
        <v>&lt;Lower_Tan_Strength&gt;0.830000&lt;/Lower_Tan_Strength&gt;</v>
      </c>
      <c r="E1158" s="174" t="str">
        <f t="shared" si="65"/>
        <v>Yes</v>
      </c>
      <c r="F1158" s="6" t="s">
        <v>803</v>
      </c>
      <c r="G1158" s="6"/>
      <c r="H1158" s="6"/>
      <c r="I1158" s="6"/>
      <c r="J1158" s="6"/>
      <c r="K1158" s="6"/>
      <c r="L1158" s="6"/>
      <c r="M1158" s="6"/>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c r="BU1158" s="6"/>
      <c r="BV1158" s="6"/>
      <c r="BW1158" s="6"/>
      <c r="BX1158" s="6"/>
      <c r="BY1158" s="6"/>
      <c r="BZ1158" s="6"/>
      <c r="CA1158" s="6"/>
      <c r="CB1158" s="6"/>
      <c r="CC1158" s="6"/>
      <c r="CD1158" s="6"/>
      <c r="CE1158" s="6"/>
      <c r="CF1158" s="6"/>
      <c r="CG1158" s="6"/>
      <c r="CH1158" s="6"/>
      <c r="CI1158" s="6"/>
      <c r="CJ1158" s="6"/>
      <c r="CK1158" s="6"/>
      <c r="CL1158" s="6"/>
      <c r="CM1158" s="6"/>
      <c r="CN1158" s="6"/>
      <c r="CO1158" s="6"/>
      <c r="CP1158" s="6"/>
      <c r="CQ1158" s="6"/>
      <c r="CR1158" s="6"/>
      <c r="CS1158" s="6"/>
      <c r="CT1158" s="6"/>
      <c r="CU1158" s="6"/>
      <c r="CV1158" s="6"/>
      <c r="CW1158" s="6"/>
      <c r="CX1158" s="6"/>
      <c r="CY1158" s="6"/>
      <c r="CZ1158" s="6"/>
      <c r="DA1158" s="6"/>
      <c r="DB1158" s="6"/>
      <c r="DC1158" s="6"/>
      <c r="DD1158" s="6"/>
    </row>
    <row r="1159" spans="1:108" ht="12.75" hidden="1" customHeight="1" outlineLevel="6">
      <c r="A1159" s="104" t="s">
        <v>214</v>
      </c>
      <c r="B1159" s="6">
        <v>0.83</v>
      </c>
      <c r="C1159" s="20"/>
      <c r="D1159" s="18" t="str">
        <f t="shared" si="66"/>
        <v>&lt;Bottom_Tan_Strength&gt;0.830000&lt;/Bottom_Tan_Strength&gt;</v>
      </c>
      <c r="E1159" s="174" t="str">
        <f t="shared" si="65"/>
        <v>Yes</v>
      </c>
      <c r="F1159" s="6" t="s">
        <v>804</v>
      </c>
      <c r="G1159" s="6"/>
      <c r="H1159" s="6"/>
      <c r="I1159" s="6"/>
      <c r="J1159" s="6"/>
      <c r="K1159" s="6"/>
      <c r="L1159" s="6"/>
      <c r="M1159" s="6"/>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c r="BU1159" s="6"/>
      <c r="BV1159" s="6"/>
      <c r="BW1159" s="6"/>
      <c r="BX1159" s="6"/>
      <c r="BY1159" s="6"/>
      <c r="BZ1159" s="6"/>
      <c r="CA1159" s="6"/>
      <c r="CB1159" s="6"/>
      <c r="CC1159" s="6"/>
      <c r="CD1159" s="6"/>
      <c r="CE1159" s="6"/>
      <c r="CF1159" s="6"/>
      <c r="CG1159" s="6"/>
      <c r="CH1159" s="6"/>
      <c r="CI1159" s="6"/>
      <c r="CJ1159" s="6"/>
      <c r="CK1159" s="6"/>
      <c r="CL1159" s="6"/>
      <c r="CM1159" s="6"/>
      <c r="CN1159" s="6"/>
      <c r="CO1159" s="6"/>
      <c r="CP1159" s="6"/>
      <c r="CQ1159" s="6"/>
      <c r="CR1159" s="6"/>
      <c r="CS1159" s="6"/>
      <c r="CT1159" s="6"/>
      <c r="CU1159" s="6"/>
      <c r="CV1159" s="6"/>
      <c r="CW1159" s="6"/>
      <c r="CX1159" s="6"/>
      <c r="CY1159" s="6"/>
      <c r="CZ1159" s="6"/>
      <c r="DA1159" s="6"/>
      <c r="DB1159" s="6"/>
      <c r="DC1159" s="6"/>
      <c r="DD1159" s="6"/>
    </row>
    <row r="1160" spans="1:108" ht="12.75" hidden="1" customHeight="1" outlineLevel="6">
      <c r="A1160" s="104" t="s">
        <v>217</v>
      </c>
      <c r="C1160" s="20"/>
      <c r="D1160" s="6" t="str">
        <f>"&lt;" &amp; A1160 &amp; "&gt;"</f>
        <v>&lt;/IML_Parms&gt;</v>
      </c>
      <c r="E1160" s="174" t="str">
        <f t="shared" si="65"/>
        <v>Yes</v>
      </c>
      <c r="F1160" s="6" t="s">
        <v>810</v>
      </c>
      <c r="G1160" s="6"/>
      <c r="H1160" s="6"/>
      <c r="I1160" s="6"/>
      <c r="J1160" s="6"/>
      <c r="K1160" s="6"/>
      <c r="L1160" s="6"/>
      <c r="M1160" s="6"/>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c r="BU1160" s="6"/>
      <c r="BV1160" s="6"/>
      <c r="BW1160" s="6"/>
      <c r="BX1160" s="6"/>
      <c r="BY1160" s="6"/>
      <c r="BZ1160" s="6"/>
      <c r="CA1160" s="6"/>
      <c r="CB1160" s="6"/>
      <c r="CC1160" s="6"/>
      <c r="CD1160" s="6"/>
      <c r="CE1160" s="6"/>
      <c r="CF1160" s="6"/>
      <c r="CG1160" s="6"/>
      <c r="CH1160" s="6"/>
      <c r="CI1160" s="6"/>
      <c r="CJ1160" s="6"/>
      <c r="CK1160" s="6"/>
      <c r="CL1160" s="6"/>
      <c r="CM1160" s="6"/>
      <c r="CN1160" s="6"/>
      <c r="CO1160" s="6"/>
      <c r="CP1160" s="6"/>
      <c r="CQ1160" s="6"/>
      <c r="CR1160" s="6"/>
      <c r="CS1160" s="6"/>
      <c r="CT1160" s="6"/>
      <c r="CU1160" s="6"/>
      <c r="CV1160" s="6"/>
      <c r="CW1160" s="6"/>
      <c r="CX1160" s="6"/>
      <c r="CY1160" s="6"/>
      <c r="CZ1160" s="6"/>
      <c r="DA1160" s="6"/>
      <c r="DB1160" s="6"/>
      <c r="DC1160" s="6"/>
      <c r="DD1160" s="6"/>
    </row>
    <row r="1161" spans="1:108" ht="12.75" hidden="1" customHeight="1" outlineLevel="5">
      <c r="A1161" s="104" t="s">
        <v>218</v>
      </c>
      <c r="C1161" s="20"/>
      <c r="D1161" s="6" t="str">
        <f>"&lt;" &amp; A1161 &amp; "&gt;"</f>
        <v>&lt;/Cross_Section&gt;</v>
      </c>
      <c r="E1161" s="174" t="str">
        <f t="shared" si="65"/>
        <v>Yes</v>
      </c>
      <c r="F1161" s="6" t="s">
        <v>811</v>
      </c>
      <c r="G1161" s="6"/>
      <c r="H1161" s="6"/>
      <c r="I1161" s="6"/>
      <c r="J1161" s="6"/>
      <c r="K1161" s="6"/>
      <c r="L1161" s="6"/>
      <c r="M1161" s="6"/>
      <c r="N1161" s="6"/>
      <c r="O1161" s="6"/>
      <c r="P1161" s="6"/>
      <c r="Q1161" s="6"/>
      <c r="R1161" s="6"/>
      <c r="S1161" s="6"/>
      <c r="T1161" s="6"/>
      <c r="U1161" s="6"/>
      <c r="V1161" s="6"/>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c r="BU1161" s="6"/>
      <c r="BV1161" s="6"/>
      <c r="BW1161" s="6"/>
      <c r="BX1161" s="6"/>
      <c r="BY1161" s="6"/>
      <c r="BZ1161" s="6"/>
      <c r="CA1161" s="6"/>
      <c r="CB1161" s="6"/>
      <c r="CC1161" s="6"/>
      <c r="CD1161" s="6"/>
      <c r="CE1161" s="6"/>
      <c r="CF1161" s="6"/>
      <c r="CG1161" s="6"/>
      <c r="CH1161" s="6"/>
      <c r="CI1161" s="6"/>
      <c r="CJ1161" s="6"/>
      <c r="CK1161" s="6"/>
      <c r="CL1161" s="6"/>
      <c r="CM1161" s="6"/>
      <c r="CN1161" s="6"/>
      <c r="CO1161" s="6"/>
      <c r="CP1161" s="6"/>
      <c r="CQ1161" s="6"/>
      <c r="CR1161" s="6"/>
      <c r="CS1161" s="6"/>
      <c r="CT1161" s="6"/>
      <c r="CU1161" s="6"/>
      <c r="CV1161" s="6"/>
      <c r="CW1161" s="6"/>
      <c r="CX1161" s="6"/>
      <c r="CY1161" s="6"/>
      <c r="CZ1161" s="6"/>
      <c r="DA1161" s="6"/>
      <c r="DB1161" s="6"/>
      <c r="DC1161" s="6"/>
      <c r="DD1161" s="6"/>
    </row>
    <row r="1162" spans="1:108" ht="12.75" hidden="1" customHeight="1" outlineLevel="4">
      <c r="A1162" s="104" t="s">
        <v>188</v>
      </c>
      <c r="B1162" s="99" t="s">
        <v>398</v>
      </c>
      <c r="C1162" s="20"/>
      <c r="D1162" s="6" t="str">
        <f>"&lt;" &amp; A1162 &amp; "&gt;"</f>
        <v>&lt;Cross_Section&gt;</v>
      </c>
      <c r="E1162" s="174" t="str">
        <f t="shared" si="65"/>
        <v>Yes</v>
      </c>
      <c r="F1162" s="6" t="s">
        <v>776</v>
      </c>
      <c r="G1162" s="6"/>
      <c r="H1162" s="6"/>
      <c r="I1162" s="6"/>
      <c r="J1162" s="6"/>
      <c r="K1162" s="6"/>
      <c r="L1162" s="6"/>
      <c r="M1162" s="6"/>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c r="BU1162" s="6"/>
      <c r="BV1162" s="6"/>
      <c r="BW1162" s="6"/>
      <c r="BX1162" s="6"/>
      <c r="BY1162" s="6"/>
      <c r="BZ1162" s="6"/>
      <c r="CA1162" s="6"/>
      <c r="CB1162" s="6"/>
      <c r="CC1162" s="6"/>
      <c r="CD1162" s="6"/>
      <c r="CE1162" s="6"/>
      <c r="CF1162" s="6"/>
      <c r="CG1162" s="6"/>
      <c r="CH1162" s="6"/>
      <c r="CI1162" s="6"/>
      <c r="CJ1162" s="6"/>
      <c r="CK1162" s="6"/>
      <c r="CL1162" s="6"/>
      <c r="CM1162" s="6"/>
      <c r="CN1162" s="6"/>
      <c r="CO1162" s="6"/>
      <c r="CP1162" s="6"/>
      <c r="CQ1162" s="6"/>
      <c r="CR1162" s="6"/>
      <c r="CS1162" s="6"/>
      <c r="CT1162" s="6"/>
      <c r="CU1162" s="6"/>
      <c r="CV1162" s="6"/>
      <c r="CW1162" s="6"/>
      <c r="CX1162" s="6"/>
      <c r="CY1162" s="6"/>
      <c r="CZ1162" s="6"/>
      <c r="DA1162" s="6"/>
      <c r="DB1162" s="6"/>
      <c r="DC1162" s="6"/>
      <c r="DD1162" s="6"/>
    </row>
    <row r="1163" spans="1:108" ht="12.75" hidden="1" customHeight="1" outlineLevel="5">
      <c r="A1163" s="104" t="s">
        <v>189</v>
      </c>
      <c r="B1163" s="108">
        <v>45</v>
      </c>
      <c r="C1163" s="20"/>
      <c r="D1163" s="18" t="str">
        <f>"&lt;" &amp; A1163 &amp; "&gt;" &amp; TEXT(B1163,0) &amp; "&lt;/" &amp; A1163 &amp; "&gt;"</f>
        <v>&lt;Num_Pnts&gt;45&lt;/Num_Pnts&gt;</v>
      </c>
      <c r="E1163" s="174" t="str">
        <f t="shared" si="65"/>
        <v>Yes</v>
      </c>
      <c r="F1163" s="6" t="s">
        <v>777</v>
      </c>
      <c r="G1163" s="6"/>
      <c r="H1163" s="6"/>
      <c r="I1163" s="6"/>
      <c r="J1163" s="6"/>
      <c r="K1163" s="6"/>
      <c r="L1163" s="6"/>
      <c r="M1163" s="6"/>
      <c r="N1163" s="6"/>
      <c r="O1163" s="6"/>
      <c r="P1163" s="6"/>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c r="BU1163" s="6"/>
      <c r="BV1163" s="6"/>
      <c r="BW1163" s="6"/>
      <c r="BX1163" s="6"/>
      <c r="BY1163" s="6"/>
      <c r="BZ1163" s="6"/>
      <c r="CA1163" s="6"/>
      <c r="CB1163" s="6"/>
      <c r="CC1163" s="6"/>
      <c r="CD1163" s="6"/>
      <c r="CE1163" s="6"/>
      <c r="CF1163" s="6"/>
      <c r="CG1163" s="6"/>
      <c r="CH1163" s="6"/>
      <c r="CI1163" s="6"/>
      <c r="CJ1163" s="6"/>
      <c r="CK1163" s="6"/>
      <c r="CL1163" s="6"/>
      <c r="CM1163" s="6"/>
      <c r="CN1163" s="6"/>
      <c r="CO1163" s="6"/>
      <c r="CP1163" s="6"/>
      <c r="CQ1163" s="6"/>
      <c r="CR1163" s="6"/>
      <c r="CS1163" s="6"/>
      <c r="CT1163" s="6"/>
      <c r="CU1163" s="6"/>
      <c r="CV1163" s="6"/>
      <c r="CW1163" s="6"/>
      <c r="CX1163" s="6"/>
      <c r="CY1163" s="6"/>
      <c r="CZ1163" s="6"/>
      <c r="DA1163" s="6"/>
      <c r="DB1163" s="6"/>
      <c r="DC1163" s="6"/>
      <c r="DD1163" s="6"/>
    </row>
    <row r="1164" spans="1:108" ht="12.75" hidden="1" customHeight="1" outlineLevel="5">
      <c r="A1164" s="104" t="s">
        <v>190</v>
      </c>
      <c r="B1164" s="108">
        <v>1</v>
      </c>
      <c r="C1164" s="20"/>
      <c r="D1164" s="18" t="str">
        <f t="shared" ref="D1164:D1173" si="67">"&lt;" &amp; A1164 &amp; "&gt;" &amp; TEXT(B1164,"0.000000") &amp; "&lt;/" &amp; A1164 &amp; "&gt;"</f>
        <v>&lt;Spine_Location&gt;1.000000&lt;/Spine_Location&gt;</v>
      </c>
      <c r="E1164" s="174" t="str">
        <f t="shared" si="65"/>
        <v>Yes</v>
      </c>
      <c r="F1164" s="6" t="s">
        <v>841</v>
      </c>
      <c r="G1164" s="6"/>
      <c r="H1164" s="6"/>
      <c r="I1164" s="6"/>
      <c r="J1164" s="6"/>
      <c r="K1164" s="6"/>
      <c r="L1164" s="6"/>
      <c r="M1164" s="6"/>
      <c r="N1164" s="6"/>
      <c r="O1164" s="6"/>
      <c r="P1164" s="6"/>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c r="BU1164" s="6"/>
      <c r="BV1164" s="6"/>
      <c r="BW1164" s="6"/>
      <c r="BX1164" s="6"/>
      <c r="BY1164" s="6"/>
      <c r="BZ1164" s="6"/>
      <c r="CA1164" s="6"/>
      <c r="CB1164" s="6"/>
      <c r="CC1164" s="6"/>
      <c r="CD1164" s="6"/>
      <c r="CE1164" s="6"/>
      <c r="CF1164" s="6"/>
      <c r="CG1164" s="6"/>
      <c r="CH1164" s="6"/>
      <c r="CI1164" s="6"/>
      <c r="CJ1164" s="6"/>
      <c r="CK1164" s="6"/>
      <c r="CL1164" s="6"/>
      <c r="CM1164" s="6"/>
      <c r="CN1164" s="6"/>
      <c r="CO1164" s="6"/>
      <c r="CP1164" s="6"/>
      <c r="CQ1164" s="6"/>
      <c r="CR1164" s="6"/>
      <c r="CS1164" s="6"/>
      <c r="CT1164" s="6"/>
      <c r="CU1164" s="6"/>
      <c r="CV1164" s="6"/>
      <c r="CW1164" s="6"/>
      <c r="CX1164" s="6"/>
      <c r="CY1164" s="6"/>
      <c r="CZ1164" s="6"/>
      <c r="DA1164" s="6"/>
      <c r="DB1164" s="6"/>
      <c r="DC1164" s="6"/>
      <c r="DD1164" s="6"/>
    </row>
    <row r="1165" spans="1:108" ht="12.75" hidden="1" customHeight="1" outlineLevel="5">
      <c r="A1165" s="104" t="s">
        <v>191</v>
      </c>
      <c r="B1165" s="36">
        <f>B1119</f>
        <v>1.3266</v>
      </c>
      <c r="C1165" s="20"/>
      <c r="D1165" s="18" t="str">
        <f t="shared" si="67"/>
        <v>&lt;Z_Offset&gt;1.326600&lt;/Z_Offset&gt;</v>
      </c>
      <c r="E1165" s="174" t="str">
        <f t="shared" si="65"/>
        <v>Yes</v>
      </c>
      <c r="F1165" s="6" t="s">
        <v>838</v>
      </c>
      <c r="G1165" s="6"/>
      <c r="H1165" s="6"/>
      <c r="I1165" s="6"/>
      <c r="J1165" s="6"/>
      <c r="K1165" s="6"/>
      <c r="L1165" s="6"/>
      <c r="M1165" s="6"/>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c r="BU1165" s="6"/>
      <c r="BV1165" s="6"/>
      <c r="BW1165" s="6"/>
      <c r="BX1165" s="6"/>
      <c r="BY1165" s="6"/>
      <c r="BZ1165" s="6"/>
      <c r="CA1165" s="6"/>
      <c r="CB1165" s="6"/>
      <c r="CC1165" s="6"/>
      <c r="CD1165" s="6"/>
      <c r="CE1165" s="6"/>
      <c r="CF1165" s="6"/>
      <c r="CG1165" s="6"/>
      <c r="CH1165" s="6"/>
      <c r="CI1165" s="6"/>
      <c r="CJ1165" s="6"/>
      <c r="CK1165" s="6"/>
      <c r="CL1165" s="6"/>
      <c r="CM1165" s="6"/>
      <c r="CN1165" s="6"/>
      <c r="CO1165" s="6"/>
      <c r="CP1165" s="6"/>
      <c r="CQ1165" s="6"/>
      <c r="CR1165" s="6"/>
      <c r="CS1165" s="6"/>
      <c r="CT1165" s="6"/>
      <c r="CU1165" s="6"/>
      <c r="CV1165" s="6"/>
      <c r="CW1165" s="6"/>
      <c r="CX1165" s="6"/>
      <c r="CY1165" s="6"/>
      <c r="CZ1165" s="6"/>
      <c r="DA1165" s="6"/>
      <c r="DB1165" s="6"/>
      <c r="DC1165" s="6"/>
      <c r="DD1165" s="6"/>
    </row>
    <row r="1166" spans="1:108" ht="12.75" hidden="1" customHeight="1" outlineLevel="5">
      <c r="A1166" s="104" t="s">
        <v>192</v>
      </c>
      <c r="B1166" s="108">
        <v>0.5</v>
      </c>
      <c r="C1166" s="20"/>
      <c r="D1166" s="18" t="str">
        <f t="shared" si="67"/>
        <v>&lt;Top_Thick&gt;0.500000&lt;/Top_Thick&gt;</v>
      </c>
      <c r="E1166" s="174" t="str">
        <f t="shared" si="65"/>
        <v>Yes</v>
      </c>
      <c r="F1166" s="6" t="s">
        <v>780</v>
      </c>
      <c r="G1166" s="6"/>
      <c r="H1166" s="6"/>
      <c r="I1166" s="6"/>
      <c r="J1166" s="6"/>
      <c r="K1166" s="6"/>
      <c r="L1166" s="6"/>
      <c r="M1166" s="6"/>
      <c r="N1166" s="6"/>
      <c r="O1166" s="6"/>
      <c r="P1166" s="6"/>
      <c r="Q1166" s="6"/>
      <c r="R1166" s="6"/>
      <c r="S1166" s="6"/>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c r="BU1166" s="6"/>
      <c r="BV1166" s="6"/>
      <c r="BW1166" s="6"/>
      <c r="BX1166" s="6"/>
      <c r="BY1166" s="6"/>
      <c r="BZ1166" s="6"/>
      <c r="CA1166" s="6"/>
      <c r="CB1166" s="6"/>
      <c r="CC1166" s="6"/>
      <c r="CD1166" s="6"/>
      <c r="CE1166" s="6"/>
      <c r="CF1166" s="6"/>
      <c r="CG1166" s="6"/>
      <c r="CH1166" s="6"/>
      <c r="CI1166" s="6"/>
      <c r="CJ1166" s="6"/>
      <c r="CK1166" s="6"/>
      <c r="CL1166" s="6"/>
      <c r="CM1166" s="6"/>
      <c r="CN1166" s="6"/>
      <c r="CO1166" s="6"/>
      <c r="CP1166" s="6"/>
      <c r="CQ1166" s="6"/>
      <c r="CR1166" s="6"/>
      <c r="CS1166" s="6"/>
      <c r="CT1166" s="6"/>
      <c r="CU1166" s="6"/>
      <c r="CV1166" s="6"/>
      <c r="CW1166" s="6"/>
      <c r="CX1166" s="6"/>
      <c r="CY1166" s="6"/>
      <c r="CZ1166" s="6"/>
      <c r="DA1166" s="6"/>
      <c r="DB1166" s="6"/>
      <c r="DC1166" s="6"/>
      <c r="DD1166" s="6"/>
    </row>
    <row r="1167" spans="1:108" ht="12.75" hidden="1" customHeight="1" outlineLevel="5">
      <c r="A1167" s="104" t="s">
        <v>193</v>
      </c>
      <c r="B1167" s="108">
        <v>0.5</v>
      </c>
      <c r="C1167" s="20"/>
      <c r="D1167" s="18" t="str">
        <f t="shared" si="67"/>
        <v>&lt;Bot_Thick&gt;0.500000&lt;/Bot_Thick&gt;</v>
      </c>
      <c r="E1167" s="174" t="str">
        <f t="shared" si="65"/>
        <v>Yes</v>
      </c>
      <c r="F1167" s="6" t="s">
        <v>781</v>
      </c>
      <c r="G1167" s="6"/>
      <c r="H1167" s="6"/>
      <c r="I1167" s="6"/>
      <c r="J1167" s="6"/>
      <c r="K1167" s="6"/>
      <c r="L1167" s="6"/>
      <c r="M1167" s="6"/>
      <c r="N1167" s="6"/>
      <c r="O1167" s="6"/>
      <c r="P1167" s="6"/>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c r="BU1167" s="6"/>
      <c r="BV1167" s="6"/>
      <c r="BW1167" s="6"/>
      <c r="BX1167" s="6"/>
      <c r="BY1167" s="6"/>
      <c r="BZ1167" s="6"/>
      <c r="CA1167" s="6"/>
      <c r="CB1167" s="6"/>
      <c r="CC1167" s="6"/>
      <c r="CD1167" s="6"/>
      <c r="CE1167" s="6"/>
      <c r="CF1167" s="6"/>
      <c r="CG1167" s="6"/>
      <c r="CH1167" s="6"/>
      <c r="CI1167" s="6"/>
      <c r="CJ1167" s="6"/>
      <c r="CK1167" s="6"/>
      <c r="CL1167" s="6"/>
      <c r="CM1167" s="6"/>
      <c r="CN1167" s="6"/>
      <c r="CO1167" s="6"/>
      <c r="CP1167" s="6"/>
      <c r="CQ1167" s="6"/>
      <c r="CR1167" s="6"/>
      <c r="CS1167" s="6"/>
      <c r="CT1167" s="6"/>
      <c r="CU1167" s="6"/>
      <c r="CV1167" s="6"/>
      <c r="CW1167" s="6"/>
      <c r="CX1167" s="6"/>
      <c r="CY1167" s="6"/>
      <c r="CZ1167" s="6"/>
      <c r="DA1167" s="6"/>
      <c r="DB1167" s="6"/>
      <c r="DC1167" s="6"/>
      <c r="DD1167" s="6"/>
    </row>
    <row r="1168" spans="1:108" ht="12.75" hidden="1" customHeight="1" outlineLevel="5">
      <c r="A1168" s="104" t="s">
        <v>194</v>
      </c>
      <c r="B1168" s="108">
        <v>0.5</v>
      </c>
      <c r="C1168" s="20"/>
      <c r="D1168" s="18" t="str">
        <f t="shared" si="67"/>
        <v>&lt;Side_Thick&gt;0.500000&lt;/Side_Thick&gt;</v>
      </c>
      <c r="E1168" s="174" t="str">
        <f t="shared" si="65"/>
        <v>Yes</v>
      </c>
      <c r="F1168" s="6" t="s">
        <v>782</v>
      </c>
      <c r="G1168" s="6"/>
      <c r="H1168" s="6"/>
      <c r="I1168" s="6"/>
      <c r="J1168" s="6"/>
      <c r="K1168" s="6"/>
      <c r="L1168" s="6"/>
      <c r="M1168" s="6"/>
      <c r="N1168" s="6"/>
      <c r="O1168" s="6"/>
      <c r="P1168" s="6"/>
      <c r="Q1168" s="6"/>
      <c r="R1168" s="6"/>
      <c r="S1168" s="6"/>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c r="BU1168" s="6"/>
      <c r="BV1168" s="6"/>
      <c r="BW1168" s="6"/>
      <c r="BX1168" s="6"/>
      <c r="BY1168" s="6"/>
      <c r="BZ1168" s="6"/>
      <c r="CA1168" s="6"/>
      <c r="CB1168" s="6"/>
      <c r="CC1168" s="6"/>
      <c r="CD1168" s="6"/>
      <c r="CE1168" s="6"/>
      <c r="CF1168" s="6"/>
      <c r="CG1168" s="6"/>
      <c r="CH1168" s="6"/>
      <c r="CI1168" s="6"/>
      <c r="CJ1168" s="6"/>
      <c r="CK1168" s="6"/>
      <c r="CL1168" s="6"/>
      <c r="CM1168" s="6"/>
      <c r="CN1168" s="6"/>
      <c r="CO1168" s="6"/>
      <c r="CP1168" s="6"/>
      <c r="CQ1168" s="6"/>
      <c r="CR1168" s="6"/>
      <c r="CS1168" s="6"/>
      <c r="CT1168" s="6"/>
      <c r="CU1168" s="6"/>
      <c r="CV1168" s="6"/>
      <c r="CW1168" s="6"/>
      <c r="CX1168" s="6"/>
      <c r="CY1168" s="6"/>
      <c r="CZ1168" s="6"/>
      <c r="DA1168" s="6"/>
      <c r="DB1168" s="6"/>
      <c r="DC1168" s="6"/>
      <c r="DD1168" s="6"/>
    </row>
    <row r="1169" spans="1:108" ht="12.75" hidden="1" customHeight="1" outlineLevel="5">
      <c r="A1169" s="104" t="s">
        <v>195</v>
      </c>
      <c r="B1169" s="108">
        <v>0.5</v>
      </c>
      <c r="C1169" s="20"/>
      <c r="D1169" s="18" t="str">
        <f t="shared" si="67"/>
        <v>&lt;Act_Top_Thick&gt;0.500000&lt;/Act_Top_Thick&gt;</v>
      </c>
      <c r="E1169" s="174" t="str">
        <f t="shared" si="65"/>
        <v>Yes</v>
      </c>
      <c r="F1169" s="6" t="s">
        <v>783</v>
      </c>
      <c r="G1169" s="6"/>
      <c r="H1169" s="6"/>
      <c r="I1169" s="6"/>
      <c r="J1169" s="6"/>
      <c r="K1169" s="6"/>
      <c r="L1169" s="6"/>
      <c r="M1169" s="6"/>
      <c r="N1169" s="6"/>
      <c r="O1169" s="6"/>
      <c r="P1169" s="6"/>
      <c r="Q1169" s="6"/>
      <c r="R1169" s="6"/>
      <c r="S1169" s="6"/>
      <c r="T1169" s="6"/>
      <c r="U1169" s="6"/>
      <c r="V1169" s="6"/>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c r="BU1169" s="6"/>
      <c r="BV1169" s="6"/>
      <c r="BW1169" s="6"/>
      <c r="BX1169" s="6"/>
      <c r="BY1169" s="6"/>
      <c r="BZ1169" s="6"/>
      <c r="CA1169" s="6"/>
      <c r="CB1169" s="6"/>
      <c r="CC1169" s="6"/>
      <c r="CD1169" s="6"/>
      <c r="CE1169" s="6"/>
      <c r="CF1169" s="6"/>
      <c r="CG1169" s="6"/>
      <c r="CH1169" s="6"/>
      <c r="CI1169" s="6"/>
      <c r="CJ1169" s="6"/>
      <c r="CK1169" s="6"/>
      <c r="CL1169" s="6"/>
      <c r="CM1169" s="6"/>
      <c r="CN1169" s="6"/>
      <c r="CO1169" s="6"/>
      <c r="CP1169" s="6"/>
      <c r="CQ1169" s="6"/>
      <c r="CR1169" s="6"/>
      <c r="CS1169" s="6"/>
      <c r="CT1169" s="6"/>
      <c r="CU1169" s="6"/>
      <c r="CV1169" s="6"/>
      <c r="CW1169" s="6"/>
      <c r="CX1169" s="6"/>
      <c r="CY1169" s="6"/>
      <c r="CZ1169" s="6"/>
      <c r="DA1169" s="6"/>
      <c r="DB1169" s="6"/>
      <c r="DC1169" s="6"/>
      <c r="DD1169" s="6"/>
    </row>
    <row r="1170" spans="1:108" ht="12.75" hidden="1" customHeight="1" outlineLevel="5">
      <c r="A1170" s="104" t="s">
        <v>196</v>
      </c>
      <c r="B1170" s="108">
        <v>0.5</v>
      </c>
      <c r="C1170" s="20"/>
      <c r="D1170" s="18" t="str">
        <f t="shared" si="67"/>
        <v>&lt;Act_Bot_Thick&gt;0.500000&lt;/Act_Bot_Thick&gt;</v>
      </c>
      <c r="E1170" s="174" t="str">
        <f t="shared" si="65"/>
        <v>Yes</v>
      </c>
      <c r="F1170" s="6" t="s">
        <v>784</v>
      </c>
      <c r="G1170" s="6"/>
      <c r="H1170" s="6"/>
      <c r="I1170" s="6"/>
      <c r="J1170" s="6"/>
      <c r="K1170" s="6"/>
      <c r="L1170" s="6"/>
      <c r="M1170" s="6"/>
      <c r="N1170" s="6"/>
      <c r="O1170" s="6"/>
      <c r="P1170" s="6"/>
      <c r="Q1170" s="6"/>
      <c r="R1170" s="6"/>
      <c r="S1170" s="6"/>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c r="BU1170" s="6"/>
      <c r="BV1170" s="6"/>
      <c r="BW1170" s="6"/>
      <c r="BX1170" s="6"/>
      <c r="BY1170" s="6"/>
      <c r="BZ1170" s="6"/>
      <c r="CA1170" s="6"/>
      <c r="CB1170" s="6"/>
      <c r="CC1170" s="6"/>
      <c r="CD1170" s="6"/>
      <c r="CE1170" s="6"/>
      <c r="CF1170" s="6"/>
      <c r="CG1170" s="6"/>
      <c r="CH1170" s="6"/>
      <c r="CI1170" s="6"/>
      <c r="CJ1170" s="6"/>
      <c r="CK1170" s="6"/>
      <c r="CL1170" s="6"/>
      <c r="CM1170" s="6"/>
      <c r="CN1170" s="6"/>
      <c r="CO1170" s="6"/>
      <c r="CP1170" s="6"/>
      <c r="CQ1170" s="6"/>
      <c r="CR1170" s="6"/>
      <c r="CS1170" s="6"/>
      <c r="CT1170" s="6"/>
      <c r="CU1170" s="6"/>
      <c r="CV1170" s="6"/>
      <c r="CW1170" s="6"/>
      <c r="CX1170" s="6"/>
      <c r="CY1170" s="6"/>
      <c r="CZ1170" s="6"/>
      <c r="DA1170" s="6"/>
      <c r="DB1170" s="6"/>
      <c r="DC1170" s="6"/>
      <c r="DD1170" s="6"/>
    </row>
    <row r="1171" spans="1:108" ht="12.75" hidden="1" customHeight="1" outlineLevel="5">
      <c r="A1171" s="104" t="s">
        <v>197</v>
      </c>
      <c r="B1171" s="108">
        <v>0.5</v>
      </c>
      <c r="C1171" s="20"/>
      <c r="D1171" s="18" t="str">
        <f t="shared" si="67"/>
        <v>&lt;Act_Side_Thick&gt;0.500000&lt;/Act_Side_Thick&gt;</v>
      </c>
      <c r="E1171" s="174" t="str">
        <f t="shared" si="65"/>
        <v>Yes</v>
      </c>
      <c r="F1171" s="6" t="s">
        <v>785</v>
      </c>
      <c r="G1171" s="6"/>
      <c r="H1171" s="6"/>
      <c r="I1171" s="6"/>
      <c r="J1171" s="6"/>
      <c r="K1171" s="6"/>
      <c r="L1171" s="6"/>
      <c r="M1171" s="6"/>
      <c r="N1171" s="6"/>
      <c r="O1171" s="6"/>
      <c r="P1171" s="6"/>
      <c r="Q1171" s="6"/>
      <c r="R1171" s="6"/>
      <c r="S1171" s="6"/>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c r="BU1171" s="6"/>
      <c r="BV1171" s="6"/>
      <c r="BW1171" s="6"/>
      <c r="BX1171" s="6"/>
      <c r="BY1171" s="6"/>
      <c r="BZ1171" s="6"/>
      <c r="CA1171" s="6"/>
      <c r="CB1171" s="6"/>
      <c r="CC1171" s="6"/>
      <c r="CD1171" s="6"/>
      <c r="CE1171" s="6"/>
      <c r="CF1171" s="6"/>
      <c r="CG1171" s="6"/>
      <c r="CH1171" s="6"/>
      <c r="CI1171" s="6"/>
      <c r="CJ1171" s="6"/>
      <c r="CK1171" s="6"/>
      <c r="CL1171" s="6"/>
      <c r="CM1171" s="6"/>
      <c r="CN1171" s="6"/>
      <c r="CO1171" s="6"/>
      <c r="CP1171" s="6"/>
      <c r="CQ1171" s="6"/>
      <c r="CR1171" s="6"/>
      <c r="CS1171" s="6"/>
      <c r="CT1171" s="6"/>
      <c r="CU1171" s="6"/>
      <c r="CV1171" s="6"/>
      <c r="CW1171" s="6"/>
      <c r="CX1171" s="6"/>
      <c r="CY1171" s="6"/>
      <c r="CZ1171" s="6"/>
      <c r="DA1171" s="6"/>
      <c r="DB1171" s="6"/>
      <c r="DC1171" s="6"/>
      <c r="DD1171" s="6"/>
    </row>
    <row r="1172" spans="1:108" ht="12.75" hidden="1" customHeight="1" outlineLevel="5">
      <c r="A1172" s="104" t="s">
        <v>198</v>
      </c>
      <c r="B1172" s="108">
        <v>0</v>
      </c>
      <c r="C1172" s="20"/>
      <c r="D1172" s="18" t="str">
        <f t="shared" si="67"/>
        <v>&lt;IML_X_Offset&gt;0.000000&lt;/IML_X_Offset&gt;</v>
      </c>
      <c r="E1172" s="174" t="str">
        <f t="shared" si="65"/>
        <v>Yes</v>
      </c>
      <c r="F1172" s="6" t="s">
        <v>786</v>
      </c>
      <c r="G1172" s="6"/>
      <c r="H1172" s="6"/>
      <c r="I1172" s="6"/>
      <c r="J1172" s="6"/>
      <c r="K1172" s="6"/>
      <c r="L1172" s="6"/>
      <c r="M1172" s="6"/>
      <c r="N1172" s="6"/>
      <c r="O1172" s="6"/>
      <c r="P1172" s="6"/>
      <c r="Q1172" s="6"/>
      <c r="R1172" s="6"/>
      <c r="S1172" s="6"/>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c r="BU1172" s="6"/>
      <c r="BV1172" s="6"/>
      <c r="BW1172" s="6"/>
      <c r="BX1172" s="6"/>
      <c r="BY1172" s="6"/>
      <c r="BZ1172" s="6"/>
      <c r="CA1172" s="6"/>
      <c r="CB1172" s="6"/>
      <c r="CC1172" s="6"/>
      <c r="CD1172" s="6"/>
      <c r="CE1172" s="6"/>
      <c r="CF1172" s="6"/>
      <c r="CG1172" s="6"/>
      <c r="CH1172" s="6"/>
      <c r="CI1172" s="6"/>
      <c r="CJ1172" s="6"/>
      <c r="CK1172" s="6"/>
      <c r="CL1172" s="6"/>
      <c r="CM1172" s="6"/>
      <c r="CN1172" s="6"/>
      <c r="CO1172" s="6"/>
      <c r="CP1172" s="6"/>
      <c r="CQ1172" s="6"/>
      <c r="CR1172" s="6"/>
      <c r="CS1172" s="6"/>
      <c r="CT1172" s="6"/>
      <c r="CU1172" s="6"/>
      <c r="CV1172" s="6"/>
      <c r="CW1172" s="6"/>
      <c r="CX1172" s="6"/>
      <c r="CY1172" s="6"/>
      <c r="CZ1172" s="6"/>
      <c r="DA1172" s="6"/>
      <c r="DB1172" s="6"/>
      <c r="DC1172" s="6"/>
      <c r="DD1172" s="6"/>
    </row>
    <row r="1173" spans="1:108" ht="12.75" hidden="1" customHeight="1" outlineLevel="5">
      <c r="A1173" s="104" t="s">
        <v>199</v>
      </c>
      <c r="B1173" s="108">
        <v>0</v>
      </c>
      <c r="C1173" s="20"/>
      <c r="D1173" s="18" t="str">
        <f t="shared" si="67"/>
        <v>&lt;IML_Z_Offset&gt;0.000000&lt;/IML_Z_Offset&gt;</v>
      </c>
      <c r="E1173" s="174" t="str">
        <f t="shared" si="65"/>
        <v>Yes</v>
      </c>
      <c r="F1173" s="6" t="s">
        <v>787</v>
      </c>
      <c r="G1173" s="6"/>
      <c r="H1173" s="6"/>
      <c r="I1173" s="6"/>
      <c r="J1173" s="6"/>
      <c r="K1173" s="6"/>
      <c r="L1173" s="6"/>
      <c r="M1173" s="6"/>
      <c r="N1173" s="6"/>
      <c r="O1173" s="6"/>
      <c r="P1173" s="6"/>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c r="BU1173" s="6"/>
      <c r="BV1173" s="6"/>
      <c r="BW1173" s="6"/>
      <c r="BX1173" s="6"/>
      <c r="BY1173" s="6"/>
      <c r="BZ1173" s="6"/>
      <c r="CA1173" s="6"/>
      <c r="CB1173" s="6"/>
      <c r="CC1173" s="6"/>
      <c r="CD1173" s="6"/>
      <c r="CE1173" s="6"/>
      <c r="CF1173" s="6"/>
      <c r="CG1173" s="6"/>
      <c r="CH1173" s="6"/>
      <c r="CI1173" s="6"/>
      <c r="CJ1173" s="6"/>
      <c r="CK1173" s="6"/>
      <c r="CL1173" s="6"/>
      <c r="CM1173" s="6"/>
      <c r="CN1173" s="6"/>
      <c r="CO1173" s="6"/>
      <c r="CP1173" s="6"/>
      <c r="CQ1173" s="6"/>
      <c r="CR1173" s="6"/>
      <c r="CS1173" s="6"/>
      <c r="CT1173" s="6"/>
      <c r="CU1173" s="6"/>
      <c r="CV1173" s="6"/>
      <c r="CW1173" s="6"/>
      <c r="CX1173" s="6"/>
      <c r="CY1173" s="6"/>
      <c r="CZ1173" s="6"/>
      <c r="DA1173" s="6"/>
      <c r="DB1173" s="6"/>
      <c r="DC1173" s="6"/>
      <c r="DD1173" s="6"/>
    </row>
    <row r="1174" spans="1:108" ht="12.75" hidden="1" customHeight="1" outlineLevel="5">
      <c r="A1174" s="104" t="s">
        <v>200</v>
      </c>
      <c r="B1174" s="108">
        <v>0</v>
      </c>
      <c r="C1174" s="20"/>
      <c r="D1174" s="18" t="str">
        <f>"&lt;" &amp; A1174 &amp; "&gt;" &amp; TEXT(B1174,0) &amp; "&lt;/" &amp; A1174 &amp; "&gt;"</f>
        <v>&lt;ML_Type&gt;0&lt;/ML_Type&gt;</v>
      </c>
      <c r="E1174" s="174" t="str">
        <f t="shared" si="65"/>
        <v>Yes</v>
      </c>
      <c r="F1174" s="6" t="s">
        <v>788</v>
      </c>
      <c r="G1174" s="6"/>
      <c r="H1174" s="6"/>
      <c r="I1174" s="6"/>
      <c r="J1174" s="6"/>
      <c r="K1174" s="6"/>
      <c r="L1174" s="6"/>
      <c r="M1174" s="6"/>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c r="BU1174" s="6"/>
      <c r="BV1174" s="6"/>
      <c r="BW1174" s="6"/>
      <c r="BX1174" s="6"/>
      <c r="BY1174" s="6"/>
      <c r="BZ1174" s="6"/>
      <c r="CA1174" s="6"/>
      <c r="CB1174" s="6"/>
      <c r="CC1174" s="6"/>
      <c r="CD1174" s="6"/>
      <c r="CE1174" s="6"/>
      <c r="CF1174" s="6"/>
      <c r="CG1174" s="6"/>
      <c r="CH1174" s="6"/>
      <c r="CI1174" s="6"/>
      <c r="CJ1174" s="6"/>
      <c r="CK1174" s="6"/>
      <c r="CL1174" s="6"/>
      <c r="CM1174" s="6"/>
      <c r="CN1174" s="6"/>
      <c r="CO1174" s="6"/>
      <c r="CP1174" s="6"/>
      <c r="CQ1174" s="6"/>
      <c r="CR1174" s="6"/>
      <c r="CS1174" s="6"/>
      <c r="CT1174" s="6"/>
      <c r="CU1174" s="6"/>
      <c r="CV1174" s="6"/>
      <c r="CW1174" s="6"/>
      <c r="CX1174" s="6"/>
      <c r="CY1174" s="6"/>
      <c r="CZ1174" s="6"/>
      <c r="DA1174" s="6"/>
      <c r="DB1174" s="6"/>
      <c r="DC1174" s="6"/>
      <c r="DD1174" s="6"/>
    </row>
    <row r="1175" spans="1:108" ht="12.75" hidden="1" customHeight="1" outlineLevel="5">
      <c r="A1175" s="104" t="s">
        <v>182</v>
      </c>
      <c r="B1175" s="108">
        <v>0</v>
      </c>
      <c r="C1175" s="20"/>
      <c r="D1175" s="18" t="str">
        <f>"&lt;" &amp; A1175 &amp; "&gt;" &amp; TEXT(B1175,0) &amp; "&lt;/" &amp; A1175 &amp; "&gt;"</f>
        <v>&lt;IML_Flag&gt;0&lt;/IML_Flag&gt;</v>
      </c>
      <c r="E1175" s="174" t="str">
        <f t="shared" si="65"/>
        <v>Yes</v>
      </c>
      <c r="F1175" s="6" t="s">
        <v>770</v>
      </c>
      <c r="G1175" s="6"/>
      <c r="H1175" s="6"/>
      <c r="I1175" s="6"/>
      <c r="J1175" s="6"/>
      <c r="K1175" s="6"/>
      <c r="L1175" s="6"/>
      <c r="M1175" s="6"/>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c r="BU1175" s="6"/>
      <c r="BV1175" s="6"/>
      <c r="BW1175" s="6"/>
      <c r="BX1175" s="6"/>
      <c r="BY1175" s="6"/>
      <c r="BZ1175" s="6"/>
      <c r="CA1175" s="6"/>
      <c r="CB1175" s="6"/>
      <c r="CC1175" s="6"/>
      <c r="CD1175" s="6"/>
      <c r="CE1175" s="6"/>
      <c r="CF1175" s="6"/>
      <c r="CG1175" s="6"/>
      <c r="CH1175" s="6"/>
      <c r="CI1175" s="6"/>
      <c r="CJ1175" s="6"/>
      <c r="CK1175" s="6"/>
      <c r="CL1175" s="6"/>
      <c r="CM1175" s="6"/>
      <c r="CN1175" s="6"/>
      <c r="CO1175" s="6"/>
      <c r="CP1175" s="6"/>
      <c r="CQ1175" s="6"/>
      <c r="CR1175" s="6"/>
      <c r="CS1175" s="6"/>
      <c r="CT1175" s="6"/>
      <c r="CU1175" s="6"/>
      <c r="CV1175" s="6"/>
      <c r="CW1175" s="6"/>
      <c r="CX1175" s="6"/>
      <c r="CY1175" s="6"/>
      <c r="CZ1175" s="6"/>
      <c r="DA1175" s="6"/>
      <c r="DB1175" s="6"/>
      <c r="DC1175" s="6"/>
      <c r="DD1175" s="6"/>
    </row>
    <row r="1176" spans="1:108" ht="12.75" hidden="1" customHeight="1" outlineLevel="5">
      <c r="A1176" s="104" t="s">
        <v>201</v>
      </c>
      <c r="B1176" s="108">
        <v>0.25</v>
      </c>
      <c r="C1176" s="20"/>
      <c r="D1176" s="18" t="str">
        <f>"&lt;" &amp; A1176 &amp; "&gt;" &amp; TEXT(B1176,"0.000000") &amp; "&lt;/" &amp; A1176 &amp; "&gt;"</f>
        <v>&lt;Profile_Tan_Str_1&gt;0.250000&lt;/Profile_Tan_Str_1&gt;</v>
      </c>
      <c r="E1176" s="174" t="str">
        <f t="shared" si="65"/>
        <v>Yes</v>
      </c>
      <c r="F1176" s="6" t="s">
        <v>789</v>
      </c>
      <c r="G1176" s="6"/>
      <c r="H1176" s="6"/>
      <c r="I1176" s="6"/>
      <c r="J1176" s="6"/>
      <c r="K1176" s="6"/>
      <c r="L1176" s="6"/>
      <c r="M1176" s="6"/>
      <c r="N1176" s="6"/>
      <c r="O1176" s="6"/>
      <c r="P1176" s="6"/>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c r="BU1176" s="6"/>
      <c r="BV1176" s="6"/>
      <c r="BW1176" s="6"/>
      <c r="BX1176" s="6"/>
      <c r="BY1176" s="6"/>
      <c r="BZ1176" s="6"/>
      <c r="CA1176" s="6"/>
      <c r="CB1176" s="6"/>
      <c r="CC1176" s="6"/>
      <c r="CD1176" s="6"/>
      <c r="CE1176" s="6"/>
      <c r="CF1176" s="6"/>
      <c r="CG1176" s="6"/>
      <c r="CH1176" s="6"/>
      <c r="CI1176" s="6"/>
      <c r="CJ1176" s="6"/>
      <c r="CK1176" s="6"/>
      <c r="CL1176" s="6"/>
      <c r="CM1176" s="6"/>
      <c r="CN1176" s="6"/>
      <c r="CO1176" s="6"/>
      <c r="CP1176" s="6"/>
      <c r="CQ1176" s="6"/>
      <c r="CR1176" s="6"/>
      <c r="CS1176" s="6"/>
      <c r="CT1176" s="6"/>
      <c r="CU1176" s="6"/>
      <c r="CV1176" s="6"/>
      <c r="CW1176" s="6"/>
      <c r="CX1176" s="6"/>
      <c r="CY1176" s="6"/>
      <c r="CZ1176" s="6"/>
      <c r="DA1176" s="6"/>
      <c r="DB1176" s="6"/>
      <c r="DC1176" s="6"/>
      <c r="DD1176" s="6"/>
    </row>
    <row r="1177" spans="1:108" ht="12.75" hidden="1" customHeight="1" outlineLevel="5">
      <c r="A1177" s="104" t="s">
        <v>202</v>
      </c>
      <c r="B1177" s="108">
        <v>0.25</v>
      </c>
      <c r="C1177" s="20"/>
      <c r="D1177" s="18" t="str">
        <f>"&lt;" &amp; A1177 &amp; "&gt;" &amp; TEXT(B1177,"0.000000") &amp; "&lt;/" &amp; A1177 &amp; "&gt;"</f>
        <v>&lt;Profile_Tan_Str_2&gt;0.250000&lt;/Profile_Tan_Str_2&gt;</v>
      </c>
      <c r="E1177" s="174" t="str">
        <f t="shared" si="65"/>
        <v>Yes</v>
      </c>
      <c r="F1177" s="6" t="s">
        <v>790</v>
      </c>
      <c r="G1177" s="6"/>
      <c r="H1177" s="6"/>
      <c r="I1177" s="6"/>
      <c r="J1177" s="6"/>
      <c r="K1177" s="6"/>
      <c r="L1177" s="6"/>
      <c r="M1177" s="6"/>
      <c r="N1177" s="6"/>
      <c r="O1177" s="6"/>
      <c r="P1177" s="6"/>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c r="BU1177" s="6"/>
      <c r="BV1177" s="6"/>
      <c r="BW1177" s="6"/>
      <c r="BX1177" s="6"/>
      <c r="BY1177" s="6"/>
      <c r="BZ1177" s="6"/>
      <c r="CA1177" s="6"/>
      <c r="CB1177" s="6"/>
      <c r="CC1177" s="6"/>
      <c r="CD1177" s="6"/>
      <c r="CE1177" s="6"/>
      <c r="CF1177" s="6"/>
      <c r="CG1177" s="6"/>
      <c r="CH1177" s="6"/>
      <c r="CI1177" s="6"/>
      <c r="CJ1177" s="6"/>
      <c r="CK1177" s="6"/>
      <c r="CL1177" s="6"/>
      <c r="CM1177" s="6"/>
      <c r="CN1177" s="6"/>
      <c r="CO1177" s="6"/>
      <c r="CP1177" s="6"/>
      <c r="CQ1177" s="6"/>
      <c r="CR1177" s="6"/>
      <c r="CS1177" s="6"/>
      <c r="CT1177" s="6"/>
      <c r="CU1177" s="6"/>
      <c r="CV1177" s="6"/>
      <c r="CW1177" s="6"/>
      <c r="CX1177" s="6"/>
      <c r="CY1177" s="6"/>
      <c r="CZ1177" s="6"/>
      <c r="DA1177" s="6"/>
      <c r="DB1177" s="6"/>
      <c r="DC1177" s="6"/>
      <c r="DD1177" s="6"/>
    </row>
    <row r="1178" spans="1:108" ht="12.75" hidden="1" customHeight="1" outlineLevel="5">
      <c r="A1178" s="104" t="s">
        <v>203</v>
      </c>
      <c r="B1178" s="108">
        <v>0</v>
      </c>
      <c r="C1178" s="20"/>
      <c r="D1178" s="18" t="str">
        <f>"&lt;" &amp; A1178 &amp; "&gt;" &amp; TEXT(B1178,"0.000000") &amp; "&lt;/" &amp; A1178 &amp; "&gt;"</f>
        <v>&lt;Profile_Tan_Ang&gt;0.000000&lt;/Profile_Tan_Ang&gt;</v>
      </c>
      <c r="E1178" s="174" t="str">
        <f t="shared" si="65"/>
        <v>Yes</v>
      </c>
      <c r="F1178" s="6" t="s">
        <v>791</v>
      </c>
      <c r="G1178" s="6"/>
      <c r="H1178" s="6"/>
      <c r="I1178" s="6"/>
      <c r="J1178" s="6"/>
      <c r="K1178" s="6"/>
      <c r="L1178" s="6"/>
      <c r="M1178" s="6"/>
      <c r="N1178" s="6"/>
      <c r="O1178" s="6"/>
      <c r="P1178" s="6"/>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c r="BU1178" s="6"/>
      <c r="BV1178" s="6"/>
      <c r="BW1178" s="6"/>
      <c r="BX1178" s="6"/>
      <c r="BY1178" s="6"/>
      <c r="BZ1178" s="6"/>
      <c r="CA1178" s="6"/>
      <c r="CB1178" s="6"/>
      <c r="CC1178" s="6"/>
      <c r="CD1178" s="6"/>
      <c r="CE1178" s="6"/>
      <c r="CF1178" s="6"/>
      <c r="CG1178" s="6"/>
      <c r="CH1178" s="6"/>
      <c r="CI1178" s="6"/>
      <c r="CJ1178" s="6"/>
      <c r="CK1178" s="6"/>
      <c r="CL1178" s="6"/>
      <c r="CM1178" s="6"/>
      <c r="CN1178" s="6"/>
      <c r="CO1178" s="6"/>
      <c r="CP1178" s="6"/>
      <c r="CQ1178" s="6"/>
      <c r="CR1178" s="6"/>
      <c r="CS1178" s="6"/>
      <c r="CT1178" s="6"/>
      <c r="CU1178" s="6"/>
      <c r="CV1178" s="6"/>
      <c r="CW1178" s="6"/>
      <c r="CX1178" s="6"/>
      <c r="CY1178" s="6"/>
      <c r="CZ1178" s="6"/>
      <c r="DA1178" s="6"/>
      <c r="DB1178" s="6"/>
      <c r="DC1178" s="6"/>
      <c r="DD1178" s="6"/>
    </row>
    <row r="1179" spans="1:108" ht="12.75" hidden="1" customHeight="1" outlineLevel="5">
      <c r="A1179" s="104" t="s">
        <v>204</v>
      </c>
      <c r="B1179" s="108">
        <v>6</v>
      </c>
      <c r="C1179" s="20"/>
      <c r="D1179" s="18" t="str">
        <f>"&lt;" &amp; A1179 &amp; "&gt;" &amp; TEXT(B1179,0) &amp; "&lt;/" &amp; A1179 &amp; "&gt;"</f>
        <v>&lt;Num_Sect_Interp_1&gt;6&lt;/Num_Sect_Interp_1&gt;</v>
      </c>
      <c r="E1179" s="174" t="str">
        <f t="shared" si="65"/>
        <v>Yes</v>
      </c>
      <c r="F1179" s="6" t="s">
        <v>814</v>
      </c>
      <c r="G1179" s="6"/>
      <c r="H1179" s="6"/>
      <c r="I1179" s="6"/>
      <c r="J1179" s="6"/>
      <c r="K1179" s="6"/>
      <c r="L1179" s="6"/>
      <c r="M1179" s="6"/>
      <c r="N1179" s="6"/>
      <c r="O1179" s="6"/>
      <c r="P1179" s="6"/>
      <c r="Q1179" s="6"/>
      <c r="R1179" s="6"/>
      <c r="S1179" s="6"/>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c r="BU1179" s="6"/>
      <c r="BV1179" s="6"/>
      <c r="BW1179" s="6"/>
      <c r="BX1179" s="6"/>
      <c r="BY1179" s="6"/>
      <c r="BZ1179" s="6"/>
      <c r="CA1179" s="6"/>
      <c r="CB1179" s="6"/>
      <c r="CC1179" s="6"/>
      <c r="CD1179" s="6"/>
      <c r="CE1179" s="6"/>
      <c r="CF1179" s="6"/>
      <c r="CG1179" s="6"/>
      <c r="CH1179" s="6"/>
      <c r="CI1179" s="6"/>
      <c r="CJ1179" s="6"/>
      <c r="CK1179" s="6"/>
      <c r="CL1179" s="6"/>
      <c r="CM1179" s="6"/>
      <c r="CN1179" s="6"/>
      <c r="CO1179" s="6"/>
      <c r="CP1179" s="6"/>
      <c r="CQ1179" s="6"/>
      <c r="CR1179" s="6"/>
      <c r="CS1179" s="6"/>
      <c r="CT1179" s="6"/>
      <c r="CU1179" s="6"/>
      <c r="CV1179" s="6"/>
      <c r="CW1179" s="6"/>
      <c r="CX1179" s="6"/>
      <c r="CY1179" s="6"/>
      <c r="CZ1179" s="6"/>
      <c r="DA1179" s="6"/>
      <c r="DB1179" s="6"/>
      <c r="DC1179" s="6"/>
      <c r="DD1179" s="6"/>
    </row>
    <row r="1180" spans="1:108" ht="12.75" hidden="1" customHeight="1" outlineLevel="5">
      <c r="A1180" s="104" t="s">
        <v>205</v>
      </c>
      <c r="B1180" s="108">
        <v>0</v>
      </c>
      <c r="C1180" s="20"/>
      <c r="D1180" s="18" t="str">
        <f>"&lt;" &amp; A1180 &amp; "&gt;" &amp; TEXT(B1180,0) &amp; "&lt;/" &amp; A1180 &amp; "&gt;"</f>
        <v>&lt;Num_Sect_Interp_2&gt;0&lt;/Num_Sect_Interp_2&gt;</v>
      </c>
      <c r="E1180" s="174" t="str">
        <f t="shared" si="65"/>
        <v>Yes</v>
      </c>
      <c r="F1180" s="6" t="s">
        <v>815</v>
      </c>
      <c r="G1180" s="6"/>
      <c r="H1180" s="6"/>
      <c r="I1180" s="6"/>
      <c r="J1180" s="6"/>
      <c r="K1180" s="6"/>
      <c r="L1180" s="6"/>
      <c r="M1180" s="6"/>
      <c r="N1180" s="6"/>
      <c r="O1180" s="6"/>
      <c r="P1180" s="6"/>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c r="BU1180" s="6"/>
      <c r="BV1180" s="6"/>
      <c r="BW1180" s="6"/>
      <c r="BX1180" s="6"/>
      <c r="BY1180" s="6"/>
      <c r="BZ1180" s="6"/>
      <c r="CA1180" s="6"/>
      <c r="CB1180" s="6"/>
      <c r="CC1180" s="6"/>
      <c r="CD1180" s="6"/>
      <c r="CE1180" s="6"/>
      <c r="CF1180" s="6"/>
      <c r="CG1180" s="6"/>
      <c r="CH1180" s="6"/>
      <c r="CI1180" s="6"/>
      <c r="CJ1180" s="6"/>
      <c r="CK1180" s="6"/>
      <c r="CL1180" s="6"/>
      <c r="CM1180" s="6"/>
      <c r="CN1180" s="6"/>
      <c r="CO1180" s="6"/>
      <c r="CP1180" s="6"/>
      <c r="CQ1180" s="6"/>
      <c r="CR1180" s="6"/>
      <c r="CS1180" s="6"/>
      <c r="CT1180" s="6"/>
      <c r="CU1180" s="6"/>
      <c r="CV1180" s="6"/>
      <c r="CW1180" s="6"/>
      <c r="CX1180" s="6"/>
      <c r="CY1180" s="6"/>
      <c r="CZ1180" s="6"/>
      <c r="DA1180" s="6"/>
      <c r="DB1180" s="6"/>
      <c r="DC1180" s="6"/>
      <c r="DD1180" s="6"/>
    </row>
    <row r="1181" spans="1:108" ht="12.75" hidden="1" customHeight="1" outlineLevel="5">
      <c r="A1181" s="104" t="s">
        <v>206</v>
      </c>
      <c r="C1181" s="20"/>
      <c r="D1181" s="6" t="str">
        <f>"&lt;" &amp; A1181 &amp; "&gt;"</f>
        <v>&lt;OML_Parms&gt;</v>
      </c>
      <c r="E1181" s="174" t="str">
        <f t="shared" si="65"/>
        <v>Yes</v>
      </c>
      <c r="F1181" s="6" t="s">
        <v>794</v>
      </c>
      <c r="G1181" s="6"/>
      <c r="H1181" s="6"/>
      <c r="I1181" s="6"/>
      <c r="J1181" s="6"/>
      <c r="K1181" s="6"/>
      <c r="L1181" s="6"/>
      <c r="M1181" s="6"/>
      <c r="N1181" s="6"/>
      <c r="O1181" s="6"/>
      <c r="P1181" s="6"/>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c r="BU1181" s="6"/>
      <c r="BV1181" s="6"/>
      <c r="BW1181" s="6"/>
      <c r="BX1181" s="6"/>
      <c r="BY1181" s="6"/>
      <c r="BZ1181" s="6"/>
      <c r="CA1181" s="6"/>
      <c r="CB1181" s="6"/>
      <c r="CC1181" s="6"/>
      <c r="CD1181" s="6"/>
      <c r="CE1181" s="6"/>
      <c r="CF1181" s="6"/>
      <c r="CG1181" s="6"/>
      <c r="CH1181" s="6"/>
      <c r="CI1181" s="6"/>
      <c r="CJ1181" s="6"/>
      <c r="CK1181" s="6"/>
      <c r="CL1181" s="6"/>
      <c r="CM1181" s="6"/>
      <c r="CN1181" s="6"/>
      <c r="CO1181" s="6"/>
      <c r="CP1181" s="6"/>
      <c r="CQ1181" s="6"/>
      <c r="CR1181" s="6"/>
      <c r="CS1181" s="6"/>
      <c r="CT1181" s="6"/>
      <c r="CU1181" s="6"/>
      <c r="CV1181" s="6"/>
      <c r="CW1181" s="6"/>
      <c r="CX1181" s="6"/>
      <c r="CY1181" s="6"/>
      <c r="CZ1181" s="6"/>
      <c r="DA1181" s="6"/>
      <c r="DB1181" s="6"/>
      <c r="DC1181" s="6"/>
      <c r="DD1181" s="6"/>
    </row>
    <row r="1182" spans="1:108" ht="12.75" hidden="1" customHeight="1" outlineLevel="6">
      <c r="A1182" s="104" t="s">
        <v>14</v>
      </c>
      <c r="B1182" s="6">
        <v>1</v>
      </c>
      <c r="C1182" s="20"/>
      <c r="D1182" s="18" t="str">
        <f>"&lt;" &amp; A1182 &amp; "&gt;" &amp; TEXT(B1182,0) &amp; "&lt;/" &amp; A1182 &amp; "&gt;"</f>
        <v>&lt;Type&gt;1&lt;/Type&gt;</v>
      </c>
      <c r="E1182" s="174" t="str">
        <f t="shared" si="65"/>
        <v>Yes</v>
      </c>
      <c r="F1182" s="6" t="s">
        <v>679</v>
      </c>
      <c r="G1182" s="6"/>
      <c r="H1182" s="6"/>
      <c r="I1182" s="6"/>
      <c r="J1182" s="6"/>
      <c r="K1182" s="6"/>
      <c r="L1182" s="6"/>
      <c r="M1182" s="6"/>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c r="BU1182" s="6"/>
      <c r="BV1182" s="6"/>
      <c r="BW1182" s="6"/>
      <c r="BX1182" s="6"/>
      <c r="BY1182" s="6"/>
      <c r="BZ1182" s="6"/>
      <c r="CA1182" s="6"/>
      <c r="CB1182" s="6"/>
      <c r="CC1182" s="6"/>
      <c r="CD1182" s="6"/>
      <c r="CE1182" s="6"/>
      <c r="CF1182" s="6"/>
      <c r="CG1182" s="6"/>
      <c r="CH1182" s="6"/>
      <c r="CI1182" s="6"/>
      <c r="CJ1182" s="6"/>
      <c r="CK1182" s="6"/>
      <c r="CL1182" s="6"/>
      <c r="CM1182" s="6"/>
      <c r="CN1182" s="6"/>
      <c r="CO1182" s="6"/>
      <c r="CP1182" s="6"/>
      <c r="CQ1182" s="6"/>
      <c r="CR1182" s="6"/>
      <c r="CS1182" s="6"/>
      <c r="CT1182" s="6"/>
      <c r="CU1182" s="6"/>
      <c r="CV1182" s="6"/>
      <c r="CW1182" s="6"/>
      <c r="CX1182" s="6"/>
      <c r="CY1182" s="6"/>
      <c r="CZ1182" s="6"/>
      <c r="DA1182" s="6"/>
      <c r="DB1182" s="6"/>
      <c r="DC1182" s="6"/>
      <c r="DD1182" s="6"/>
    </row>
    <row r="1183" spans="1:108" ht="12.75" hidden="1" customHeight="1" outlineLevel="6">
      <c r="A1183" s="104" t="s">
        <v>15</v>
      </c>
      <c r="B1183" s="35">
        <v>0</v>
      </c>
      <c r="C1183" s="20"/>
      <c r="D1183" s="18" t="str">
        <f t="shared" ref="D1183:D1192" si="68">"&lt;" &amp; A1183 &amp; "&gt;" &amp; TEXT(B1183,"0.000000") &amp; "&lt;/" &amp; A1183 &amp; "&gt;"</f>
        <v>&lt;Height&gt;0.000000&lt;/Height&gt;</v>
      </c>
      <c r="E1183" s="174" t="str">
        <f t="shared" si="65"/>
        <v>Yes</v>
      </c>
      <c r="F1183" s="6" t="s">
        <v>795</v>
      </c>
      <c r="G1183" s="6"/>
      <c r="H1183" s="6"/>
      <c r="I1183" s="6"/>
      <c r="J1183" s="6"/>
      <c r="K1183" s="6"/>
      <c r="L1183" s="6"/>
      <c r="M1183" s="6"/>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c r="BU1183" s="6"/>
      <c r="BV1183" s="6"/>
      <c r="BW1183" s="6"/>
      <c r="BX1183" s="6"/>
      <c r="BY1183" s="6"/>
      <c r="BZ1183" s="6"/>
      <c r="CA1183" s="6"/>
      <c r="CB1183" s="6"/>
      <c r="CC1183" s="6"/>
      <c r="CD1183" s="6"/>
      <c r="CE1183" s="6"/>
      <c r="CF1183" s="6"/>
      <c r="CG1183" s="6"/>
      <c r="CH1183" s="6"/>
      <c r="CI1183" s="6"/>
      <c r="CJ1183" s="6"/>
      <c r="CK1183" s="6"/>
      <c r="CL1183" s="6"/>
      <c r="CM1183" s="6"/>
      <c r="CN1183" s="6"/>
      <c r="CO1183" s="6"/>
      <c r="CP1183" s="6"/>
      <c r="CQ1183" s="6"/>
      <c r="CR1183" s="6"/>
      <c r="CS1183" s="6"/>
      <c r="CT1183" s="6"/>
      <c r="CU1183" s="6"/>
      <c r="CV1183" s="6"/>
      <c r="CW1183" s="6"/>
      <c r="CX1183" s="6"/>
      <c r="CY1183" s="6"/>
      <c r="CZ1183" s="6"/>
      <c r="DA1183" s="6"/>
      <c r="DB1183" s="6"/>
      <c r="DC1183" s="6"/>
      <c r="DD1183" s="6"/>
    </row>
    <row r="1184" spans="1:108" ht="12.75" hidden="1" customHeight="1" outlineLevel="6">
      <c r="A1184" s="104" t="s">
        <v>16</v>
      </c>
      <c r="B1184" s="35">
        <f>B1183</f>
        <v>0</v>
      </c>
      <c r="C1184" s="20"/>
      <c r="D1184" s="18" t="str">
        <f t="shared" si="68"/>
        <v>&lt;Width&gt;0.000000&lt;/Width&gt;</v>
      </c>
      <c r="E1184" s="174" t="str">
        <f t="shared" si="65"/>
        <v>Yes</v>
      </c>
      <c r="F1184" s="6" t="s">
        <v>796</v>
      </c>
      <c r="G1184" s="6"/>
      <c r="H1184" s="6"/>
      <c r="I1184" s="6"/>
      <c r="J1184" s="6"/>
      <c r="K1184" s="6"/>
      <c r="L1184" s="6"/>
      <c r="M1184" s="6"/>
      <c r="N1184" s="6"/>
      <c r="O1184" s="6"/>
      <c r="P1184" s="6"/>
      <c r="Q1184" s="6"/>
      <c r="R1184" s="6"/>
      <c r="S1184" s="6"/>
      <c r="T1184" s="6"/>
      <c r="U1184" s="6"/>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c r="BU1184" s="6"/>
      <c r="BV1184" s="6"/>
      <c r="BW1184" s="6"/>
      <c r="BX1184" s="6"/>
      <c r="BY1184" s="6"/>
      <c r="BZ1184" s="6"/>
      <c r="CA1184" s="6"/>
      <c r="CB1184" s="6"/>
      <c r="CC1184" s="6"/>
      <c r="CD1184" s="6"/>
      <c r="CE1184" s="6"/>
      <c r="CF1184" s="6"/>
      <c r="CG1184" s="6"/>
      <c r="CH1184" s="6"/>
      <c r="CI1184" s="6"/>
      <c r="CJ1184" s="6"/>
      <c r="CK1184" s="6"/>
      <c r="CL1184" s="6"/>
      <c r="CM1184" s="6"/>
      <c r="CN1184" s="6"/>
      <c r="CO1184" s="6"/>
      <c r="CP1184" s="6"/>
      <c r="CQ1184" s="6"/>
      <c r="CR1184" s="6"/>
      <c r="CS1184" s="6"/>
      <c r="CT1184" s="6"/>
      <c r="CU1184" s="6"/>
      <c r="CV1184" s="6"/>
      <c r="CW1184" s="6"/>
      <c r="CX1184" s="6"/>
      <c r="CY1184" s="6"/>
      <c r="CZ1184" s="6"/>
      <c r="DA1184" s="6"/>
      <c r="DB1184" s="6"/>
      <c r="DC1184" s="6"/>
      <c r="DD1184" s="6"/>
    </row>
    <row r="1185" spans="1:108" ht="12.75" hidden="1" customHeight="1" outlineLevel="6">
      <c r="A1185" s="104" t="s">
        <v>207</v>
      </c>
      <c r="B1185" s="6">
        <v>0</v>
      </c>
      <c r="C1185" s="20"/>
      <c r="D1185" s="18" t="str">
        <f t="shared" si="68"/>
        <v>&lt;Max_Width_Location&gt;0.000000&lt;/Max_Width_Location&gt;</v>
      </c>
      <c r="E1185" s="174" t="str">
        <f t="shared" si="65"/>
        <v>Yes</v>
      </c>
      <c r="F1185" s="6" t="s">
        <v>797</v>
      </c>
      <c r="G1185" s="6"/>
      <c r="H1185" s="6"/>
      <c r="I1185" s="6"/>
      <c r="J1185" s="6"/>
      <c r="K1185" s="6"/>
      <c r="L1185" s="6"/>
      <c r="M1185" s="6"/>
      <c r="N1185" s="6"/>
      <c r="O1185" s="6"/>
      <c r="P1185" s="6"/>
      <c r="Q1185" s="6"/>
      <c r="R1185" s="6"/>
      <c r="S1185" s="6"/>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c r="BU1185" s="6"/>
      <c r="BV1185" s="6"/>
      <c r="BW1185" s="6"/>
      <c r="BX1185" s="6"/>
      <c r="BY1185" s="6"/>
      <c r="BZ1185" s="6"/>
      <c r="CA1185" s="6"/>
      <c r="CB1185" s="6"/>
      <c r="CC1185" s="6"/>
      <c r="CD1185" s="6"/>
      <c r="CE1185" s="6"/>
      <c r="CF1185" s="6"/>
      <c r="CG1185" s="6"/>
      <c r="CH1185" s="6"/>
      <c r="CI1185" s="6"/>
      <c r="CJ1185" s="6"/>
      <c r="CK1185" s="6"/>
      <c r="CL1185" s="6"/>
      <c r="CM1185" s="6"/>
      <c r="CN1185" s="6"/>
      <c r="CO1185" s="6"/>
      <c r="CP1185" s="6"/>
      <c r="CQ1185" s="6"/>
      <c r="CR1185" s="6"/>
      <c r="CS1185" s="6"/>
      <c r="CT1185" s="6"/>
      <c r="CU1185" s="6"/>
      <c r="CV1185" s="6"/>
      <c r="CW1185" s="6"/>
      <c r="CX1185" s="6"/>
      <c r="CY1185" s="6"/>
      <c r="CZ1185" s="6"/>
      <c r="DA1185" s="6"/>
      <c r="DB1185" s="6"/>
      <c r="DC1185" s="6"/>
      <c r="DD1185" s="6"/>
    </row>
    <row r="1186" spans="1:108" ht="12.75" hidden="1" customHeight="1" outlineLevel="6">
      <c r="A1186" s="104" t="s">
        <v>208</v>
      </c>
      <c r="B1186" s="6">
        <v>0.5</v>
      </c>
      <c r="C1186" s="20"/>
      <c r="D1186" s="18" t="str">
        <f t="shared" si="68"/>
        <v>&lt;Corner_Radius&gt;0.500000&lt;/Corner_Radius&gt;</v>
      </c>
      <c r="E1186" s="174" t="str">
        <f t="shared" si="65"/>
        <v>Yes</v>
      </c>
      <c r="F1186" s="6" t="s">
        <v>798</v>
      </c>
      <c r="G1186" s="6"/>
      <c r="H1186" s="6"/>
      <c r="I1186" s="6"/>
      <c r="J1186" s="6"/>
      <c r="K1186" s="6"/>
      <c r="L1186" s="6"/>
      <c r="M1186" s="6"/>
      <c r="N1186" s="6"/>
      <c r="O1186" s="6"/>
      <c r="P1186" s="6"/>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c r="BU1186" s="6"/>
      <c r="BV1186" s="6"/>
      <c r="BW1186" s="6"/>
      <c r="BX1186" s="6"/>
      <c r="BY1186" s="6"/>
      <c r="BZ1186" s="6"/>
      <c r="CA1186" s="6"/>
      <c r="CB1186" s="6"/>
      <c r="CC1186" s="6"/>
      <c r="CD1186" s="6"/>
      <c r="CE1186" s="6"/>
      <c r="CF1186" s="6"/>
      <c r="CG1186" s="6"/>
      <c r="CH1186" s="6"/>
      <c r="CI1186" s="6"/>
      <c r="CJ1186" s="6"/>
      <c r="CK1186" s="6"/>
      <c r="CL1186" s="6"/>
      <c r="CM1186" s="6"/>
      <c r="CN1186" s="6"/>
      <c r="CO1186" s="6"/>
      <c r="CP1186" s="6"/>
      <c r="CQ1186" s="6"/>
      <c r="CR1186" s="6"/>
      <c r="CS1186" s="6"/>
      <c r="CT1186" s="6"/>
      <c r="CU1186" s="6"/>
      <c r="CV1186" s="6"/>
      <c r="CW1186" s="6"/>
      <c r="CX1186" s="6"/>
      <c r="CY1186" s="6"/>
      <c r="CZ1186" s="6"/>
      <c r="DA1186" s="6"/>
      <c r="DB1186" s="6"/>
      <c r="DC1186" s="6"/>
      <c r="DD1186" s="6"/>
    </row>
    <row r="1187" spans="1:108" ht="12.75" hidden="1" customHeight="1" outlineLevel="6">
      <c r="A1187" s="104" t="s">
        <v>209</v>
      </c>
      <c r="B1187" s="6">
        <v>90</v>
      </c>
      <c r="C1187" s="20"/>
      <c r="D1187" s="18" t="str">
        <f t="shared" si="68"/>
        <v>&lt;Top_Tan_Angle&gt;90.000000&lt;/Top_Tan_Angle&gt;</v>
      </c>
      <c r="E1187" s="174" t="str">
        <f t="shared" si="65"/>
        <v>Yes</v>
      </c>
      <c r="F1187" s="6" t="s">
        <v>799</v>
      </c>
      <c r="G1187" s="6"/>
      <c r="H1187" s="6"/>
      <c r="I1187" s="6"/>
      <c r="J1187" s="6"/>
      <c r="K1187" s="6"/>
      <c r="L1187" s="6"/>
      <c r="M1187" s="6"/>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c r="BU1187" s="6"/>
      <c r="BV1187" s="6"/>
      <c r="BW1187" s="6"/>
      <c r="BX1187" s="6"/>
      <c r="BY1187" s="6"/>
      <c r="BZ1187" s="6"/>
      <c r="CA1187" s="6"/>
      <c r="CB1187" s="6"/>
      <c r="CC1187" s="6"/>
      <c r="CD1187" s="6"/>
      <c r="CE1187" s="6"/>
      <c r="CF1187" s="6"/>
      <c r="CG1187" s="6"/>
      <c r="CH1187" s="6"/>
      <c r="CI1187" s="6"/>
      <c r="CJ1187" s="6"/>
      <c r="CK1187" s="6"/>
      <c r="CL1187" s="6"/>
      <c r="CM1187" s="6"/>
      <c r="CN1187" s="6"/>
      <c r="CO1187" s="6"/>
      <c r="CP1187" s="6"/>
      <c r="CQ1187" s="6"/>
      <c r="CR1187" s="6"/>
      <c r="CS1187" s="6"/>
      <c r="CT1187" s="6"/>
      <c r="CU1187" s="6"/>
      <c r="CV1187" s="6"/>
      <c r="CW1187" s="6"/>
      <c r="CX1187" s="6"/>
      <c r="CY1187" s="6"/>
      <c r="CZ1187" s="6"/>
      <c r="DA1187" s="6"/>
      <c r="DB1187" s="6"/>
      <c r="DC1187" s="6"/>
      <c r="DD1187" s="6"/>
    </row>
    <row r="1188" spans="1:108" ht="12.75" hidden="1" customHeight="1" outlineLevel="6">
      <c r="A1188" s="104" t="s">
        <v>210</v>
      </c>
      <c r="B1188" s="6">
        <v>90</v>
      </c>
      <c r="C1188" s="20"/>
      <c r="D1188" s="18" t="str">
        <f t="shared" si="68"/>
        <v>&lt;Bot_Tan_Angle&gt;90.000000&lt;/Bot_Tan_Angle&gt;</v>
      </c>
      <c r="E1188" s="174" t="str">
        <f t="shared" si="65"/>
        <v>Yes</v>
      </c>
      <c r="F1188" s="6" t="s">
        <v>800</v>
      </c>
      <c r="G1188" s="6"/>
      <c r="H1188" s="6"/>
      <c r="I1188" s="6"/>
      <c r="J1188" s="6"/>
      <c r="K1188" s="6"/>
      <c r="L1188" s="6"/>
      <c r="M1188" s="6"/>
      <c r="N1188" s="6"/>
      <c r="O1188" s="6"/>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c r="BU1188" s="6"/>
      <c r="BV1188" s="6"/>
      <c r="BW1188" s="6"/>
      <c r="BX1188" s="6"/>
      <c r="BY1188" s="6"/>
      <c r="BZ1188" s="6"/>
      <c r="CA1188" s="6"/>
      <c r="CB1188" s="6"/>
      <c r="CC1188" s="6"/>
      <c r="CD1188" s="6"/>
      <c r="CE1188" s="6"/>
      <c r="CF1188" s="6"/>
      <c r="CG1188" s="6"/>
      <c r="CH1188" s="6"/>
      <c r="CI1188" s="6"/>
      <c r="CJ1188" s="6"/>
      <c r="CK1188" s="6"/>
      <c r="CL1188" s="6"/>
      <c r="CM1188" s="6"/>
      <c r="CN1188" s="6"/>
      <c r="CO1188" s="6"/>
      <c r="CP1188" s="6"/>
      <c r="CQ1188" s="6"/>
      <c r="CR1188" s="6"/>
      <c r="CS1188" s="6"/>
      <c r="CT1188" s="6"/>
      <c r="CU1188" s="6"/>
      <c r="CV1188" s="6"/>
      <c r="CW1188" s="6"/>
      <c r="CX1188" s="6"/>
      <c r="CY1188" s="6"/>
      <c r="CZ1188" s="6"/>
      <c r="DA1188" s="6"/>
      <c r="DB1188" s="6"/>
      <c r="DC1188" s="6"/>
      <c r="DD1188" s="6"/>
    </row>
    <row r="1189" spans="1:108" ht="12.75" hidden="1" customHeight="1" outlineLevel="6">
      <c r="A1189" s="104" t="s">
        <v>211</v>
      </c>
      <c r="B1189" s="6">
        <v>0.83</v>
      </c>
      <c r="C1189" s="20"/>
      <c r="D1189" s="18" t="str">
        <f t="shared" si="68"/>
        <v>&lt;Top_Tan_Strength&gt;0.830000&lt;/Top_Tan_Strength&gt;</v>
      </c>
      <c r="E1189" s="174" t="str">
        <f t="shared" si="65"/>
        <v>Yes</v>
      </c>
      <c r="F1189" s="6" t="s">
        <v>801</v>
      </c>
      <c r="G1189" s="6"/>
      <c r="H1189" s="6"/>
      <c r="I1189" s="6"/>
      <c r="J1189" s="6"/>
      <c r="K1189" s="6"/>
      <c r="L1189" s="6"/>
      <c r="M1189" s="6"/>
      <c r="N1189" s="6"/>
      <c r="O1189" s="6"/>
      <c r="P1189" s="6"/>
      <c r="Q1189" s="6"/>
      <c r="R1189" s="6"/>
      <c r="S1189" s="6"/>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c r="BU1189" s="6"/>
      <c r="BV1189" s="6"/>
      <c r="BW1189" s="6"/>
      <c r="BX1189" s="6"/>
      <c r="BY1189" s="6"/>
      <c r="BZ1189" s="6"/>
      <c r="CA1189" s="6"/>
      <c r="CB1189" s="6"/>
      <c r="CC1189" s="6"/>
      <c r="CD1189" s="6"/>
      <c r="CE1189" s="6"/>
      <c r="CF1189" s="6"/>
      <c r="CG1189" s="6"/>
      <c r="CH1189" s="6"/>
      <c r="CI1189" s="6"/>
      <c r="CJ1189" s="6"/>
      <c r="CK1189" s="6"/>
      <c r="CL1189" s="6"/>
      <c r="CM1189" s="6"/>
      <c r="CN1189" s="6"/>
      <c r="CO1189" s="6"/>
      <c r="CP1189" s="6"/>
      <c r="CQ1189" s="6"/>
      <c r="CR1189" s="6"/>
      <c r="CS1189" s="6"/>
      <c r="CT1189" s="6"/>
      <c r="CU1189" s="6"/>
      <c r="CV1189" s="6"/>
      <c r="CW1189" s="6"/>
      <c r="CX1189" s="6"/>
      <c r="CY1189" s="6"/>
      <c r="CZ1189" s="6"/>
      <c r="DA1189" s="6"/>
      <c r="DB1189" s="6"/>
      <c r="DC1189" s="6"/>
      <c r="DD1189" s="6"/>
    </row>
    <row r="1190" spans="1:108" ht="12.75" hidden="1" customHeight="1" outlineLevel="6">
      <c r="A1190" s="104" t="s">
        <v>212</v>
      </c>
      <c r="B1190" s="6">
        <v>0.83</v>
      </c>
      <c r="C1190" s="20"/>
      <c r="D1190" s="18" t="str">
        <f t="shared" si="68"/>
        <v>&lt;Upper_Tan_Strength&gt;0.830000&lt;/Upper_Tan_Strength&gt;</v>
      </c>
      <c r="E1190" s="174" t="str">
        <f t="shared" si="65"/>
        <v>Yes</v>
      </c>
      <c r="F1190" s="6" t="s">
        <v>802</v>
      </c>
      <c r="G1190" s="6"/>
      <c r="H1190" s="6"/>
      <c r="I1190" s="6"/>
      <c r="J1190" s="6"/>
      <c r="K1190" s="6"/>
      <c r="L1190" s="6"/>
      <c r="M1190" s="6"/>
      <c r="N1190" s="6"/>
      <c r="O1190" s="6"/>
      <c r="P1190" s="6"/>
      <c r="Q1190" s="6"/>
      <c r="R1190" s="6"/>
      <c r="S1190" s="6"/>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c r="BU1190" s="6"/>
      <c r="BV1190" s="6"/>
      <c r="BW1190" s="6"/>
      <c r="BX1190" s="6"/>
      <c r="BY1190" s="6"/>
      <c r="BZ1190" s="6"/>
      <c r="CA1190" s="6"/>
      <c r="CB1190" s="6"/>
      <c r="CC1190" s="6"/>
      <c r="CD1190" s="6"/>
      <c r="CE1190" s="6"/>
      <c r="CF1190" s="6"/>
      <c r="CG1190" s="6"/>
      <c r="CH1190" s="6"/>
      <c r="CI1190" s="6"/>
      <c r="CJ1190" s="6"/>
      <c r="CK1190" s="6"/>
      <c r="CL1190" s="6"/>
      <c r="CM1190" s="6"/>
      <c r="CN1190" s="6"/>
      <c r="CO1190" s="6"/>
      <c r="CP1190" s="6"/>
      <c r="CQ1190" s="6"/>
      <c r="CR1190" s="6"/>
      <c r="CS1190" s="6"/>
      <c r="CT1190" s="6"/>
      <c r="CU1190" s="6"/>
      <c r="CV1190" s="6"/>
      <c r="CW1190" s="6"/>
      <c r="CX1190" s="6"/>
      <c r="CY1190" s="6"/>
      <c r="CZ1190" s="6"/>
      <c r="DA1190" s="6"/>
      <c r="DB1190" s="6"/>
      <c r="DC1190" s="6"/>
      <c r="DD1190" s="6"/>
    </row>
    <row r="1191" spans="1:108" ht="12.75" hidden="1" customHeight="1" outlineLevel="6">
      <c r="A1191" s="104" t="s">
        <v>213</v>
      </c>
      <c r="B1191" s="6">
        <v>0.83</v>
      </c>
      <c r="C1191" s="20"/>
      <c r="D1191" s="18" t="str">
        <f t="shared" si="68"/>
        <v>&lt;Lower_Tan_Strength&gt;0.830000&lt;/Lower_Tan_Strength&gt;</v>
      </c>
      <c r="E1191" s="174" t="str">
        <f t="shared" si="65"/>
        <v>Yes</v>
      </c>
      <c r="F1191" s="6" t="s">
        <v>803</v>
      </c>
      <c r="G1191" s="6"/>
      <c r="H1191" s="6"/>
      <c r="I1191" s="6"/>
      <c r="J1191" s="6"/>
      <c r="K1191" s="6"/>
      <c r="L1191" s="6"/>
      <c r="M1191" s="6"/>
      <c r="N1191" s="6"/>
      <c r="O1191" s="6"/>
      <c r="P1191" s="6"/>
      <c r="Q1191" s="6"/>
      <c r="R1191" s="6"/>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c r="BU1191" s="6"/>
      <c r="BV1191" s="6"/>
      <c r="BW1191" s="6"/>
      <c r="BX1191" s="6"/>
      <c r="BY1191" s="6"/>
      <c r="BZ1191" s="6"/>
      <c r="CA1191" s="6"/>
      <c r="CB1191" s="6"/>
      <c r="CC1191" s="6"/>
      <c r="CD1191" s="6"/>
      <c r="CE1191" s="6"/>
      <c r="CF1191" s="6"/>
      <c r="CG1191" s="6"/>
      <c r="CH1191" s="6"/>
      <c r="CI1191" s="6"/>
      <c r="CJ1191" s="6"/>
      <c r="CK1191" s="6"/>
      <c r="CL1191" s="6"/>
      <c r="CM1191" s="6"/>
      <c r="CN1191" s="6"/>
      <c r="CO1191" s="6"/>
      <c r="CP1191" s="6"/>
      <c r="CQ1191" s="6"/>
      <c r="CR1191" s="6"/>
      <c r="CS1191" s="6"/>
      <c r="CT1191" s="6"/>
      <c r="CU1191" s="6"/>
      <c r="CV1191" s="6"/>
      <c r="CW1191" s="6"/>
      <c r="CX1191" s="6"/>
      <c r="CY1191" s="6"/>
      <c r="CZ1191" s="6"/>
      <c r="DA1191" s="6"/>
      <c r="DB1191" s="6"/>
      <c r="DC1191" s="6"/>
      <c r="DD1191" s="6"/>
    </row>
    <row r="1192" spans="1:108" ht="12.75" hidden="1" customHeight="1" outlineLevel="6">
      <c r="A1192" s="104" t="s">
        <v>214</v>
      </c>
      <c r="B1192" s="6">
        <v>0.83</v>
      </c>
      <c r="C1192" s="20"/>
      <c r="D1192" s="18" t="str">
        <f t="shared" si="68"/>
        <v>&lt;Bottom_Tan_Strength&gt;0.830000&lt;/Bottom_Tan_Strength&gt;</v>
      </c>
      <c r="E1192" s="174" t="str">
        <f t="shared" si="65"/>
        <v>Yes</v>
      </c>
      <c r="F1192" s="6" t="s">
        <v>804</v>
      </c>
      <c r="G1192" s="6"/>
      <c r="H1192" s="6"/>
      <c r="I1192" s="6"/>
      <c r="J1192" s="6"/>
      <c r="K1192" s="6"/>
      <c r="L1192" s="6"/>
      <c r="M1192" s="6"/>
      <c r="N1192" s="6"/>
      <c r="O1192" s="6"/>
      <c r="P1192" s="6"/>
      <c r="Q1192" s="6"/>
      <c r="R1192" s="6"/>
      <c r="S1192" s="6"/>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c r="BU1192" s="6"/>
      <c r="BV1192" s="6"/>
      <c r="BW1192" s="6"/>
      <c r="BX1192" s="6"/>
      <c r="BY1192" s="6"/>
      <c r="BZ1192" s="6"/>
      <c r="CA1192" s="6"/>
      <c r="CB1192" s="6"/>
      <c r="CC1192" s="6"/>
      <c r="CD1192" s="6"/>
      <c r="CE1192" s="6"/>
      <c r="CF1192" s="6"/>
      <c r="CG1192" s="6"/>
      <c r="CH1192" s="6"/>
      <c r="CI1192" s="6"/>
      <c r="CJ1192" s="6"/>
      <c r="CK1192" s="6"/>
      <c r="CL1192" s="6"/>
      <c r="CM1192" s="6"/>
      <c r="CN1192" s="6"/>
      <c r="CO1192" s="6"/>
      <c r="CP1192" s="6"/>
      <c r="CQ1192" s="6"/>
      <c r="CR1192" s="6"/>
      <c r="CS1192" s="6"/>
      <c r="CT1192" s="6"/>
      <c r="CU1192" s="6"/>
      <c r="CV1192" s="6"/>
      <c r="CW1192" s="6"/>
      <c r="CX1192" s="6"/>
      <c r="CY1192" s="6"/>
      <c r="CZ1192" s="6"/>
      <c r="DA1192" s="6"/>
      <c r="DB1192" s="6"/>
      <c r="DC1192" s="6"/>
      <c r="DD1192" s="6"/>
    </row>
    <row r="1193" spans="1:108" ht="12.75" hidden="1" customHeight="1" outlineLevel="6">
      <c r="A1193" s="104" t="s">
        <v>215</v>
      </c>
      <c r="C1193" s="20"/>
      <c r="D1193" s="6" t="str">
        <f>"&lt;" &amp; A1193 &amp; "&gt;"</f>
        <v>&lt;/OML_Parms&gt;</v>
      </c>
      <c r="E1193" s="174" t="str">
        <f t="shared" si="65"/>
        <v>Yes</v>
      </c>
      <c r="F1193" s="6" t="s">
        <v>805</v>
      </c>
      <c r="G1193" s="6"/>
      <c r="H1193" s="6"/>
      <c r="I1193" s="6"/>
      <c r="J1193" s="6"/>
      <c r="K1193" s="6"/>
      <c r="L1193" s="6"/>
      <c r="M1193" s="6"/>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c r="BU1193" s="6"/>
      <c r="BV1193" s="6"/>
      <c r="BW1193" s="6"/>
      <c r="BX1193" s="6"/>
      <c r="BY1193" s="6"/>
      <c r="BZ1193" s="6"/>
      <c r="CA1193" s="6"/>
      <c r="CB1193" s="6"/>
      <c r="CC1193" s="6"/>
      <c r="CD1193" s="6"/>
      <c r="CE1193" s="6"/>
      <c r="CF1193" s="6"/>
      <c r="CG1193" s="6"/>
      <c r="CH1193" s="6"/>
      <c r="CI1193" s="6"/>
      <c r="CJ1193" s="6"/>
      <c r="CK1193" s="6"/>
      <c r="CL1193" s="6"/>
      <c r="CM1193" s="6"/>
      <c r="CN1193" s="6"/>
      <c r="CO1193" s="6"/>
      <c r="CP1193" s="6"/>
      <c r="CQ1193" s="6"/>
      <c r="CR1193" s="6"/>
      <c r="CS1193" s="6"/>
      <c r="CT1193" s="6"/>
      <c r="CU1193" s="6"/>
      <c r="CV1193" s="6"/>
      <c r="CW1193" s="6"/>
      <c r="CX1193" s="6"/>
      <c r="CY1193" s="6"/>
      <c r="CZ1193" s="6"/>
      <c r="DA1193" s="6"/>
      <c r="DB1193" s="6"/>
      <c r="DC1193" s="6"/>
      <c r="DD1193" s="6"/>
    </row>
    <row r="1194" spans="1:108" ht="12.75" hidden="1" customHeight="1" outlineLevel="5">
      <c r="A1194" s="104" t="s">
        <v>216</v>
      </c>
      <c r="C1194" s="20"/>
      <c r="D1194" s="6" t="str">
        <f>"&lt;" &amp; A1194 &amp; "&gt;"</f>
        <v>&lt;IML_Parms&gt;</v>
      </c>
      <c r="E1194" s="174" t="str">
        <f t="shared" si="65"/>
        <v>Yes</v>
      </c>
      <c r="F1194" s="6" t="s">
        <v>806</v>
      </c>
      <c r="G1194" s="6"/>
      <c r="H1194" s="6"/>
      <c r="I1194" s="6"/>
      <c r="J1194" s="6"/>
      <c r="K1194" s="6"/>
      <c r="L1194" s="6"/>
      <c r="M1194" s="6"/>
      <c r="N1194" s="6"/>
      <c r="O1194" s="6"/>
      <c r="P1194" s="6"/>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c r="BU1194" s="6"/>
      <c r="BV1194" s="6"/>
      <c r="BW1194" s="6"/>
      <c r="BX1194" s="6"/>
      <c r="BY1194" s="6"/>
      <c r="BZ1194" s="6"/>
      <c r="CA1194" s="6"/>
      <c r="CB1194" s="6"/>
      <c r="CC1194" s="6"/>
      <c r="CD1194" s="6"/>
      <c r="CE1194" s="6"/>
      <c r="CF1194" s="6"/>
      <c r="CG1194" s="6"/>
      <c r="CH1194" s="6"/>
      <c r="CI1194" s="6"/>
      <c r="CJ1194" s="6"/>
      <c r="CK1194" s="6"/>
      <c r="CL1194" s="6"/>
      <c r="CM1194" s="6"/>
      <c r="CN1194" s="6"/>
      <c r="CO1194" s="6"/>
      <c r="CP1194" s="6"/>
      <c r="CQ1194" s="6"/>
      <c r="CR1194" s="6"/>
      <c r="CS1194" s="6"/>
      <c r="CT1194" s="6"/>
      <c r="CU1194" s="6"/>
      <c r="CV1194" s="6"/>
      <c r="CW1194" s="6"/>
      <c r="CX1194" s="6"/>
      <c r="CY1194" s="6"/>
      <c r="CZ1194" s="6"/>
      <c r="DA1194" s="6"/>
      <c r="DB1194" s="6"/>
      <c r="DC1194" s="6"/>
      <c r="DD1194" s="6"/>
    </row>
    <row r="1195" spans="1:108" ht="12.75" hidden="1" customHeight="1" outlineLevel="6">
      <c r="A1195" s="104" t="s">
        <v>14</v>
      </c>
      <c r="B1195" s="6">
        <v>2</v>
      </c>
      <c r="C1195" s="20"/>
      <c r="D1195" s="18" t="str">
        <f>"&lt;" &amp; A1195 &amp; "&gt;" &amp; TEXT(B1195,0) &amp; "&lt;/" &amp; A1195 &amp; "&gt;"</f>
        <v>&lt;Type&gt;2&lt;/Type&gt;</v>
      </c>
      <c r="E1195" s="174" t="str">
        <f t="shared" si="65"/>
        <v>Yes</v>
      </c>
      <c r="F1195" s="6" t="s">
        <v>807</v>
      </c>
      <c r="G1195" s="6"/>
      <c r="H1195" s="6"/>
      <c r="I1195" s="6"/>
      <c r="J1195" s="6"/>
      <c r="K1195" s="6"/>
      <c r="L1195" s="6"/>
      <c r="M1195" s="6"/>
      <c r="N1195" s="6"/>
      <c r="O1195" s="6"/>
      <c r="P1195" s="6"/>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c r="BU1195" s="6"/>
      <c r="BV1195" s="6"/>
      <c r="BW1195" s="6"/>
      <c r="BX1195" s="6"/>
      <c r="BY1195" s="6"/>
      <c r="BZ1195" s="6"/>
      <c r="CA1195" s="6"/>
      <c r="CB1195" s="6"/>
      <c r="CC1195" s="6"/>
      <c r="CD1195" s="6"/>
      <c r="CE1195" s="6"/>
      <c r="CF1195" s="6"/>
      <c r="CG1195" s="6"/>
      <c r="CH1195" s="6"/>
      <c r="CI1195" s="6"/>
      <c r="CJ1195" s="6"/>
      <c r="CK1195" s="6"/>
      <c r="CL1195" s="6"/>
      <c r="CM1195" s="6"/>
      <c r="CN1195" s="6"/>
      <c r="CO1195" s="6"/>
      <c r="CP1195" s="6"/>
      <c r="CQ1195" s="6"/>
      <c r="CR1195" s="6"/>
      <c r="CS1195" s="6"/>
      <c r="CT1195" s="6"/>
      <c r="CU1195" s="6"/>
      <c r="CV1195" s="6"/>
      <c r="CW1195" s="6"/>
      <c r="CX1195" s="6"/>
      <c r="CY1195" s="6"/>
      <c r="CZ1195" s="6"/>
      <c r="DA1195" s="6"/>
      <c r="DB1195" s="6"/>
      <c r="DC1195" s="6"/>
      <c r="DD1195" s="6"/>
    </row>
    <row r="1196" spans="1:108" ht="12.75" hidden="1" customHeight="1" outlineLevel="6">
      <c r="A1196" s="104" t="s">
        <v>15</v>
      </c>
      <c r="B1196" s="6">
        <v>3</v>
      </c>
      <c r="C1196" s="20"/>
      <c r="D1196" s="18" t="str">
        <f t="shared" ref="D1196:D1205" si="69">"&lt;" &amp; A1196 &amp; "&gt;" &amp; TEXT(B1196,"0.000000") &amp; "&lt;/" &amp; A1196 &amp; "&gt;"</f>
        <v>&lt;Height&gt;3.000000&lt;/Height&gt;</v>
      </c>
      <c r="E1196" s="174" t="str">
        <f t="shared" si="65"/>
        <v>Yes</v>
      </c>
      <c r="F1196" s="6" t="s">
        <v>808</v>
      </c>
      <c r="G1196" s="6"/>
      <c r="H1196" s="6"/>
      <c r="I1196" s="6"/>
      <c r="J1196" s="6"/>
      <c r="K1196" s="6"/>
      <c r="L1196" s="6"/>
      <c r="M1196" s="6"/>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c r="BU1196" s="6"/>
      <c r="BV1196" s="6"/>
      <c r="BW1196" s="6"/>
      <c r="BX1196" s="6"/>
      <c r="BY1196" s="6"/>
      <c r="BZ1196" s="6"/>
      <c r="CA1196" s="6"/>
      <c r="CB1196" s="6"/>
      <c r="CC1196" s="6"/>
      <c r="CD1196" s="6"/>
      <c r="CE1196" s="6"/>
      <c r="CF1196" s="6"/>
      <c r="CG1196" s="6"/>
      <c r="CH1196" s="6"/>
      <c r="CI1196" s="6"/>
      <c r="CJ1196" s="6"/>
      <c r="CK1196" s="6"/>
      <c r="CL1196" s="6"/>
      <c r="CM1196" s="6"/>
      <c r="CN1196" s="6"/>
      <c r="CO1196" s="6"/>
      <c r="CP1196" s="6"/>
      <c r="CQ1196" s="6"/>
      <c r="CR1196" s="6"/>
      <c r="CS1196" s="6"/>
      <c r="CT1196" s="6"/>
      <c r="CU1196" s="6"/>
      <c r="CV1196" s="6"/>
      <c r="CW1196" s="6"/>
      <c r="CX1196" s="6"/>
      <c r="CY1196" s="6"/>
      <c r="CZ1196" s="6"/>
      <c r="DA1196" s="6"/>
      <c r="DB1196" s="6"/>
      <c r="DC1196" s="6"/>
      <c r="DD1196" s="6"/>
    </row>
    <row r="1197" spans="1:108" ht="12.75" hidden="1" customHeight="1" outlineLevel="6">
      <c r="A1197" s="104" t="s">
        <v>16</v>
      </c>
      <c r="B1197" s="6">
        <v>2.5</v>
      </c>
      <c r="C1197" s="20"/>
      <c r="D1197" s="18" t="str">
        <f t="shared" si="69"/>
        <v>&lt;Width&gt;2.500000&lt;/Width&gt;</v>
      </c>
      <c r="E1197" s="174" t="str">
        <f t="shared" si="65"/>
        <v>Yes</v>
      </c>
      <c r="F1197" s="6" t="s">
        <v>809</v>
      </c>
      <c r="G1197" s="6"/>
      <c r="H1197" s="6"/>
      <c r="I1197" s="6"/>
      <c r="J1197" s="6"/>
      <c r="K1197" s="6"/>
      <c r="L1197" s="6"/>
      <c r="M1197" s="6"/>
      <c r="N1197" s="6"/>
      <c r="O1197" s="6"/>
      <c r="P1197" s="6"/>
      <c r="Q1197" s="6"/>
      <c r="R1197" s="6"/>
      <c r="S1197" s="6"/>
      <c r="T1197" s="6"/>
      <c r="U1197" s="6"/>
      <c r="V1197" s="6"/>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c r="BU1197" s="6"/>
      <c r="BV1197" s="6"/>
      <c r="BW1197" s="6"/>
      <c r="BX1197" s="6"/>
      <c r="BY1197" s="6"/>
      <c r="BZ1197" s="6"/>
      <c r="CA1197" s="6"/>
      <c r="CB1197" s="6"/>
      <c r="CC1197" s="6"/>
      <c r="CD1197" s="6"/>
      <c r="CE1197" s="6"/>
      <c r="CF1197" s="6"/>
      <c r="CG1197" s="6"/>
      <c r="CH1197" s="6"/>
      <c r="CI1197" s="6"/>
      <c r="CJ1197" s="6"/>
      <c r="CK1197" s="6"/>
      <c r="CL1197" s="6"/>
      <c r="CM1197" s="6"/>
      <c r="CN1197" s="6"/>
      <c r="CO1197" s="6"/>
      <c r="CP1197" s="6"/>
      <c r="CQ1197" s="6"/>
      <c r="CR1197" s="6"/>
      <c r="CS1197" s="6"/>
      <c r="CT1197" s="6"/>
      <c r="CU1197" s="6"/>
      <c r="CV1197" s="6"/>
      <c r="CW1197" s="6"/>
      <c r="CX1197" s="6"/>
      <c r="CY1197" s="6"/>
      <c r="CZ1197" s="6"/>
      <c r="DA1197" s="6"/>
      <c r="DB1197" s="6"/>
      <c r="DC1197" s="6"/>
      <c r="DD1197" s="6"/>
    </row>
    <row r="1198" spans="1:108" ht="12.75" hidden="1" customHeight="1" outlineLevel="6">
      <c r="A1198" s="104" t="s">
        <v>207</v>
      </c>
      <c r="B1198" s="6">
        <v>0</v>
      </c>
      <c r="C1198" s="20"/>
      <c r="D1198" s="18" t="str">
        <f t="shared" si="69"/>
        <v>&lt;Max_Width_Location&gt;0.000000&lt;/Max_Width_Location&gt;</v>
      </c>
      <c r="E1198" s="174" t="str">
        <f t="shared" si="65"/>
        <v>Yes</v>
      </c>
      <c r="F1198" s="6" t="s">
        <v>797</v>
      </c>
      <c r="G1198" s="6"/>
      <c r="H1198" s="6"/>
      <c r="I1198" s="6"/>
      <c r="J1198" s="6"/>
      <c r="K1198" s="6"/>
      <c r="L1198" s="6"/>
      <c r="M1198" s="6"/>
      <c r="N1198" s="6"/>
      <c r="O1198" s="6"/>
      <c r="P1198" s="6"/>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c r="BU1198" s="6"/>
      <c r="BV1198" s="6"/>
      <c r="BW1198" s="6"/>
      <c r="BX1198" s="6"/>
      <c r="BY1198" s="6"/>
      <c r="BZ1198" s="6"/>
      <c r="CA1198" s="6"/>
      <c r="CB1198" s="6"/>
      <c r="CC1198" s="6"/>
      <c r="CD1198" s="6"/>
      <c r="CE1198" s="6"/>
      <c r="CF1198" s="6"/>
      <c r="CG1198" s="6"/>
      <c r="CH1198" s="6"/>
      <c r="CI1198" s="6"/>
      <c r="CJ1198" s="6"/>
      <c r="CK1198" s="6"/>
      <c r="CL1198" s="6"/>
      <c r="CM1198" s="6"/>
      <c r="CN1198" s="6"/>
      <c r="CO1198" s="6"/>
      <c r="CP1198" s="6"/>
      <c r="CQ1198" s="6"/>
      <c r="CR1198" s="6"/>
      <c r="CS1198" s="6"/>
      <c r="CT1198" s="6"/>
      <c r="CU1198" s="6"/>
      <c r="CV1198" s="6"/>
      <c r="CW1198" s="6"/>
      <c r="CX1198" s="6"/>
      <c r="CY1198" s="6"/>
      <c r="CZ1198" s="6"/>
      <c r="DA1198" s="6"/>
      <c r="DB1198" s="6"/>
      <c r="DC1198" s="6"/>
      <c r="DD1198" s="6"/>
    </row>
    <row r="1199" spans="1:108" ht="12.75" hidden="1" customHeight="1" outlineLevel="6">
      <c r="A1199" s="104" t="s">
        <v>208</v>
      </c>
      <c r="B1199" s="6">
        <v>0.5</v>
      </c>
      <c r="C1199" s="20"/>
      <c r="D1199" s="18" t="str">
        <f t="shared" si="69"/>
        <v>&lt;Corner_Radius&gt;0.500000&lt;/Corner_Radius&gt;</v>
      </c>
      <c r="E1199" s="174" t="str">
        <f t="shared" si="65"/>
        <v>Yes</v>
      </c>
      <c r="F1199" s="6" t="s">
        <v>798</v>
      </c>
      <c r="G1199" s="6"/>
      <c r="H1199" s="6"/>
      <c r="I1199" s="6"/>
      <c r="J1199" s="6"/>
      <c r="K1199" s="6"/>
      <c r="L1199" s="6"/>
      <c r="M1199" s="6"/>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c r="BU1199" s="6"/>
      <c r="BV1199" s="6"/>
      <c r="BW1199" s="6"/>
      <c r="BX1199" s="6"/>
      <c r="BY1199" s="6"/>
      <c r="BZ1199" s="6"/>
      <c r="CA1199" s="6"/>
      <c r="CB1199" s="6"/>
      <c r="CC1199" s="6"/>
      <c r="CD1199" s="6"/>
      <c r="CE1199" s="6"/>
      <c r="CF1199" s="6"/>
      <c r="CG1199" s="6"/>
      <c r="CH1199" s="6"/>
      <c r="CI1199" s="6"/>
      <c r="CJ1199" s="6"/>
      <c r="CK1199" s="6"/>
      <c r="CL1199" s="6"/>
      <c r="CM1199" s="6"/>
      <c r="CN1199" s="6"/>
      <c r="CO1199" s="6"/>
      <c r="CP1199" s="6"/>
      <c r="CQ1199" s="6"/>
      <c r="CR1199" s="6"/>
      <c r="CS1199" s="6"/>
      <c r="CT1199" s="6"/>
      <c r="CU1199" s="6"/>
      <c r="CV1199" s="6"/>
      <c r="CW1199" s="6"/>
      <c r="CX1199" s="6"/>
      <c r="CY1199" s="6"/>
      <c r="CZ1199" s="6"/>
      <c r="DA1199" s="6"/>
      <c r="DB1199" s="6"/>
      <c r="DC1199" s="6"/>
      <c r="DD1199" s="6"/>
    </row>
    <row r="1200" spans="1:108" ht="12.75" hidden="1" customHeight="1" outlineLevel="6">
      <c r="A1200" s="104" t="s">
        <v>209</v>
      </c>
      <c r="B1200" s="6">
        <v>90</v>
      </c>
      <c r="C1200" s="20"/>
      <c r="D1200" s="18" t="str">
        <f t="shared" si="69"/>
        <v>&lt;Top_Tan_Angle&gt;90.000000&lt;/Top_Tan_Angle&gt;</v>
      </c>
      <c r="E1200" s="174" t="str">
        <f t="shared" si="65"/>
        <v>Yes</v>
      </c>
      <c r="F1200" s="6" t="s">
        <v>799</v>
      </c>
      <c r="G1200" s="6"/>
      <c r="H1200" s="6"/>
      <c r="I1200" s="6"/>
      <c r="J1200" s="6"/>
      <c r="K1200" s="6"/>
      <c r="L1200" s="6"/>
      <c r="M1200" s="6"/>
      <c r="N1200" s="6"/>
      <c r="O1200" s="6"/>
      <c r="P1200" s="6"/>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c r="BU1200" s="6"/>
      <c r="BV1200" s="6"/>
      <c r="BW1200" s="6"/>
      <c r="BX1200" s="6"/>
      <c r="BY1200" s="6"/>
      <c r="BZ1200" s="6"/>
      <c r="CA1200" s="6"/>
      <c r="CB1200" s="6"/>
      <c r="CC1200" s="6"/>
      <c r="CD1200" s="6"/>
      <c r="CE1200" s="6"/>
      <c r="CF1200" s="6"/>
      <c r="CG1200" s="6"/>
      <c r="CH1200" s="6"/>
      <c r="CI1200" s="6"/>
      <c r="CJ1200" s="6"/>
      <c r="CK1200" s="6"/>
      <c r="CL1200" s="6"/>
      <c r="CM1200" s="6"/>
      <c r="CN1200" s="6"/>
      <c r="CO1200" s="6"/>
      <c r="CP1200" s="6"/>
      <c r="CQ1200" s="6"/>
      <c r="CR1200" s="6"/>
      <c r="CS1200" s="6"/>
      <c r="CT1200" s="6"/>
      <c r="CU1200" s="6"/>
      <c r="CV1200" s="6"/>
      <c r="CW1200" s="6"/>
      <c r="CX1200" s="6"/>
      <c r="CY1200" s="6"/>
      <c r="CZ1200" s="6"/>
      <c r="DA1200" s="6"/>
      <c r="DB1200" s="6"/>
      <c r="DC1200" s="6"/>
      <c r="DD1200" s="6"/>
    </row>
    <row r="1201" spans="1:108" ht="12.75" hidden="1" customHeight="1" outlineLevel="6">
      <c r="A1201" s="104" t="s">
        <v>210</v>
      </c>
      <c r="B1201" s="6">
        <v>90</v>
      </c>
      <c r="C1201" s="20"/>
      <c r="D1201" s="18" t="str">
        <f t="shared" si="69"/>
        <v>&lt;Bot_Tan_Angle&gt;90.000000&lt;/Bot_Tan_Angle&gt;</v>
      </c>
      <c r="E1201" s="174" t="str">
        <f t="shared" si="65"/>
        <v>Yes</v>
      </c>
      <c r="F1201" s="6" t="s">
        <v>800</v>
      </c>
      <c r="G1201" s="6"/>
      <c r="H1201" s="6"/>
      <c r="I1201" s="6"/>
      <c r="J1201" s="6"/>
      <c r="K1201" s="6"/>
      <c r="L1201" s="6"/>
      <c r="M1201" s="6"/>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c r="BU1201" s="6"/>
      <c r="BV1201" s="6"/>
      <c r="BW1201" s="6"/>
      <c r="BX1201" s="6"/>
      <c r="BY1201" s="6"/>
      <c r="BZ1201" s="6"/>
      <c r="CA1201" s="6"/>
      <c r="CB1201" s="6"/>
      <c r="CC1201" s="6"/>
      <c r="CD1201" s="6"/>
      <c r="CE1201" s="6"/>
      <c r="CF1201" s="6"/>
      <c r="CG1201" s="6"/>
      <c r="CH1201" s="6"/>
      <c r="CI1201" s="6"/>
      <c r="CJ1201" s="6"/>
      <c r="CK1201" s="6"/>
      <c r="CL1201" s="6"/>
      <c r="CM1201" s="6"/>
      <c r="CN1201" s="6"/>
      <c r="CO1201" s="6"/>
      <c r="CP1201" s="6"/>
      <c r="CQ1201" s="6"/>
      <c r="CR1201" s="6"/>
      <c r="CS1201" s="6"/>
      <c r="CT1201" s="6"/>
      <c r="CU1201" s="6"/>
      <c r="CV1201" s="6"/>
      <c r="CW1201" s="6"/>
      <c r="CX1201" s="6"/>
      <c r="CY1201" s="6"/>
      <c r="CZ1201" s="6"/>
      <c r="DA1201" s="6"/>
      <c r="DB1201" s="6"/>
      <c r="DC1201" s="6"/>
      <c r="DD1201" s="6"/>
    </row>
    <row r="1202" spans="1:108" ht="12.75" hidden="1" customHeight="1" outlineLevel="6">
      <c r="A1202" s="104" t="s">
        <v>211</v>
      </c>
      <c r="B1202" s="6">
        <v>0.83</v>
      </c>
      <c r="C1202" s="20"/>
      <c r="D1202" s="18" t="str">
        <f t="shared" si="69"/>
        <v>&lt;Top_Tan_Strength&gt;0.830000&lt;/Top_Tan_Strength&gt;</v>
      </c>
      <c r="E1202" s="174" t="str">
        <f t="shared" si="65"/>
        <v>Yes</v>
      </c>
      <c r="F1202" s="6" t="s">
        <v>801</v>
      </c>
      <c r="G1202" s="6"/>
      <c r="H1202" s="6"/>
      <c r="I1202" s="6"/>
      <c r="J1202" s="6"/>
      <c r="K1202" s="6"/>
      <c r="L1202" s="6"/>
      <c r="M1202" s="6"/>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c r="BU1202" s="6"/>
      <c r="BV1202" s="6"/>
      <c r="BW1202" s="6"/>
      <c r="BX1202" s="6"/>
      <c r="BY1202" s="6"/>
      <c r="BZ1202" s="6"/>
      <c r="CA1202" s="6"/>
      <c r="CB1202" s="6"/>
      <c r="CC1202" s="6"/>
      <c r="CD1202" s="6"/>
      <c r="CE1202" s="6"/>
      <c r="CF1202" s="6"/>
      <c r="CG1202" s="6"/>
      <c r="CH1202" s="6"/>
      <c r="CI1202" s="6"/>
      <c r="CJ1202" s="6"/>
      <c r="CK1202" s="6"/>
      <c r="CL1202" s="6"/>
      <c r="CM1202" s="6"/>
      <c r="CN1202" s="6"/>
      <c r="CO1202" s="6"/>
      <c r="CP1202" s="6"/>
      <c r="CQ1202" s="6"/>
      <c r="CR1202" s="6"/>
      <c r="CS1202" s="6"/>
      <c r="CT1202" s="6"/>
      <c r="CU1202" s="6"/>
      <c r="CV1202" s="6"/>
      <c r="CW1202" s="6"/>
      <c r="CX1202" s="6"/>
      <c r="CY1202" s="6"/>
      <c r="CZ1202" s="6"/>
      <c r="DA1202" s="6"/>
      <c r="DB1202" s="6"/>
      <c r="DC1202" s="6"/>
      <c r="DD1202" s="6"/>
    </row>
    <row r="1203" spans="1:108" ht="12.75" hidden="1" customHeight="1" outlineLevel="6">
      <c r="A1203" s="104" t="s">
        <v>212</v>
      </c>
      <c r="B1203" s="6">
        <v>0.83</v>
      </c>
      <c r="C1203" s="20"/>
      <c r="D1203" s="18" t="str">
        <f t="shared" si="69"/>
        <v>&lt;Upper_Tan_Strength&gt;0.830000&lt;/Upper_Tan_Strength&gt;</v>
      </c>
      <c r="E1203" s="174" t="str">
        <f t="shared" si="65"/>
        <v>Yes</v>
      </c>
      <c r="F1203" s="6" t="s">
        <v>802</v>
      </c>
      <c r="G1203" s="6"/>
      <c r="H1203" s="6"/>
      <c r="I1203" s="6"/>
      <c r="J1203" s="6"/>
      <c r="K1203" s="6"/>
      <c r="L1203" s="6"/>
      <c r="M1203" s="6"/>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c r="BU1203" s="6"/>
      <c r="BV1203" s="6"/>
      <c r="BW1203" s="6"/>
      <c r="BX1203" s="6"/>
      <c r="BY1203" s="6"/>
      <c r="BZ1203" s="6"/>
      <c r="CA1203" s="6"/>
      <c r="CB1203" s="6"/>
      <c r="CC1203" s="6"/>
      <c r="CD1203" s="6"/>
      <c r="CE1203" s="6"/>
      <c r="CF1203" s="6"/>
      <c r="CG1203" s="6"/>
      <c r="CH1203" s="6"/>
      <c r="CI1203" s="6"/>
      <c r="CJ1203" s="6"/>
      <c r="CK1203" s="6"/>
      <c r="CL1203" s="6"/>
      <c r="CM1203" s="6"/>
      <c r="CN1203" s="6"/>
      <c r="CO1203" s="6"/>
      <c r="CP1203" s="6"/>
      <c r="CQ1203" s="6"/>
      <c r="CR1203" s="6"/>
      <c r="CS1203" s="6"/>
      <c r="CT1203" s="6"/>
      <c r="CU1203" s="6"/>
      <c r="CV1203" s="6"/>
      <c r="CW1203" s="6"/>
      <c r="CX1203" s="6"/>
      <c r="CY1203" s="6"/>
      <c r="CZ1203" s="6"/>
      <c r="DA1203" s="6"/>
      <c r="DB1203" s="6"/>
      <c r="DC1203" s="6"/>
      <c r="DD1203" s="6"/>
    </row>
    <row r="1204" spans="1:108" ht="12.75" hidden="1" customHeight="1" outlineLevel="6">
      <c r="A1204" s="104" t="s">
        <v>213</v>
      </c>
      <c r="B1204" s="6">
        <v>0.83</v>
      </c>
      <c r="C1204" s="20"/>
      <c r="D1204" s="18" t="str">
        <f t="shared" si="69"/>
        <v>&lt;Lower_Tan_Strength&gt;0.830000&lt;/Lower_Tan_Strength&gt;</v>
      </c>
      <c r="E1204" s="174" t="str">
        <f t="shared" si="65"/>
        <v>Yes</v>
      </c>
      <c r="F1204" s="6" t="s">
        <v>803</v>
      </c>
      <c r="G1204" s="6"/>
      <c r="H1204" s="6"/>
      <c r="I1204" s="6"/>
      <c r="J1204" s="6"/>
      <c r="K1204" s="6"/>
      <c r="L1204" s="6"/>
      <c r="M1204" s="6"/>
      <c r="N1204" s="6"/>
      <c r="O1204" s="6"/>
      <c r="P1204" s="6"/>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c r="BU1204" s="6"/>
      <c r="BV1204" s="6"/>
      <c r="BW1204" s="6"/>
      <c r="BX1204" s="6"/>
      <c r="BY1204" s="6"/>
      <c r="BZ1204" s="6"/>
      <c r="CA1204" s="6"/>
      <c r="CB1204" s="6"/>
      <c r="CC1204" s="6"/>
      <c r="CD1204" s="6"/>
      <c r="CE1204" s="6"/>
      <c r="CF1204" s="6"/>
      <c r="CG1204" s="6"/>
      <c r="CH1204" s="6"/>
      <c r="CI1204" s="6"/>
      <c r="CJ1204" s="6"/>
      <c r="CK1204" s="6"/>
      <c r="CL1204" s="6"/>
      <c r="CM1204" s="6"/>
      <c r="CN1204" s="6"/>
      <c r="CO1204" s="6"/>
      <c r="CP1204" s="6"/>
      <c r="CQ1204" s="6"/>
      <c r="CR1204" s="6"/>
      <c r="CS1204" s="6"/>
      <c r="CT1204" s="6"/>
      <c r="CU1204" s="6"/>
      <c r="CV1204" s="6"/>
      <c r="CW1204" s="6"/>
      <c r="CX1204" s="6"/>
      <c r="CY1204" s="6"/>
      <c r="CZ1204" s="6"/>
      <c r="DA1204" s="6"/>
      <c r="DB1204" s="6"/>
      <c r="DC1204" s="6"/>
      <c r="DD1204" s="6"/>
    </row>
    <row r="1205" spans="1:108" ht="12.75" hidden="1" customHeight="1" outlineLevel="6">
      <c r="A1205" s="104" t="s">
        <v>214</v>
      </c>
      <c r="B1205" s="6">
        <v>0.83</v>
      </c>
      <c r="C1205" s="20"/>
      <c r="D1205" s="18" t="str">
        <f t="shared" si="69"/>
        <v>&lt;Bottom_Tan_Strength&gt;0.830000&lt;/Bottom_Tan_Strength&gt;</v>
      </c>
      <c r="E1205" s="174" t="str">
        <f t="shared" si="65"/>
        <v>Yes</v>
      </c>
      <c r="F1205" s="6" t="s">
        <v>804</v>
      </c>
      <c r="G1205" s="6"/>
      <c r="H1205" s="6"/>
      <c r="I1205" s="6"/>
      <c r="J1205" s="6"/>
      <c r="K1205" s="6"/>
      <c r="L1205" s="6"/>
      <c r="M1205" s="6"/>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c r="BU1205" s="6"/>
      <c r="BV1205" s="6"/>
      <c r="BW1205" s="6"/>
      <c r="BX1205" s="6"/>
      <c r="BY1205" s="6"/>
      <c r="BZ1205" s="6"/>
      <c r="CA1205" s="6"/>
      <c r="CB1205" s="6"/>
      <c r="CC1205" s="6"/>
      <c r="CD1205" s="6"/>
      <c r="CE1205" s="6"/>
      <c r="CF1205" s="6"/>
      <c r="CG1205" s="6"/>
      <c r="CH1205" s="6"/>
      <c r="CI1205" s="6"/>
      <c r="CJ1205" s="6"/>
      <c r="CK1205" s="6"/>
      <c r="CL1205" s="6"/>
      <c r="CM1205" s="6"/>
      <c r="CN1205" s="6"/>
      <c r="CO1205" s="6"/>
      <c r="CP1205" s="6"/>
      <c r="CQ1205" s="6"/>
      <c r="CR1205" s="6"/>
      <c r="CS1205" s="6"/>
      <c r="CT1205" s="6"/>
      <c r="CU1205" s="6"/>
      <c r="CV1205" s="6"/>
      <c r="CW1205" s="6"/>
      <c r="CX1205" s="6"/>
      <c r="CY1205" s="6"/>
      <c r="CZ1205" s="6"/>
      <c r="DA1205" s="6"/>
      <c r="DB1205" s="6"/>
      <c r="DC1205" s="6"/>
      <c r="DD1205" s="6"/>
    </row>
    <row r="1206" spans="1:108" ht="12.75" hidden="1" customHeight="1" outlineLevel="6">
      <c r="A1206" s="104" t="s">
        <v>217</v>
      </c>
      <c r="C1206" s="20"/>
      <c r="D1206" s="6" t="str">
        <f>"&lt;" &amp; A1206 &amp; "&gt;"</f>
        <v>&lt;/IML_Parms&gt;</v>
      </c>
      <c r="E1206" s="174" t="str">
        <f t="shared" si="65"/>
        <v>Yes</v>
      </c>
      <c r="F1206" s="6" t="s">
        <v>810</v>
      </c>
      <c r="G1206" s="6"/>
      <c r="H1206" s="6"/>
      <c r="I1206" s="6"/>
      <c r="J1206" s="6"/>
      <c r="K1206" s="6"/>
      <c r="L1206" s="6"/>
      <c r="M1206" s="6"/>
      <c r="N1206" s="6"/>
      <c r="O1206" s="6"/>
      <c r="P1206" s="6"/>
      <c r="Q1206" s="6"/>
      <c r="R1206" s="6"/>
      <c r="S1206" s="6"/>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c r="BU1206" s="6"/>
      <c r="BV1206" s="6"/>
      <c r="BW1206" s="6"/>
      <c r="BX1206" s="6"/>
      <c r="BY1206" s="6"/>
      <c r="BZ1206" s="6"/>
      <c r="CA1206" s="6"/>
      <c r="CB1206" s="6"/>
      <c r="CC1206" s="6"/>
      <c r="CD1206" s="6"/>
      <c r="CE1206" s="6"/>
      <c r="CF1206" s="6"/>
      <c r="CG1206" s="6"/>
      <c r="CH1206" s="6"/>
      <c r="CI1206" s="6"/>
      <c r="CJ1206" s="6"/>
      <c r="CK1206" s="6"/>
      <c r="CL1206" s="6"/>
      <c r="CM1206" s="6"/>
      <c r="CN1206" s="6"/>
      <c r="CO1206" s="6"/>
      <c r="CP1206" s="6"/>
      <c r="CQ1206" s="6"/>
      <c r="CR1206" s="6"/>
      <c r="CS1206" s="6"/>
      <c r="CT1206" s="6"/>
      <c r="CU1206" s="6"/>
      <c r="CV1206" s="6"/>
      <c r="CW1206" s="6"/>
      <c r="CX1206" s="6"/>
      <c r="CY1206" s="6"/>
      <c r="CZ1206" s="6"/>
      <c r="DA1206" s="6"/>
      <c r="DB1206" s="6"/>
      <c r="DC1206" s="6"/>
      <c r="DD1206" s="6"/>
    </row>
    <row r="1207" spans="1:108" ht="12.75" hidden="1" customHeight="1" outlineLevel="5">
      <c r="A1207" s="104" t="s">
        <v>218</v>
      </c>
      <c r="C1207" s="20"/>
      <c r="D1207" s="6" t="str">
        <f>"&lt;" &amp; A1207 &amp; "&gt;"</f>
        <v>&lt;/Cross_Section&gt;</v>
      </c>
      <c r="E1207" s="174" t="str">
        <f t="shared" si="65"/>
        <v>Yes</v>
      </c>
      <c r="F1207" s="6" t="s">
        <v>811</v>
      </c>
      <c r="G1207" s="6"/>
      <c r="H1207" s="6"/>
      <c r="I1207" s="6"/>
      <c r="J1207" s="6"/>
      <c r="K1207" s="6"/>
      <c r="L1207" s="6"/>
      <c r="M1207" s="6"/>
      <c r="N1207" s="6"/>
      <c r="O1207" s="6"/>
      <c r="P1207" s="6"/>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c r="BU1207" s="6"/>
      <c r="BV1207" s="6"/>
      <c r="BW1207" s="6"/>
      <c r="BX1207" s="6"/>
      <c r="BY1207" s="6"/>
      <c r="BZ1207" s="6"/>
      <c r="CA1207" s="6"/>
      <c r="CB1207" s="6"/>
      <c r="CC1207" s="6"/>
      <c r="CD1207" s="6"/>
      <c r="CE1207" s="6"/>
      <c r="CF1207" s="6"/>
      <c r="CG1207" s="6"/>
      <c r="CH1207" s="6"/>
      <c r="CI1207" s="6"/>
      <c r="CJ1207" s="6"/>
      <c r="CK1207" s="6"/>
      <c r="CL1207" s="6"/>
      <c r="CM1207" s="6"/>
      <c r="CN1207" s="6"/>
      <c r="CO1207" s="6"/>
      <c r="CP1207" s="6"/>
      <c r="CQ1207" s="6"/>
      <c r="CR1207" s="6"/>
      <c r="CS1207" s="6"/>
      <c r="CT1207" s="6"/>
      <c r="CU1207" s="6"/>
      <c r="CV1207" s="6"/>
      <c r="CW1207" s="6"/>
      <c r="CX1207" s="6"/>
      <c r="CY1207" s="6"/>
      <c r="CZ1207" s="6"/>
      <c r="DA1207" s="6"/>
      <c r="DB1207" s="6"/>
      <c r="DC1207" s="6"/>
      <c r="DD1207" s="6"/>
    </row>
    <row r="1208" spans="1:108" ht="12.75" hidden="1" customHeight="1" outlineLevel="4">
      <c r="A1208" s="104" t="s">
        <v>219</v>
      </c>
      <c r="C1208" s="20"/>
      <c r="D1208" s="6" t="str">
        <f>"&lt;" &amp; A1208 &amp; "&gt;"</f>
        <v>&lt;/Cross_Section_List&gt;</v>
      </c>
      <c r="E1208" s="174" t="str">
        <f t="shared" si="65"/>
        <v>Yes</v>
      </c>
      <c r="F1208" s="6" t="s">
        <v>842</v>
      </c>
      <c r="G1208" s="6"/>
      <c r="H1208" s="6"/>
      <c r="I1208" s="6"/>
      <c r="J1208" s="6"/>
      <c r="K1208" s="6"/>
      <c r="L1208" s="6"/>
      <c r="M1208" s="6"/>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c r="BU1208" s="6"/>
      <c r="BV1208" s="6"/>
      <c r="BW1208" s="6"/>
      <c r="BX1208" s="6"/>
      <c r="BY1208" s="6"/>
      <c r="BZ1208" s="6"/>
      <c r="CA1208" s="6"/>
      <c r="CB1208" s="6"/>
      <c r="CC1208" s="6"/>
      <c r="CD1208" s="6"/>
      <c r="CE1208" s="6"/>
      <c r="CF1208" s="6"/>
      <c r="CG1208" s="6"/>
      <c r="CH1208" s="6"/>
      <c r="CI1208" s="6"/>
      <c r="CJ1208" s="6"/>
      <c r="CK1208" s="6"/>
      <c r="CL1208" s="6"/>
      <c r="CM1208" s="6"/>
      <c r="CN1208" s="6"/>
      <c r="CO1208" s="6"/>
      <c r="CP1208" s="6"/>
      <c r="CQ1208" s="6"/>
      <c r="CR1208" s="6"/>
      <c r="CS1208" s="6"/>
      <c r="CT1208" s="6"/>
      <c r="CU1208" s="6"/>
      <c r="CV1208" s="6"/>
      <c r="CW1208" s="6"/>
      <c r="CX1208" s="6"/>
      <c r="CY1208" s="6"/>
      <c r="CZ1208" s="6"/>
      <c r="DA1208" s="6"/>
      <c r="DB1208" s="6"/>
      <c r="DC1208" s="6"/>
      <c r="DD1208" s="6"/>
    </row>
    <row r="1209" spans="1:108" ht="12.75" customHeight="1" outlineLevel="3">
      <c r="A1209" s="135" t="s">
        <v>138</v>
      </c>
      <c r="B1209" s="109"/>
      <c r="C1209" s="178" t="str">
        <f>C683</f>
        <v>Yes</v>
      </c>
      <c r="D1209" s="133" t="str">
        <f>IF(C1209="Yes",("&lt;"&amp;A1209&amp;"&gt;"),("&lt;"&amp;A1209&amp;"--&gt;"))</f>
        <v>&lt;/Component&gt;</v>
      </c>
      <c r="E1209" s="174" t="str">
        <f t="shared" ref="E1209" si="70">IF(D1209=F1209,"Yes","No")</f>
        <v>Yes</v>
      </c>
      <c r="F1209" s="6" t="s">
        <v>27</v>
      </c>
      <c r="G1209" s="6"/>
      <c r="H1209" s="6"/>
      <c r="I1209" s="6"/>
      <c r="J1209" s="6"/>
      <c r="K1209" s="6"/>
      <c r="L1209" s="6"/>
      <c r="M1209" s="6"/>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c r="BU1209" s="6"/>
      <c r="BV1209" s="6"/>
      <c r="BW1209" s="6"/>
      <c r="BX1209" s="6"/>
      <c r="BY1209" s="6"/>
      <c r="BZ1209" s="6"/>
      <c r="CA1209" s="6"/>
      <c r="CB1209" s="6"/>
      <c r="CC1209" s="6"/>
      <c r="CD1209" s="6"/>
      <c r="CE1209" s="6"/>
      <c r="CF1209" s="6"/>
      <c r="CG1209" s="6"/>
      <c r="CH1209" s="6"/>
      <c r="CI1209" s="6"/>
      <c r="CJ1209" s="6"/>
      <c r="CK1209" s="6"/>
      <c r="CL1209" s="6"/>
      <c r="CM1209" s="6"/>
      <c r="CN1209" s="6"/>
      <c r="CO1209" s="6"/>
      <c r="CP1209" s="6"/>
      <c r="CQ1209" s="6"/>
      <c r="CR1209" s="6"/>
      <c r="CS1209" s="6"/>
      <c r="CT1209" s="6"/>
      <c r="CU1209" s="6"/>
      <c r="CV1209" s="6"/>
      <c r="CW1209" s="6"/>
      <c r="CX1209" s="6"/>
      <c r="CY1209" s="6"/>
      <c r="CZ1209" s="6"/>
      <c r="DA1209" s="6"/>
      <c r="DB1209" s="6"/>
      <c r="DC1209" s="6"/>
      <c r="DD1209" s="6"/>
    </row>
    <row r="1210" spans="1:108" s="26" customFormat="1" outlineLevel="2" collapsed="1">
      <c r="A1210" s="104" t="s">
        <v>40</v>
      </c>
      <c r="B1210" s="110" t="str">
        <f>B1213 &amp; " (Model)"</f>
        <v>Engine 2 (Model)</v>
      </c>
      <c r="C1210" s="177" t="str">
        <f>IF(Input!$D$27&gt;=1,"Yes","No")</f>
        <v>Yes</v>
      </c>
      <c r="D1210" s="6" t="str">
        <f>IF(C1210="Yes",("&lt;"&amp;A1210&amp;"&gt;"),("&lt;!--"&amp;A1210&amp;"&gt;"))</f>
        <v>&lt;Component&gt;</v>
      </c>
      <c r="E1210" s="175"/>
      <c r="F1210" s="6" t="s">
        <v>283</v>
      </c>
      <c r="G1210" s="6"/>
      <c r="H1210" s="6"/>
      <c r="I1210" s="6"/>
      <c r="J1210" s="6"/>
      <c r="K1210" s="6"/>
      <c r="L1210" s="6"/>
      <c r="M1210" s="6"/>
      <c r="N1210" s="6"/>
      <c r="O1210" s="6"/>
      <c r="P1210" s="6"/>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c r="BU1210" s="6"/>
      <c r="BV1210" s="6"/>
      <c r="BW1210" s="6"/>
      <c r="BX1210" s="6"/>
      <c r="BY1210" s="6"/>
      <c r="BZ1210" s="6"/>
      <c r="CA1210" s="6"/>
      <c r="CB1210" s="6"/>
      <c r="CC1210" s="6"/>
      <c r="CD1210" s="6"/>
      <c r="CE1210" s="6"/>
      <c r="CF1210" s="6"/>
      <c r="CG1210" s="6"/>
      <c r="CH1210" s="6"/>
      <c r="CI1210" s="6"/>
      <c r="CJ1210" s="6"/>
      <c r="CK1210" s="6"/>
      <c r="CL1210" s="6"/>
      <c r="CM1210" s="6"/>
      <c r="CN1210" s="6"/>
      <c r="CO1210" s="6"/>
      <c r="CP1210" s="6"/>
      <c r="CQ1210" s="6"/>
      <c r="CR1210" s="6"/>
      <c r="CS1210" s="6"/>
      <c r="CT1210" s="6"/>
      <c r="CU1210" s="6"/>
      <c r="CV1210" s="6"/>
      <c r="CW1210" s="6"/>
      <c r="CX1210" s="6"/>
      <c r="CY1210" s="6"/>
      <c r="CZ1210" s="6"/>
      <c r="DA1210" s="6"/>
      <c r="DB1210" s="6"/>
      <c r="DC1210" s="6"/>
      <c r="DD1210" s="6"/>
    </row>
    <row r="1211" spans="1:108" ht="12.75" hidden="1" customHeight="1" outlineLevel="3" collapsed="1">
      <c r="A1211" s="104" t="s">
        <v>14</v>
      </c>
      <c r="B1211" s="100" t="s">
        <v>220</v>
      </c>
      <c r="C1211" s="11"/>
      <c r="D1211" s="18" t="str">
        <f>"&lt;" &amp; A1211 &amp; "&gt;" &amp; TEXT(B1211,0) &amp; "&lt;/" &amp; A1211 &amp; "&gt;"</f>
        <v>&lt;Type&gt;Blank&lt;/Type&gt;</v>
      </c>
      <c r="E1211" s="175"/>
      <c r="F1211" s="6" t="s">
        <v>843</v>
      </c>
      <c r="G1211" s="6"/>
      <c r="H1211" s="6"/>
      <c r="I1211" s="6"/>
      <c r="J1211" s="6"/>
      <c r="K1211" s="6"/>
      <c r="L1211" s="6"/>
      <c r="M1211" s="6"/>
      <c r="N1211" s="6"/>
      <c r="O1211" s="6"/>
      <c r="P1211" s="6"/>
      <c r="Q1211" s="6"/>
      <c r="R1211" s="6"/>
      <c r="S1211" s="6"/>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c r="BU1211" s="6"/>
      <c r="BV1211" s="6"/>
      <c r="BW1211" s="6"/>
      <c r="BX1211" s="6"/>
      <c r="BY1211" s="6"/>
      <c r="BZ1211" s="6"/>
      <c r="CA1211" s="6"/>
      <c r="CB1211" s="6"/>
      <c r="CC1211" s="6"/>
      <c r="CD1211" s="6"/>
      <c r="CE1211" s="6"/>
      <c r="CF1211" s="6"/>
      <c r="CG1211" s="6"/>
      <c r="CH1211" s="6"/>
      <c r="CI1211" s="6"/>
      <c r="CJ1211" s="6"/>
      <c r="CK1211" s="6"/>
      <c r="CL1211" s="6"/>
      <c r="CM1211" s="6"/>
      <c r="CN1211" s="6"/>
      <c r="CO1211" s="6"/>
      <c r="CP1211" s="6"/>
      <c r="CQ1211" s="6"/>
      <c r="CR1211" s="6"/>
      <c r="CS1211" s="6"/>
      <c r="CT1211" s="6"/>
      <c r="CU1211" s="6"/>
      <c r="CV1211" s="6"/>
      <c r="CW1211" s="6"/>
      <c r="CX1211" s="6"/>
      <c r="CY1211" s="6"/>
      <c r="CZ1211" s="6"/>
      <c r="DA1211" s="6"/>
      <c r="DB1211" s="6"/>
      <c r="DC1211" s="6"/>
      <c r="DD1211" s="6"/>
    </row>
    <row r="1212" spans="1:108" ht="12.75" hidden="1" customHeight="1" outlineLevel="4" collapsed="1">
      <c r="A1212" s="104" t="s">
        <v>42</v>
      </c>
      <c r="B1212" s="100"/>
      <c r="C1212" s="11"/>
      <c r="D1212" s="6" t="str">
        <f>"&lt;" &amp; A1212 &amp; "&gt;"</f>
        <v>&lt;General_Parms&gt;</v>
      </c>
      <c r="E1212" s="175"/>
      <c r="F1212" s="6" t="s">
        <v>622</v>
      </c>
      <c r="G1212" s="6"/>
      <c r="H1212" s="6"/>
      <c r="I1212" s="6"/>
      <c r="J1212" s="6"/>
      <c r="K1212" s="6"/>
      <c r="L1212" s="6"/>
      <c r="M1212" s="6"/>
      <c r="N1212" s="6"/>
      <c r="O1212" s="6"/>
      <c r="P1212" s="6"/>
      <c r="Q1212" s="6"/>
      <c r="R1212" s="6"/>
      <c r="S1212" s="6"/>
      <c r="T1212" s="6"/>
      <c r="U1212" s="6"/>
      <c r="V1212" s="6"/>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c r="BU1212" s="6"/>
      <c r="BV1212" s="6"/>
      <c r="BW1212" s="6"/>
      <c r="BX1212" s="6"/>
      <c r="BY1212" s="6"/>
      <c r="BZ1212" s="6"/>
      <c r="CA1212" s="6"/>
      <c r="CB1212" s="6"/>
      <c r="CC1212" s="6"/>
      <c r="CD1212" s="6"/>
      <c r="CE1212" s="6"/>
      <c r="CF1212" s="6"/>
      <c r="CG1212" s="6"/>
      <c r="CH1212" s="6"/>
      <c r="CI1212" s="6"/>
      <c r="CJ1212" s="6"/>
      <c r="CK1212" s="6"/>
      <c r="CL1212" s="6"/>
      <c r="CM1212" s="6"/>
      <c r="CN1212" s="6"/>
      <c r="CO1212" s="6"/>
      <c r="CP1212" s="6"/>
      <c r="CQ1212" s="6"/>
      <c r="CR1212" s="6"/>
      <c r="CS1212" s="6"/>
      <c r="CT1212" s="6"/>
      <c r="CU1212" s="6"/>
      <c r="CV1212" s="6"/>
      <c r="CW1212" s="6"/>
      <c r="CX1212" s="6"/>
      <c r="CY1212" s="6"/>
      <c r="CZ1212" s="6"/>
      <c r="DA1212" s="6"/>
      <c r="DB1212" s="6"/>
      <c r="DC1212" s="6"/>
      <c r="DD1212" s="6"/>
    </row>
    <row r="1213" spans="1:108" ht="12.75" hidden="1" customHeight="1" outlineLevel="5">
      <c r="A1213" s="104" t="s">
        <v>1</v>
      </c>
      <c r="B1213" s="118" t="str">
        <f>IF(n_e=1,"Engine 1",IF(n_e=2,"Engine 2","Engine 3"))</f>
        <v>Engine 2</v>
      </c>
      <c r="C1213" s="11"/>
      <c r="D1213" s="18" t="str">
        <f>"&lt;" &amp; A1213 &amp; "&gt;" &amp; TEXT(B1213,0) &amp; "&lt;/" &amp; A1213 &amp; "&gt;"</f>
        <v>&lt;Name&gt;Engine 2&lt;/Name&gt;</v>
      </c>
      <c r="E1213" s="175"/>
      <c r="F1213" s="6" t="s">
        <v>844</v>
      </c>
      <c r="G1213" s="6"/>
      <c r="H1213" s="6"/>
      <c r="I1213" s="6"/>
      <c r="J1213" s="6"/>
      <c r="K1213" s="6"/>
      <c r="L1213" s="6"/>
      <c r="M1213" s="6"/>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c r="BU1213" s="6"/>
      <c r="BV1213" s="6"/>
      <c r="BW1213" s="6"/>
      <c r="BX1213" s="6"/>
      <c r="BY1213" s="6"/>
      <c r="BZ1213" s="6"/>
      <c r="CA1213" s="6"/>
      <c r="CB1213" s="6"/>
      <c r="CC1213" s="6"/>
      <c r="CD1213" s="6"/>
      <c r="CE1213" s="6"/>
      <c r="CF1213" s="6"/>
      <c r="CG1213" s="6"/>
      <c r="CH1213" s="6"/>
      <c r="CI1213" s="6"/>
      <c r="CJ1213" s="6"/>
      <c r="CK1213" s="6"/>
      <c r="CL1213" s="6"/>
      <c r="CM1213" s="6"/>
      <c r="CN1213" s="6"/>
      <c r="CO1213" s="6"/>
      <c r="CP1213" s="6"/>
      <c r="CQ1213" s="6"/>
      <c r="CR1213" s="6"/>
      <c r="CS1213" s="6"/>
      <c r="CT1213" s="6"/>
      <c r="CU1213" s="6"/>
      <c r="CV1213" s="6"/>
      <c r="CW1213" s="6"/>
      <c r="CX1213" s="6"/>
      <c r="CY1213" s="6"/>
      <c r="CZ1213" s="6"/>
      <c r="DA1213" s="6"/>
      <c r="DB1213" s="6"/>
      <c r="DC1213" s="6"/>
      <c r="DD1213" s="6"/>
    </row>
    <row r="1214" spans="1:108" ht="12.75" hidden="1" customHeight="1" outlineLevel="5">
      <c r="A1214" s="104" t="s">
        <v>43</v>
      </c>
      <c r="B1214" s="28">
        <v>0</v>
      </c>
      <c r="C1214" s="11"/>
      <c r="D1214" s="18" t="str">
        <f>"&lt;" &amp; A1214 &amp; "&gt;" &amp; TEXT(B1214,"0.000000") &amp; "&lt;/" &amp; A1214 &amp; "&gt;"</f>
        <v>&lt;ColorR&gt;0.000000&lt;/ColorR&gt;</v>
      </c>
      <c r="E1214" s="175"/>
      <c r="F1214" s="6" t="s">
        <v>845</v>
      </c>
      <c r="G1214" s="6"/>
      <c r="H1214" s="6"/>
      <c r="I1214" s="6"/>
      <c r="J1214" s="6"/>
      <c r="K1214" s="6"/>
      <c r="L1214" s="6"/>
      <c r="M1214" s="6"/>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c r="BU1214" s="6"/>
      <c r="BV1214" s="6"/>
      <c r="BW1214" s="6"/>
      <c r="BX1214" s="6"/>
      <c r="BY1214" s="6"/>
      <c r="BZ1214" s="6"/>
      <c r="CA1214" s="6"/>
      <c r="CB1214" s="6"/>
      <c r="CC1214" s="6"/>
      <c r="CD1214" s="6"/>
      <c r="CE1214" s="6"/>
      <c r="CF1214" s="6"/>
      <c r="CG1214" s="6"/>
      <c r="CH1214" s="6"/>
      <c r="CI1214" s="6"/>
      <c r="CJ1214" s="6"/>
      <c r="CK1214" s="6"/>
      <c r="CL1214" s="6"/>
      <c r="CM1214" s="6"/>
      <c r="CN1214" s="6"/>
      <c r="CO1214" s="6"/>
      <c r="CP1214" s="6"/>
      <c r="CQ1214" s="6"/>
      <c r="CR1214" s="6"/>
      <c r="CS1214" s="6"/>
      <c r="CT1214" s="6"/>
      <c r="CU1214" s="6"/>
      <c r="CV1214" s="6"/>
      <c r="CW1214" s="6"/>
      <c r="CX1214" s="6"/>
      <c r="CY1214" s="6"/>
      <c r="CZ1214" s="6"/>
      <c r="DA1214" s="6"/>
      <c r="DB1214" s="6"/>
      <c r="DC1214" s="6"/>
      <c r="DD1214" s="6"/>
    </row>
    <row r="1215" spans="1:108" ht="12.75" hidden="1" customHeight="1" outlineLevel="5">
      <c r="A1215" s="104" t="s">
        <v>44</v>
      </c>
      <c r="B1215" s="28">
        <v>0</v>
      </c>
      <c r="C1215" s="11"/>
      <c r="D1215" s="18" t="str">
        <f>"&lt;" &amp; A1215 &amp; "&gt;" &amp; TEXT(B1215,"0.000000") &amp; "&lt;/" &amp; A1215 &amp; "&gt;"</f>
        <v>&lt;ColorG&gt;0.000000&lt;/ColorG&gt;</v>
      </c>
      <c r="E1215" s="175"/>
      <c r="F1215" s="6" t="s">
        <v>625</v>
      </c>
      <c r="G1215" s="6"/>
      <c r="H1215" s="6"/>
      <c r="I1215" s="6"/>
      <c r="J1215" s="6"/>
      <c r="K1215" s="6"/>
      <c r="L1215" s="6"/>
      <c r="M1215" s="6"/>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c r="BU1215" s="6"/>
      <c r="BV1215" s="6"/>
      <c r="BW1215" s="6"/>
      <c r="BX1215" s="6"/>
      <c r="BY1215" s="6"/>
      <c r="BZ1215" s="6"/>
      <c r="CA1215" s="6"/>
      <c r="CB1215" s="6"/>
      <c r="CC1215" s="6"/>
      <c r="CD1215" s="6"/>
      <c r="CE1215" s="6"/>
      <c r="CF1215" s="6"/>
      <c r="CG1215" s="6"/>
      <c r="CH1215" s="6"/>
      <c r="CI1215" s="6"/>
      <c r="CJ1215" s="6"/>
      <c r="CK1215" s="6"/>
      <c r="CL1215" s="6"/>
      <c r="CM1215" s="6"/>
      <c r="CN1215" s="6"/>
      <c r="CO1215" s="6"/>
      <c r="CP1215" s="6"/>
      <c r="CQ1215" s="6"/>
      <c r="CR1215" s="6"/>
      <c r="CS1215" s="6"/>
      <c r="CT1215" s="6"/>
      <c r="CU1215" s="6"/>
      <c r="CV1215" s="6"/>
      <c r="CW1215" s="6"/>
      <c r="CX1215" s="6"/>
      <c r="CY1215" s="6"/>
      <c r="CZ1215" s="6"/>
      <c r="DA1215" s="6"/>
      <c r="DB1215" s="6"/>
      <c r="DC1215" s="6"/>
      <c r="DD1215" s="6"/>
    </row>
    <row r="1216" spans="1:108" ht="12.75" hidden="1" customHeight="1" outlineLevel="5">
      <c r="A1216" s="104" t="s">
        <v>45</v>
      </c>
      <c r="B1216" s="28">
        <v>255</v>
      </c>
      <c r="C1216" s="11"/>
      <c r="D1216" s="18" t="str">
        <f>"&lt;" &amp; A1216 &amp; "&gt;" &amp; TEXT(B1216,"0.000000") &amp; "&lt;/" &amp; A1216 &amp; "&gt;"</f>
        <v>&lt;ColorB&gt;255.000000&lt;/ColorB&gt;</v>
      </c>
      <c r="E1216" s="175"/>
      <c r="F1216" s="6" t="s">
        <v>846</v>
      </c>
      <c r="G1216" s="6"/>
      <c r="H1216" s="6"/>
      <c r="I1216" s="6"/>
      <c r="J1216" s="6"/>
      <c r="K1216" s="6"/>
      <c r="L1216" s="6"/>
      <c r="M1216" s="6"/>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c r="BU1216" s="6"/>
      <c r="BV1216" s="6"/>
      <c r="BW1216" s="6"/>
      <c r="BX1216" s="6"/>
      <c r="BY1216" s="6"/>
      <c r="BZ1216" s="6"/>
      <c r="CA1216" s="6"/>
      <c r="CB1216" s="6"/>
      <c r="CC1216" s="6"/>
      <c r="CD1216" s="6"/>
      <c r="CE1216" s="6"/>
      <c r="CF1216" s="6"/>
      <c r="CG1216" s="6"/>
      <c r="CH1216" s="6"/>
      <c r="CI1216" s="6"/>
      <c r="CJ1216" s="6"/>
      <c r="CK1216" s="6"/>
      <c r="CL1216" s="6"/>
      <c r="CM1216" s="6"/>
      <c r="CN1216" s="6"/>
      <c r="CO1216" s="6"/>
      <c r="CP1216" s="6"/>
      <c r="CQ1216" s="6"/>
      <c r="CR1216" s="6"/>
      <c r="CS1216" s="6"/>
      <c r="CT1216" s="6"/>
      <c r="CU1216" s="6"/>
      <c r="CV1216" s="6"/>
      <c r="CW1216" s="6"/>
      <c r="CX1216" s="6"/>
      <c r="CY1216" s="6"/>
      <c r="CZ1216" s="6"/>
      <c r="DA1216" s="6"/>
      <c r="DB1216" s="6"/>
      <c r="DC1216" s="6"/>
      <c r="DD1216" s="6"/>
    </row>
    <row r="1217" spans="1:108" ht="12.75" hidden="1" customHeight="1" outlineLevel="5">
      <c r="A1217" s="104" t="s">
        <v>46</v>
      </c>
      <c r="B1217" s="28">
        <v>0</v>
      </c>
      <c r="C1217" s="11"/>
      <c r="D1217" s="18" t="str">
        <f t="shared" ref="D1217:D1226" si="71">"&lt;" &amp; A1217 &amp; "&gt;" &amp; TEXT(B1217,0) &amp; "&lt;/" &amp; A1217 &amp; "&gt;"</f>
        <v>&lt;Symmetry&gt;0&lt;/Symmetry&gt;</v>
      </c>
      <c r="E1217" s="175"/>
      <c r="F1217" s="6" t="s">
        <v>720</v>
      </c>
      <c r="G1217" s="6"/>
      <c r="H1217" s="6"/>
      <c r="I1217" s="6"/>
      <c r="J1217" s="6"/>
      <c r="K1217" s="6"/>
      <c r="L1217" s="6"/>
      <c r="M1217" s="6"/>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c r="BU1217" s="6"/>
      <c r="BV1217" s="6"/>
      <c r="BW1217" s="6"/>
      <c r="BX1217" s="6"/>
      <c r="BY1217" s="6"/>
      <c r="BZ1217" s="6"/>
      <c r="CA1217" s="6"/>
      <c r="CB1217" s="6"/>
      <c r="CC1217" s="6"/>
      <c r="CD1217" s="6"/>
      <c r="CE1217" s="6"/>
      <c r="CF1217" s="6"/>
      <c r="CG1217" s="6"/>
      <c r="CH1217" s="6"/>
      <c r="CI1217" s="6"/>
      <c r="CJ1217" s="6"/>
      <c r="CK1217" s="6"/>
      <c r="CL1217" s="6"/>
      <c r="CM1217" s="6"/>
      <c r="CN1217" s="6"/>
      <c r="CO1217" s="6"/>
      <c r="CP1217" s="6"/>
      <c r="CQ1217" s="6"/>
      <c r="CR1217" s="6"/>
      <c r="CS1217" s="6"/>
      <c r="CT1217" s="6"/>
      <c r="CU1217" s="6"/>
      <c r="CV1217" s="6"/>
      <c r="CW1217" s="6"/>
      <c r="CX1217" s="6"/>
      <c r="CY1217" s="6"/>
      <c r="CZ1217" s="6"/>
      <c r="DA1217" s="6"/>
      <c r="DB1217" s="6"/>
      <c r="DC1217" s="6"/>
      <c r="DD1217" s="6"/>
    </row>
    <row r="1218" spans="1:108" ht="12.75" hidden="1" customHeight="1" outlineLevel="5">
      <c r="A1218" s="104" t="s">
        <v>47</v>
      </c>
      <c r="B1218" s="28">
        <v>0</v>
      </c>
      <c r="C1218" s="11"/>
      <c r="D1218" s="18" t="str">
        <f t="shared" si="71"/>
        <v>&lt;RelXFormFlag&gt;0&lt;/RelXFormFlag&gt;</v>
      </c>
      <c r="E1218" s="175"/>
      <c r="F1218" s="6" t="s">
        <v>628</v>
      </c>
      <c r="G1218" s="6"/>
      <c r="H1218" s="6"/>
      <c r="I1218" s="6"/>
      <c r="J1218" s="6"/>
      <c r="K1218" s="6"/>
      <c r="L1218" s="6"/>
      <c r="M1218" s="6"/>
      <c r="N1218" s="6"/>
      <c r="O1218" s="6"/>
      <c r="P1218" s="6"/>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c r="BU1218" s="6"/>
      <c r="BV1218" s="6"/>
      <c r="BW1218" s="6"/>
      <c r="BX1218" s="6"/>
      <c r="BY1218" s="6"/>
      <c r="BZ1218" s="6"/>
      <c r="CA1218" s="6"/>
      <c r="CB1218" s="6"/>
      <c r="CC1218" s="6"/>
      <c r="CD1218" s="6"/>
      <c r="CE1218" s="6"/>
      <c r="CF1218" s="6"/>
      <c r="CG1218" s="6"/>
      <c r="CH1218" s="6"/>
      <c r="CI1218" s="6"/>
      <c r="CJ1218" s="6"/>
      <c r="CK1218" s="6"/>
      <c r="CL1218" s="6"/>
      <c r="CM1218" s="6"/>
      <c r="CN1218" s="6"/>
      <c r="CO1218" s="6"/>
      <c r="CP1218" s="6"/>
      <c r="CQ1218" s="6"/>
      <c r="CR1218" s="6"/>
      <c r="CS1218" s="6"/>
      <c r="CT1218" s="6"/>
      <c r="CU1218" s="6"/>
      <c r="CV1218" s="6"/>
      <c r="CW1218" s="6"/>
      <c r="CX1218" s="6"/>
      <c r="CY1218" s="6"/>
      <c r="CZ1218" s="6"/>
      <c r="DA1218" s="6"/>
      <c r="DB1218" s="6"/>
      <c r="DC1218" s="6"/>
      <c r="DD1218" s="6"/>
    </row>
    <row r="1219" spans="1:108" ht="12.75" hidden="1" customHeight="1" outlineLevel="5">
      <c r="A1219" s="104" t="s">
        <v>48</v>
      </c>
      <c r="B1219" s="28">
        <v>0</v>
      </c>
      <c r="C1219" s="11"/>
      <c r="D1219" s="18" t="str">
        <f t="shared" si="71"/>
        <v>&lt;MaterialID&gt;0&lt;/MaterialID&gt;</v>
      </c>
      <c r="E1219" s="175"/>
      <c r="F1219" s="6" t="s">
        <v>847</v>
      </c>
      <c r="G1219" s="6"/>
      <c r="H1219" s="6"/>
      <c r="I1219" s="6"/>
      <c r="J1219" s="6"/>
      <c r="K1219" s="6"/>
      <c r="L1219" s="6"/>
      <c r="M1219" s="6"/>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c r="BU1219" s="6"/>
      <c r="BV1219" s="6"/>
      <c r="BW1219" s="6"/>
      <c r="BX1219" s="6"/>
      <c r="BY1219" s="6"/>
      <c r="BZ1219" s="6"/>
      <c r="CA1219" s="6"/>
      <c r="CB1219" s="6"/>
      <c r="CC1219" s="6"/>
      <c r="CD1219" s="6"/>
      <c r="CE1219" s="6"/>
      <c r="CF1219" s="6"/>
      <c r="CG1219" s="6"/>
      <c r="CH1219" s="6"/>
      <c r="CI1219" s="6"/>
      <c r="CJ1219" s="6"/>
      <c r="CK1219" s="6"/>
      <c r="CL1219" s="6"/>
      <c r="CM1219" s="6"/>
      <c r="CN1219" s="6"/>
      <c r="CO1219" s="6"/>
      <c r="CP1219" s="6"/>
      <c r="CQ1219" s="6"/>
      <c r="CR1219" s="6"/>
      <c r="CS1219" s="6"/>
      <c r="CT1219" s="6"/>
      <c r="CU1219" s="6"/>
      <c r="CV1219" s="6"/>
      <c r="CW1219" s="6"/>
      <c r="CX1219" s="6"/>
      <c r="CY1219" s="6"/>
      <c r="CZ1219" s="6"/>
      <c r="DA1219" s="6"/>
      <c r="DB1219" s="6"/>
      <c r="DC1219" s="6"/>
      <c r="DD1219" s="6"/>
    </row>
    <row r="1220" spans="1:108" ht="12.75" hidden="1" customHeight="1" outlineLevel="5">
      <c r="A1220" s="104" t="s">
        <v>49</v>
      </c>
      <c r="B1220" s="28">
        <v>1</v>
      </c>
      <c r="C1220" s="11"/>
      <c r="D1220" s="18" t="str">
        <f t="shared" si="71"/>
        <v>&lt;OutputFlag&gt;1&lt;/OutputFlag&gt;</v>
      </c>
      <c r="E1220" s="175"/>
      <c r="F1220" s="6" t="s">
        <v>630</v>
      </c>
      <c r="G1220" s="6"/>
      <c r="H1220" s="6"/>
      <c r="I1220" s="6"/>
      <c r="J1220" s="6"/>
      <c r="K1220" s="6"/>
      <c r="L1220" s="6"/>
      <c r="M1220" s="6"/>
      <c r="N1220" s="6"/>
      <c r="O1220" s="6"/>
      <c r="P1220" s="6"/>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c r="BU1220" s="6"/>
      <c r="BV1220" s="6"/>
      <c r="BW1220" s="6"/>
      <c r="BX1220" s="6"/>
      <c r="BY1220" s="6"/>
      <c r="BZ1220" s="6"/>
      <c r="CA1220" s="6"/>
      <c r="CB1220" s="6"/>
      <c r="CC1220" s="6"/>
      <c r="CD1220" s="6"/>
      <c r="CE1220" s="6"/>
      <c r="CF1220" s="6"/>
      <c r="CG1220" s="6"/>
      <c r="CH1220" s="6"/>
      <c r="CI1220" s="6"/>
      <c r="CJ1220" s="6"/>
      <c r="CK1220" s="6"/>
      <c r="CL1220" s="6"/>
      <c r="CM1220" s="6"/>
      <c r="CN1220" s="6"/>
      <c r="CO1220" s="6"/>
      <c r="CP1220" s="6"/>
      <c r="CQ1220" s="6"/>
      <c r="CR1220" s="6"/>
      <c r="CS1220" s="6"/>
      <c r="CT1220" s="6"/>
      <c r="CU1220" s="6"/>
      <c r="CV1220" s="6"/>
      <c r="CW1220" s="6"/>
      <c r="CX1220" s="6"/>
      <c r="CY1220" s="6"/>
      <c r="CZ1220" s="6"/>
      <c r="DA1220" s="6"/>
      <c r="DB1220" s="6"/>
      <c r="DC1220" s="6"/>
      <c r="DD1220" s="6"/>
    </row>
    <row r="1221" spans="1:108" ht="12.75" hidden="1" customHeight="1" outlineLevel="5">
      <c r="A1221" s="104" t="s">
        <v>50</v>
      </c>
      <c r="B1221" s="28">
        <v>0</v>
      </c>
      <c r="C1221" s="11"/>
      <c r="D1221" s="18" t="str">
        <f t="shared" si="71"/>
        <v>&lt;OutputNameID&gt;0&lt;/OutputNameID&gt;</v>
      </c>
      <c r="E1221" s="175"/>
      <c r="F1221" s="6" t="s">
        <v>631</v>
      </c>
      <c r="G1221" s="6"/>
      <c r="H1221" s="6"/>
      <c r="I1221" s="6"/>
      <c r="J1221" s="6"/>
      <c r="K1221" s="6"/>
      <c r="L1221" s="6"/>
      <c r="M1221" s="6"/>
      <c r="N1221" s="6"/>
      <c r="O1221" s="6"/>
      <c r="P1221" s="6"/>
      <c r="Q1221" s="6"/>
      <c r="R1221" s="6"/>
      <c r="S1221" s="6"/>
      <c r="T1221" s="6"/>
      <c r="U1221" s="6"/>
      <c r="V1221" s="6"/>
      <c r="W1221" s="6"/>
      <c r="X1221" s="6"/>
      <c r="Y1221" s="6"/>
      <c r="Z1221" s="6"/>
      <c r="AA1221" s="6"/>
      <c r="AB1221" s="6"/>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c r="BU1221" s="6"/>
      <c r="BV1221" s="6"/>
      <c r="BW1221" s="6"/>
      <c r="BX1221" s="6"/>
      <c r="BY1221" s="6"/>
      <c r="BZ1221" s="6"/>
      <c r="CA1221" s="6"/>
      <c r="CB1221" s="6"/>
      <c r="CC1221" s="6"/>
      <c r="CD1221" s="6"/>
      <c r="CE1221" s="6"/>
      <c r="CF1221" s="6"/>
      <c r="CG1221" s="6"/>
      <c r="CH1221" s="6"/>
      <c r="CI1221" s="6"/>
      <c r="CJ1221" s="6"/>
      <c r="CK1221" s="6"/>
      <c r="CL1221" s="6"/>
      <c r="CM1221" s="6"/>
      <c r="CN1221" s="6"/>
      <c r="CO1221" s="6"/>
      <c r="CP1221" s="6"/>
      <c r="CQ1221" s="6"/>
      <c r="CR1221" s="6"/>
      <c r="CS1221" s="6"/>
      <c r="CT1221" s="6"/>
      <c r="CU1221" s="6"/>
      <c r="CV1221" s="6"/>
      <c r="CW1221" s="6"/>
      <c r="CX1221" s="6"/>
      <c r="CY1221" s="6"/>
      <c r="CZ1221" s="6"/>
      <c r="DA1221" s="6"/>
      <c r="DB1221" s="6"/>
      <c r="DC1221" s="6"/>
      <c r="DD1221" s="6"/>
    </row>
    <row r="1222" spans="1:108" ht="12.75" hidden="1" customHeight="1" outlineLevel="5">
      <c r="A1222" s="104" t="s">
        <v>51</v>
      </c>
      <c r="B1222" s="28">
        <v>1</v>
      </c>
      <c r="C1222" s="11"/>
      <c r="D1222" s="18" t="str">
        <f t="shared" si="71"/>
        <v>&lt;DisplayChildrenFlag&gt;1&lt;/DisplayChildrenFlag&gt;</v>
      </c>
      <c r="E1222" s="175"/>
      <c r="F1222" s="6" t="s">
        <v>632</v>
      </c>
      <c r="G1222" s="6"/>
      <c r="H1222" s="6"/>
      <c r="I1222" s="6"/>
      <c r="J1222" s="6"/>
      <c r="K1222" s="6"/>
      <c r="L1222" s="6"/>
      <c r="M1222" s="6"/>
      <c r="N1222" s="6"/>
      <c r="O1222" s="6"/>
      <c r="P1222" s="6"/>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c r="BU1222" s="6"/>
      <c r="BV1222" s="6"/>
      <c r="BW1222" s="6"/>
      <c r="BX1222" s="6"/>
      <c r="BY1222" s="6"/>
      <c r="BZ1222" s="6"/>
      <c r="CA1222" s="6"/>
      <c r="CB1222" s="6"/>
      <c r="CC1222" s="6"/>
      <c r="CD1222" s="6"/>
      <c r="CE1222" s="6"/>
      <c r="CF1222" s="6"/>
      <c r="CG1222" s="6"/>
      <c r="CH1222" s="6"/>
      <c r="CI1222" s="6"/>
      <c r="CJ1222" s="6"/>
      <c r="CK1222" s="6"/>
      <c r="CL1222" s="6"/>
      <c r="CM1222" s="6"/>
      <c r="CN1222" s="6"/>
      <c r="CO1222" s="6"/>
      <c r="CP1222" s="6"/>
      <c r="CQ1222" s="6"/>
      <c r="CR1222" s="6"/>
      <c r="CS1222" s="6"/>
      <c r="CT1222" s="6"/>
      <c r="CU1222" s="6"/>
      <c r="CV1222" s="6"/>
      <c r="CW1222" s="6"/>
      <c r="CX1222" s="6"/>
      <c r="CY1222" s="6"/>
      <c r="CZ1222" s="6"/>
      <c r="DA1222" s="6"/>
      <c r="DB1222" s="6"/>
      <c r="DC1222" s="6"/>
      <c r="DD1222" s="6"/>
    </row>
    <row r="1223" spans="1:108" ht="12.75" hidden="1" customHeight="1" outlineLevel="5">
      <c r="A1223" s="104" t="s">
        <v>52</v>
      </c>
      <c r="B1223" s="28">
        <v>21</v>
      </c>
      <c r="C1223" s="11"/>
      <c r="D1223" s="18" t="str">
        <f t="shared" si="71"/>
        <v>&lt;NumPnts&gt;21&lt;/NumPnts&gt;</v>
      </c>
      <c r="E1223" s="175"/>
      <c r="F1223" s="6" t="s">
        <v>633</v>
      </c>
      <c r="G1223" s="6"/>
      <c r="H1223" s="6"/>
      <c r="I1223" s="6"/>
      <c r="J1223" s="6"/>
      <c r="K1223" s="6"/>
      <c r="L1223" s="6"/>
      <c r="M1223" s="6"/>
      <c r="N1223" s="6"/>
      <c r="O1223" s="6"/>
      <c r="P1223" s="6"/>
      <c r="Q1223" s="6"/>
      <c r="R1223" s="6"/>
      <c r="S1223" s="6"/>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c r="BU1223" s="6"/>
      <c r="BV1223" s="6"/>
      <c r="BW1223" s="6"/>
      <c r="BX1223" s="6"/>
      <c r="BY1223" s="6"/>
      <c r="BZ1223" s="6"/>
      <c r="CA1223" s="6"/>
      <c r="CB1223" s="6"/>
      <c r="CC1223" s="6"/>
      <c r="CD1223" s="6"/>
      <c r="CE1223" s="6"/>
      <c r="CF1223" s="6"/>
      <c r="CG1223" s="6"/>
      <c r="CH1223" s="6"/>
      <c r="CI1223" s="6"/>
      <c r="CJ1223" s="6"/>
      <c r="CK1223" s="6"/>
      <c r="CL1223" s="6"/>
      <c r="CM1223" s="6"/>
      <c r="CN1223" s="6"/>
      <c r="CO1223" s="6"/>
      <c r="CP1223" s="6"/>
      <c r="CQ1223" s="6"/>
      <c r="CR1223" s="6"/>
      <c r="CS1223" s="6"/>
      <c r="CT1223" s="6"/>
      <c r="CU1223" s="6"/>
      <c r="CV1223" s="6"/>
      <c r="CW1223" s="6"/>
      <c r="CX1223" s="6"/>
      <c r="CY1223" s="6"/>
      <c r="CZ1223" s="6"/>
      <c r="DA1223" s="6"/>
      <c r="DB1223" s="6"/>
      <c r="DC1223" s="6"/>
      <c r="DD1223" s="6"/>
    </row>
    <row r="1224" spans="1:108" ht="12.75" hidden="1" customHeight="1" outlineLevel="5">
      <c r="A1224" s="104" t="s">
        <v>53</v>
      </c>
      <c r="B1224" s="28">
        <v>11</v>
      </c>
      <c r="C1224" s="11"/>
      <c r="D1224" s="18" t="str">
        <f t="shared" si="71"/>
        <v>&lt;NumXsecs&gt;11&lt;/NumXsecs&gt;</v>
      </c>
      <c r="E1224" s="175"/>
      <c r="F1224" s="6" t="s">
        <v>732</v>
      </c>
      <c r="G1224" s="6"/>
      <c r="H1224" s="6"/>
      <c r="I1224" s="6"/>
      <c r="J1224" s="6"/>
      <c r="K1224" s="6"/>
      <c r="L1224" s="6"/>
      <c r="M1224" s="6"/>
      <c r="N1224" s="6"/>
      <c r="O1224" s="6"/>
      <c r="P1224" s="6"/>
      <c r="Q1224" s="6"/>
      <c r="R1224" s="6"/>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c r="BU1224" s="6"/>
      <c r="BV1224" s="6"/>
      <c r="BW1224" s="6"/>
      <c r="BX1224" s="6"/>
      <c r="BY1224" s="6"/>
      <c r="BZ1224" s="6"/>
      <c r="CA1224" s="6"/>
      <c r="CB1224" s="6"/>
      <c r="CC1224" s="6"/>
      <c r="CD1224" s="6"/>
      <c r="CE1224" s="6"/>
      <c r="CF1224" s="6"/>
      <c r="CG1224" s="6"/>
      <c r="CH1224" s="6"/>
      <c r="CI1224" s="6"/>
      <c r="CJ1224" s="6"/>
      <c r="CK1224" s="6"/>
      <c r="CL1224" s="6"/>
      <c r="CM1224" s="6"/>
      <c r="CN1224" s="6"/>
      <c r="CO1224" s="6"/>
      <c r="CP1224" s="6"/>
      <c r="CQ1224" s="6"/>
      <c r="CR1224" s="6"/>
      <c r="CS1224" s="6"/>
      <c r="CT1224" s="6"/>
      <c r="CU1224" s="6"/>
      <c r="CV1224" s="6"/>
      <c r="CW1224" s="6"/>
      <c r="CX1224" s="6"/>
      <c r="CY1224" s="6"/>
      <c r="CZ1224" s="6"/>
      <c r="DA1224" s="6"/>
      <c r="DB1224" s="6"/>
      <c r="DC1224" s="6"/>
      <c r="DD1224" s="6"/>
    </row>
    <row r="1225" spans="1:108" ht="12.75" hidden="1" customHeight="1" outlineLevel="5">
      <c r="A1225" s="104" t="s">
        <v>54</v>
      </c>
      <c r="B1225" s="28">
        <v>0</v>
      </c>
      <c r="C1225" s="11"/>
      <c r="D1225" s="18" t="str">
        <f t="shared" si="71"/>
        <v>&lt;MassPrior&gt;0&lt;/MassPrior&gt;</v>
      </c>
      <c r="E1225" s="175"/>
      <c r="F1225" s="6" t="s">
        <v>635</v>
      </c>
      <c r="G1225" s="6"/>
      <c r="H1225" s="6"/>
      <c r="I1225" s="6"/>
      <c r="J1225" s="6"/>
      <c r="K1225" s="6"/>
      <c r="L1225" s="6"/>
      <c r="M1225" s="6"/>
      <c r="N1225" s="6"/>
      <c r="O1225" s="6"/>
      <c r="P1225" s="6"/>
      <c r="Q1225" s="6"/>
      <c r="R1225" s="6"/>
      <c r="S1225" s="6"/>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c r="BU1225" s="6"/>
      <c r="BV1225" s="6"/>
      <c r="BW1225" s="6"/>
      <c r="BX1225" s="6"/>
      <c r="BY1225" s="6"/>
      <c r="BZ1225" s="6"/>
      <c r="CA1225" s="6"/>
      <c r="CB1225" s="6"/>
      <c r="CC1225" s="6"/>
      <c r="CD1225" s="6"/>
      <c r="CE1225" s="6"/>
      <c r="CF1225" s="6"/>
      <c r="CG1225" s="6"/>
      <c r="CH1225" s="6"/>
      <c r="CI1225" s="6"/>
      <c r="CJ1225" s="6"/>
      <c r="CK1225" s="6"/>
      <c r="CL1225" s="6"/>
      <c r="CM1225" s="6"/>
      <c r="CN1225" s="6"/>
      <c r="CO1225" s="6"/>
      <c r="CP1225" s="6"/>
      <c r="CQ1225" s="6"/>
      <c r="CR1225" s="6"/>
      <c r="CS1225" s="6"/>
      <c r="CT1225" s="6"/>
      <c r="CU1225" s="6"/>
      <c r="CV1225" s="6"/>
      <c r="CW1225" s="6"/>
      <c r="CX1225" s="6"/>
      <c r="CY1225" s="6"/>
      <c r="CZ1225" s="6"/>
      <c r="DA1225" s="6"/>
      <c r="DB1225" s="6"/>
      <c r="DC1225" s="6"/>
      <c r="DD1225" s="6"/>
    </row>
    <row r="1226" spans="1:108" ht="12.75" hidden="1" customHeight="1" outlineLevel="5">
      <c r="A1226" s="104" t="s">
        <v>55</v>
      </c>
      <c r="B1226" s="28">
        <v>0</v>
      </c>
      <c r="C1226" s="11"/>
      <c r="D1226" s="18" t="str">
        <f t="shared" si="71"/>
        <v>&lt;ShellFlag&gt;0&lt;/ShellFlag&gt;</v>
      </c>
      <c r="E1226" s="175"/>
      <c r="F1226" s="6" t="s">
        <v>636</v>
      </c>
      <c r="G1226" s="6"/>
      <c r="H1226" s="6"/>
      <c r="I1226" s="6"/>
      <c r="J1226" s="6"/>
      <c r="K1226" s="6"/>
      <c r="L1226" s="6"/>
      <c r="M1226" s="6"/>
      <c r="N1226" s="6"/>
      <c r="O1226" s="6"/>
      <c r="P1226" s="6"/>
      <c r="Q1226" s="6"/>
      <c r="R1226" s="6"/>
      <c r="S1226" s="6"/>
      <c r="T1226" s="6"/>
      <c r="U1226" s="6"/>
      <c r="V1226" s="6"/>
      <c r="W1226" s="6"/>
      <c r="X1226" s="6"/>
      <c r="Y1226" s="6"/>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c r="BU1226" s="6"/>
      <c r="BV1226" s="6"/>
      <c r="BW1226" s="6"/>
      <c r="BX1226" s="6"/>
      <c r="BY1226" s="6"/>
      <c r="BZ1226" s="6"/>
      <c r="CA1226" s="6"/>
      <c r="CB1226" s="6"/>
      <c r="CC1226" s="6"/>
      <c r="CD1226" s="6"/>
      <c r="CE1226" s="6"/>
      <c r="CF1226" s="6"/>
      <c r="CG1226" s="6"/>
      <c r="CH1226" s="6"/>
      <c r="CI1226" s="6"/>
      <c r="CJ1226" s="6"/>
      <c r="CK1226" s="6"/>
      <c r="CL1226" s="6"/>
      <c r="CM1226" s="6"/>
      <c r="CN1226" s="6"/>
      <c r="CO1226" s="6"/>
      <c r="CP1226" s="6"/>
      <c r="CQ1226" s="6"/>
      <c r="CR1226" s="6"/>
      <c r="CS1226" s="6"/>
      <c r="CT1226" s="6"/>
      <c r="CU1226" s="6"/>
      <c r="CV1226" s="6"/>
      <c r="CW1226" s="6"/>
      <c r="CX1226" s="6"/>
      <c r="CY1226" s="6"/>
      <c r="CZ1226" s="6"/>
      <c r="DA1226" s="6"/>
      <c r="DB1226" s="6"/>
      <c r="DC1226" s="6"/>
      <c r="DD1226" s="6"/>
    </row>
    <row r="1227" spans="1:108" ht="12.75" hidden="1" customHeight="1" outlineLevel="5">
      <c r="A1227" s="104" t="s">
        <v>56</v>
      </c>
      <c r="B1227" s="92">
        <f ca="1">IF(Input!$D$26="Jet",pos_e.j1.x,pos_e.p1.x)</f>
        <v>13.056760454354746</v>
      </c>
      <c r="C1227" s="11"/>
      <c r="D1227" s="18" t="str">
        <f t="shared" ref="D1227:D1241" ca="1" si="72">"&lt;" &amp; A1227 &amp; "&gt;" &amp; TEXT(B1227,"0.000000") &amp; "&lt;/" &amp; A1227 &amp; "&gt;"</f>
        <v>&lt;Tran_X&gt;13.056760&lt;/Tran_X&gt;</v>
      </c>
      <c r="E1227" s="175"/>
      <c r="F1227" s="6" t="s">
        <v>848</v>
      </c>
      <c r="G1227" s="6"/>
      <c r="H1227" s="6"/>
      <c r="I1227" s="6"/>
      <c r="J1227" s="6"/>
      <c r="K1227" s="6"/>
      <c r="L1227" s="6"/>
      <c r="M1227" s="6"/>
      <c r="N1227" s="6"/>
      <c r="O1227" s="6"/>
      <c r="P1227" s="6"/>
      <c r="Q1227" s="6"/>
      <c r="R1227" s="6"/>
      <c r="S1227" s="6"/>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c r="BU1227" s="6"/>
      <c r="BV1227" s="6"/>
      <c r="BW1227" s="6"/>
      <c r="BX1227" s="6"/>
      <c r="BY1227" s="6"/>
      <c r="BZ1227" s="6"/>
      <c r="CA1227" s="6"/>
      <c r="CB1227" s="6"/>
      <c r="CC1227" s="6"/>
      <c r="CD1227" s="6"/>
      <c r="CE1227" s="6"/>
      <c r="CF1227" s="6"/>
      <c r="CG1227" s="6"/>
      <c r="CH1227" s="6"/>
      <c r="CI1227" s="6"/>
      <c r="CJ1227" s="6"/>
      <c r="CK1227" s="6"/>
      <c r="CL1227" s="6"/>
      <c r="CM1227" s="6"/>
      <c r="CN1227" s="6"/>
      <c r="CO1227" s="6"/>
      <c r="CP1227" s="6"/>
      <c r="CQ1227" s="6"/>
      <c r="CR1227" s="6"/>
      <c r="CS1227" s="6"/>
      <c r="CT1227" s="6"/>
      <c r="CU1227" s="6"/>
      <c r="CV1227" s="6"/>
      <c r="CW1227" s="6"/>
      <c r="CX1227" s="6"/>
      <c r="CY1227" s="6"/>
      <c r="CZ1227" s="6"/>
      <c r="DA1227" s="6"/>
      <c r="DB1227" s="6"/>
      <c r="DC1227" s="6"/>
      <c r="DD1227" s="6"/>
    </row>
    <row r="1228" spans="1:108" ht="12.75" hidden="1" customHeight="1" outlineLevel="5">
      <c r="A1228" s="104" t="s">
        <v>57</v>
      </c>
      <c r="B1228" s="92">
        <f>IF(Input!$D$26="Jet",pos_e.j1.y,pos_e.p1.y)</f>
        <v>5.5305854142029123</v>
      </c>
      <c r="C1228" s="11"/>
      <c r="D1228" s="18" t="str">
        <f t="shared" si="72"/>
        <v>&lt;Tran_Y&gt;5.530585&lt;/Tran_Y&gt;</v>
      </c>
      <c r="E1228" s="175"/>
      <c r="F1228" s="6" t="s">
        <v>849</v>
      </c>
      <c r="G1228" s="6"/>
      <c r="H1228" s="6"/>
      <c r="I1228" s="6"/>
      <c r="J1228" s="6"/>
      <c r="K1228" s="6"/>
      <c r="L1228" s="6"/>
      <c r="M1228" s="6"/>
      <c r="N1228" s="6"/>
      <c r="O1228" s="6"/>
      <c r="P1228" s="6"/>
      <c r="Q1228" s="6"/>
      <c r="R1228" s="6"/>
      <c r="S1228" s="6"/>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c r="BU1228" s="6"/>
      <c r="BV1228" s="6"/>
      <c r="BW1228" s="6"/>
      <c r="BX1228" s="6"/>
      <c r="BY1228" s="6"/>
      <c r="BZ1228" s="6"/>
      <c r="CA1228" s="6"/>
      <c r="CB1228" s="6"/>
      <c r="CC1228" s="6"/>
      <c r="CD1228" s="6"/>
      <c r="CE1228" s="6"/>
      <c r="CF1228" s="6"/>
      <c r="CG1228" s="6"/>
      <c r="CH1228" s="6"/>
      <c r="CI1228" s="6"/>
      <c r="CJ1228" s="6"/>
      <c r="CK1228" s="6"/>
      <c r="CL1228" s="6"/>
      <c r="CM1228" s="6"/>
      <c r="CN1228" s="6"/>
      <c r="CO1228" s="6"/>
      <c r="CP1228" s="6"/>
      <c r="CQ1228" s="6"/>
      <c r="CR1228" s="6"/>
      <c r="CS1228" s="6"/>
      <c r="CT1228" s="6"/>
      <c r="CU1228" s="6"/>
      <c r="CV1228" s="6"/>
      <c r="CW1228" s="6"/>
      <c r="CX1228" s="6"/>
      <c r="CY1228" s="6"/>
      <c r="CZ1228" s="6"/>
      <c r="DA1228" s="6"/>
      <c r="DB1228" s="6"/>
      <c r="DC1228" s="6"/>
      <c r="DD1228" s="6"/>
    </row>
    <row r="1229" spans="1:108" ht="12.75" hidden="1" customHeight="1" outlineLevel="5">
      <c r="A1229" s="104" t="s">
        <v>58</v>
      </c>
      <c r="B1229" s="92">
        <f>IF(Input!$D$26="Jet",pos_e.j1.z,pos_e.p1.z)</f>
        <v>-2.2181434014923496</v>
      </c>
      <c r="C1229" s="11"/>
      <c r="D1229" s="18" t="str">
        <f t="shared" si="72"/>
        <v>&lt;Tran_Z&gt;-2.218143&lt;/Tran_Z&gt;</v>
      </c>
      <c r="E1229" s="175"/>
      <c r="F1229" s="6" t="s">
        <v>1001</v>
      </c>
      <c r="G1229" s="6"/>
      <c r="H1229" s="6"/>
      <c r="I1229" s="6"/>
      <c r="J1229" s="6"/>
      <c r="K1229" s="6"/>
      <c r="L1229" s="6"/>
      <c r="M1229" s="6"/>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c r="BU1229" s="6"/>
      <c r="BV1229" s="6"/>
      <c r="BW1229" s="6"/>
      <c r="BX1229" s="6"/>
      <c r="BY1229" s="6"/>
      <c r="BZ1229" s="6"/>
      <c r="CA1229" s="6"/>
      <c r="CB1229" s="6"/>
      <c r="CC1229" s="6"/>
      <c r="CD1229" s="6"/>
      <c r="CE1229" s="6"/>
      <c r="CF1229" s="6"/>
      <c r="CG1229" s="6"/>
      <c r="CH1229" s="6"/>
      <c r="CI1229" s="6"/>
      <c r="CJ1229" s="6"/>
      <c r="CK1229" s="6"/>
      <c r="CL1229" s="6"/>
      <c r="CM1229" s="6"/>
      <c r="CN1229" s="6"/>
      <c r="CO1229" s="6"/>
      <c r="CP1229" s="6"/>
      <c r="CQ1229" s="6"/>
      <c r="CR1229" s="6"/>
      <c r="CS1229" s="6"/>
      <c r="CT1229" s="6"/>
      <c r="CU1229" s="6"/>
      <c r="CV1229" s="6"/>
      <c r="CW1229" s="6"/>
      <c r="CX1229" s="6"/>
      <c r="CY1229" s="6"/>
      <c r="CZ1229" s="6"/>
      <c r="DA1229" s="6"/>
      <c r="DB1229" s="6"/>
      <c r="DC1229" s="6"/>
      <c r="DD1229" s="6"/>
    </row>
    <row r="1230" spans="1:108" ht="12.75" hidden="1" customHeight="1" outlineLevel="5">
      <c r="A1230" s="104" t="s">
        <v>59</v>
      </c>
      <c r="B1230" s="111">
        <v>0</v>
      </c>
      <c r="C1230" s="11"/>
      <c r="D1230" s="18" t="str">
        <f t="shared" si="72"/>
        <v>&lt;TranRel_X&gt;0.000000&lt;/TranRel_X&gt;</v>
      </c>
      <c r="E1230" s="175"/>
      <c r="F1230" s="6" t="s">
        <v>639</v>
      </c>
      <c r="G1230" s="6"/>
      <c r="H1230" s="6"/>
      <c r="I1230" s="6"/>
      <c r="J1230" s="6"/>
      <c r="K1230" s="6"/>
      <c r="L1230" s="6"/>
      <c r="M1230" s="6"/>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c r="BU1230" s="6"/>
      <c r="BV1230" s="6"/>
      <c r="BW1230" s="6"/>
      <c r="BX1230" s="6"/>
      <c r="BY1230" s="6"/>
      <c r="BZ1230" s="6"/>
      <c r="CA1230" s="6"/>
      <c r="CB1230" s="6"/>
      <c r="CC1230" s="6"/>
      <c r="CD1230" s="6"/>
      <c r="CE1230" s="6"/>
      <c r="CF1230" s="6"/>
      <c r="CG1230" s="6"/>
      <c r="CH1230" s="6"/>
      <c r="CI1230" s="6"/>
      <c r="CJ1230" s="6"/>
      <c r="CK1230" s="6"/>
      <c r="CL1230" s="6"/>
      <c r="CM1230" s="6"/>
      <c r="CN1230" s="6"/>
      <c r="CO1230" s="6"/>
      <c r="CP1230" s="6"/>
      <c r="CQ1230" s="6"/>
      <c r="CR1230" s="6"/>
      <c r="CS1230" s="6"/>
      <c r="CT1230" s="6"/>
      <c r="CU1230" s="6"/>
      <c r="CV1230" s="6"/>
      <c r="CW1230" s="6"/>
      <c r="CX1230" s="6"/>
      <c r="CY1230" s="6"/>
      <c r="CZ1230" s="6"/>
      <c r="DA1230" s="6"/>
      <c r="DB1230" s="6"/>
      <c r="DC1230" s="6"/>
      <c r="DD1230" s="6"/>
    </row>
    <row r="1231" spans="1:108" ht="12.75" hidden="1" customHeight="1" outlineLevel="5">
      <c r="A1231" s="104" t="s">
        <v>60</v>
      </c>
      <c r="B1231" s="111">
        <v>0</v>
      </c>
      <c r="C1231" s="11"/>
      <c r="D1231" s="18" t="str">
        <f t="shared" si="72"/>
        <v>&lt;TranRel_Y&gt;0.000000&lt;/TranRel_Y&gt;</v>
      </c>
      <c r="E1231" s="175"/>
      <c r="F1231" s="6" t="s">
        <v>640</v>
      </c>
      <c r="G1231" s="6"/>
      <c r="H1231" s="6"/>
      <c r="I1231" s="6"/>
      <c r="J1231" s="6"/>
      <c r="K1231" s="6"/>
      <c r="L1231" s="6"/>
      <c r="M1231" s="6"/>
      <c r="N1231" s="6"/>
      <c r="O1231" s="6"/>
      <c r="P1231" s="6"/>
      <c r="Q1231" s="6"/>
      <c r="R1231" s="6"/>
      <c r="S1231" s="6"/>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c r="BU1231" s="6"/>
      <c r="BV1231" s="6"/>
      <c r="BW1231" s="6"/>
      <c r="BX1231" s="6"/>
      <c r="BY1231" s="6"/>
      <c r="BZ1231" s="6"/>
      <c r="CA1231" s="6"/>
      <c r="CB1231" s="6"/>
      <c r="CC1231" s="6"/>
      <c r="CD1231" s="6"/>
      <c r="CE1231" s="6"/>
      <c r="CF1231" s="6"/>
      <c r="CG1231" s="6"/>
      <c r="CH1231" s="6"/>
      <c r="CI1231" s="6"/>
      <c r="CJ1231" s="6"/>
      <c r="CK1231" s="6"/>
      <c r="CL1231" s="6"/>
      <c r="CM1231" s="6"/>
      <c r="CN1231" s="6"/>
      <c r="CO1231" s="6"/>
      <c r="CP1231" s="6"/>
      <c r="CQ1231" s="6"/>
      <c r="CR1231" s="6"/>
      <c r="CS1231" s="6"/>
      <c r="CT1231" s="6"/>
      <c r="CU1231" s="6"/>
      <c r="CV1231" s="6"/>
      <c r="CW1231" s="6"/>
      <c r="CX1231" s="6"/>
      <c r="CY1231" s="6"/>
      <c r="CZ1231" s="6"/>
      <c r="DA1231" s="6"/>
      <c r="DB1231" s="6"/>
      <c r="DC1231" s="6"/>
      <c r="DD1231" s="6"/>
    </row>
    <row r="1232" spans="1:108" ht="12.75" hidden="1" customHeight="1" outlineLevel="5">
      <c r="A1232" s="104" t="s">
        <v>61</v>
      </c>
      <c r="B1232" s="111">
        <v>0</v>
      </c>
      <c r="C1232" s="11"/>
      <c r="D1232" s="18" t="str">
        <f t="shared" si="72"/>
        <v>&lt;TranRel_Z&gt;0.000000&lt;/TranRel_Z&gt;</v>
      </c>
      <c r="E1232" s="175"/>
      <c r="F1232" s="6" t="s">
        <v>641</v>
      </c>
      <c r="G1232" s="6"/>
      <c r="H1232" s="6"/>
      <c r="I1232" s="6"/>
      <c r="J1232" s="6"/>
      <c r="K1232" s="6"/>
      <c r="L1232" s="6"/>
      <c r="M1232" s="6"/>
      <c r="N1232" s="6"/>
      <c r="O1232" s="6"/>
      <c r="P1232" s="6"/>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c r="BU1232" s="6"/>
      <c r="BV1232" s="6"/>
      <c r="BW1232" s="6"/>
      <c r="BX1232" s="6"/>
      <c r="BY1232" s="6"/>
      <c r="BZ1232" s="6"/>
      <c r="CA1232" s="6"/>
      <c r="CB1232" s="6"/>
      <c r="CC1232" s="6"/>
      <c r="CD1232" s="6"/>
      <c r="CE1232" s="6"/>
      <c r="CF1232" s="6"/>
      <c r="CG1232" s="6"/>
      <c r="CH1232" s="6"/>
      <c r="CI1232" s="6"/>
      <c r="CJ1232" s="6"/>
      <c r="CK1232" s="6"/>
      <c r="CL1232" s="6"/>
      <c r="CM1232" s="6"/>
      <c r="CN1232" s="6"/>
      <c r="CO1232" s="6"/>
      <c r="CP1232" s="6"/>
      <c r="CQ1232" s="6"/>
      <c r="CR1232" s="6"/>
      <c r="CS1232" s="6"/>
      <c r="CT1232" s="6"/>
      <c r="CU1232" s="6"/>
      <c r="CV1232" s="6"/>
      <c r="CW1232" s="6"/>
      <c r="CX1232" s="6"/>
      <c r="CY1232" s="6"/>
      <c r="CZ1232" s="6"/>
      <c r="DA1232" s="6"/>
      <c r="DB1232" s="6"/>
      <c r="DC1232" s="6"/>
      <c r="DD1232" s="6"/>
    </row>
    <row r="1233" spans="1:108" ht="12.75" hidden="1" customHeight="1" outlineLevel="5">
      <c r="A1233" s="104" t="s">
        <v>62</v>
      </c>
      <c r="B1233" s="111">
        <v>0</v>
      </c>
      <c r="C1233" s="11"/>
      <c r="D1233" s="18" t="str">
        <f t="shared" si="72"/>
        <v>&lt;Rot_X&gt;0.000000&lt;/Rot_X&gt;</v>
      </c>
      <c r="E1233" s="175"/>
      <c r="F1233" s="6" t="s">
        <v>642</v>
      </c>
      <c r="G1233" s="6"/>
      <c r="H1233" s="6"/>
      <c r="I1233" s="6"/>
      <c r="J1233" s="6"/>
      <c r="K1233" s="6"/>
      <c r="L1233" s="6"/>
      <c r="M1233" s="6"/>
      <c r="N1233" s="6"/>
      <c r="O1233" s="6"/>
      <c r="P1233" s="6"/>
      <c r="Q1233" s="6"/>
      <c r="R1233" s="6"/>
      <c r="S1233" s="6"/>
      <c r="T1233" s="6"/>
      <c r="U1233" s="6"/>
      <c r="V1233" s="6"/>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c r="BU1233" s="6"/>
      <c r="BV1233" s="6"/>
      <c r="BW1233" s="6"/>
      <c r="BX1233" s="6"/>
      <c r="BY1233" s="6"/>
      <c r="BZ1233" s="6"/>
      <c r="CA1233" s="6"/>
      <c r="CB1233" s="6"/>
      <c r="CC1233" s="6"/>
      <c r="CD1233" s="6"/>
      <c r="CE1233" s="6"/>
      <c r="CF1233" s="6"/>
      <c r="CG1233" s="6"/>
      <c r="CH1233" s="6"/>
      <c r="CI1233" s="6"/>
      <c r="CJ1233" s="6"/>
      <c r="CK1233" s="6"/>
      <c r="CL1233" s="6"/>
      <c r="CM1233" s="6"/>
      <c r="CN1233" s="6"/>
      <c r="CO1233" s="6"/>
      <c r="CP1233" s="6"/>
      <c r="CQ1233" s="6"/>
      <c r="CR1233" s="6"/>
      <c r="CS1233" s="6"/>
      <c r="CT1233" s="6"/>
      <c r="CU1233" s="6"/>
      <c r="CV1233" s="6"/>
      <c r="CW1233" s="6"/>
      <c r="CX1233" s="6"/>
      <c r="CY1233" s="6"/>
      <c r="CZ1233" s="6"/>
      <c r="DA1233" s="6"/>
      <c r="DB1233" s="6"/>
      <c r="DC1233" s="6"/>
      <c r="DD1233" s="6"/>
    </row>
    <row r="1234" spans="1:108" ht="12.75" hidden="1" customHeight="1" outlineLevel="5">
      <c r="A1234" s="104" t="s">
        <v>63</v>
      </c>
      <c r="B1234" s="111">
        <v>0</v>
      </c>
      <c r="C1234" s="11"/>
      <c r="D1234" s="18" t="str">
        <f t="shared" si="72"/>
        <v>&lt;Rot_Y&gt;0.000000&lt;/Rot_Y&gt;</v>
      </c>
      <c r="E1234" s="175"/>
      <c r="F1234" s="6" t="s">
        <v>643</v>
      </c>
      <c r="G1234" s="6"/>
      <c r="H1234" s="6"/>
      <c r="I1234" s="6"/>
      <c r="J1234" s="6"/>
      <c r="K1234" s="6"/>
      <c r="L1234" s="6"/>
      <c r="M1234" s="6"/>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c r="BU1234" s="6"/>
      <c r="BV1234" s="6"/>
      <c r="BW1234" s="6"/>
      <c r="BX1234" s="6"/>
      <c r="BY1234" s="6"/>
      <c r="BZ1234" s="6"/>
      <c r="CA1234" s="6"/>
      <c r="CB1234" s="6"/>
      <c r="CC1234" s="6"/>
      <c r="CD1234" s="6"/>
      <c r="CE1234" s="6"/>
      <c r="CF1234" s="6"/>
      <c r="CG1234" s="6"/>
      <c r="CH1234" s="6"/>
      <c r="CI1234" s="6"/>
      <c r="CJ1234" s="6"/>
      <c r="CK1234" s="6"/>
      <c r="CL1234" s="6"/>
      <c r="CM1234" s="6"/>
      <c r="CN1234" s="6"/>
      <c r="CO1234" s="6"/>
      <c r="CP1234" s="6"/>
      <c r="CQ1234" s="6"/>
      <c r="CR1234" s="6"/>
      <c r="CS1234" s="6"/>
      <c r="CT1234" s="6"/>
      <c r="CU1234" s="6"/>
      <c r="CV1234" s="6"/>
      <c r="CW1234" s="6"/>
      <c r="CX1234" s="6"/>
      <c r="CY1234" s="6"/>
      <c r="CZ1234" s="6"/>
      <c r="DA1234" s="6"/>
      <c r="DB1234" s="6"/>
      <c r="DC1234" s="6"/>
      <c r="DD1234" s="6"/>
    </row>
    <row r="1235" spans="1:108" ht="12.75" hidden="1" customHeight="1" outlineLevel="5">
      <c r="A1235" s="104" t="s">
        <v>64</v>
      </c>
      <c r="B1235" s="111">
        <v>0</v>
      </c>
      <c r="C1235" s="11"/>
      <c r="D1235" s="18" t="str">
        <f t="shared" si="72"/>
        <v>&lt;Rot_Z&gt;0.000000&lt;/Rot_Z&gt;</v>
      </c>
      <c r="E1235" s="175"/>
      <c r="F1235" s="6" t="s">
        <v>644</v>
      </c>
      <c r="G1235" s="6"/>
      <c r="H1235" s="6"/>
      <c r="I1235" s="6"/>
      <c r="J1235" s="6"/>
      <c r="K1235" s="6"/>
      <c r="L1235" s="6"/>
      <c r="M1235" s="6"/>
      <c r="N1235" s="6"/>
      <c r="O1235" s="6"/>
      <c r="P1235" s="6"/>
      <c r="Q1235" s="6"/>
      <c r="R1235" s="6"/>
      <c r="S1235" s="6"/>
      <c r="T1235" s="6"/>
      <c r="U1235" s="6"/>
      <c r="V1235" s="6"/>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c r="BU1235" s="6"/>
      <c r="BV1235" s="6"/>
      <c r="BW1235" s="6"/>
      <c r="BX1235" s="6"/>
      <c r="BY1235" s="6"/>
      <c r="BZ1235" s="6"/>
      <c r="CA1235" s="6"/>
      <c r="CB1235" s="6"/>
      <c r="CC1235" s="6"/>
      <c r="CD1235" s="6"/>
      <c r="CE1235" s="6"/>
      <c r="CF1235" s="6"/>
      <c r="CG1235" s="6"/>
      <c r="CH1235" s="6"/>
      <c r="CI1235" s="6"/>
      <c r="CJ1235" s="6"/>
      <c r="CK1235" s="6"/>
      <c r="CL1235" s="6"/>
      <c r="CM1235" s="6"/>
      <c r="CN1235" s="6"/>
      <c r="CO1235" s="6"/>
      <c r="CP1235" s="6"/>
      <c r="CQ1235" s="6"/>
      <c r="CR1235" s="6"/>
      <c r="CS1235" s="6"/>
      <c r="CT1235" s="6"/>
      <c r="CU1235" s="6"/>
      <c r="CV1235" s="6"/>
      <c r="CW1235" s="6"/>
      <c r="CX1235" s="6"/>
      <c r="CY1235" s="6"/>
      <c r="CZ1235" s="6"/>
      <c r="DA1235" s="6"/>
      <c r="DB1235" s="6"/>
      <c r="DC1235" s="6"/>
      <c r="DD1235" s="6"/>
    </row>
    <row r="1236" spans="1:108" ht="12.75" hidden="1" customHeight="1" outlineLevel="5">
      <c r="A1236" s="104" t="s">
        <v>65</v>
      </c>
      <c r="B1236" s="111">
        <v>0</v>
      </c>
      <c r="C1236" s="11"/>
      <c r="D1236" s="18" t="str">
        <f t="shared" si="72"/>
        <v>&lt;RotRel_X&gt;0.000000&lt;/RotRel_X&gt;</v>
      </c>
      <c r="E1236" s="175"/>
      <c r="F1236" s="6" t="s">
        <v>645</v>
      </c>
      <c r="G1236" s="6"/>
      <c r="H1236" s="6"/>
      <c r="I1236" s="6"/>
      <c r="J1236" s="6"/>
      <c r="K1236" s="6"/>
      <c r="L1236" s="6"/>
      <c r="M1236" s="6"/>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c r="BU1236" s="6"/>
      <c r="BV1236" s="6"/>
      <c r="BW1236" s="6"/>
      <c r="BX1236" s="6"/>
      <c r="BY1236" s="6"/>
      <c r="BZ1236" s="6"/>
      <c r="CA1236" s="6"/>
      <c r="CB1236" s="6"/>
      <c r="CC1236" s="6"/>
      <c r="CD1236" s="6"/>
      <c r="CE1236" s="6"/>
      <c r="CF1236" s="6"/>
      <c r="CG1236" s="6"/>
      <c r="CH1236" s="6"/>
      <c r="CI1236" s="6"/>
      <c r="CJ1236" s="6"/>
      <c r="CK1236" s="6"/>
      <c r="CL1236" s="6"/>
      <c r="CM1236" s="6"/>
      <c r="CN1236" s="6"/>
      <c r="CO1236" s="6"/>
      <c r="CP1236" s="6"/>
      <c r="CQ1236" s="6"/>
      <c r="CR1236" s="6"/>
      <c r="CS1236" s="6"/>
      <c r="CT1236" s="6"/>
      <c r="CU1236" s="6"/>
      <c r="CV1236" s="6"/>
      <c r="CW1236" s="6"/>
      <c r="CX1236" s="6"/>
      <c r="CY1236" s="6"/>
      <c r="CZ1236" s="6"/>
      <c r="DA1236" s="6"/>
      <c r="DB1236" s="6"/>
      <c r="DC1236" s="6"/>
      <c r="DD1236" s="6"/>
    </row>
    <row r="1237" spans="1:108" ht="12.75" hidden="1" customHeight="1" outlineLevel="5">
      <c r="A1237" s="104" t="s">
        <v>66</v>
      </c>
      <c r="B1237" s="111">
        <v>0</v>
      </c>
      <c r="C1237" s="11"/>
      <c r="D1237" s="18" t="str">
        <f t="shared" si="72"/>
        <v>&lt;RotRel_Y&gt;0.000000&lt;/RotRel_Y&gt;</v>
      </c>
      <c r="E1237" s="175"/>
      <c r="F1237" s="6" t="s">
        <v>646</v>
      </c>
      <c r="G1237" s="6"/>
      <c r="H1237" s="6"/>
      <c r="I1237" s="6"/>
      <c r="J1237" s="6"/>
      <c r="K1237" s="6"/>
      <c r="L1237" s="6"/>
      <c r="M1237" s="6"/>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c r="BU1237" s="6"/>
      <c r="BV1237" s="6"/>
      <c r="BW1237" s="6"/>
      <c r="BX1237" s="6"/>
      <c r="BY1237" s="6"/>
      <c r="BZ1237" s="6"/>
      <c r="CA1237" s="6"/>
      <c r="CB1237" s="6"/>
      <c r="CC1237" s="6"/>
      <c r="CD1237" s="6"/>
      <c r="CE1237" s="6"/>
      <c r="CF1237" s="6"/>
      <c r="CG1237" s="6"/>
      <c r="CH1237" s="6"/>
      <c r="CI1237" s="6"/>
      <c r="CJ1237" s="6"/>
      <c r="CK1237" s="6"/>
      <c r="CL1237" s="6"/>
      <c r="CM1237" s="6"/>
      <c r="CN1237" s="6"/>
      <c r="CO1237" s="6"/>
      <c r="CP1237" s="6"/>
      <c r="CQ1237" s="6"/>
      <c r="CR1237" s="6"/>
      <c r="CS1237" s="6"/>
      <c r="CT1237" s="6"/>
      <c r="CU1237" s="6"/>
      <c r="CV1237" s="6"/>
      <c r="CW1237" s="6"/>
      <c r="CX1237" s="6"/>
      <c r="CY1237" s="6"/>
      <c r="CZ1237" s="6"/>
      <c r="DA1237" s="6"/>
      <c r="DB1237" s="6"/>
      <c r="DC1237" s="6"/>
      <c r="DD1237" s="6"/>
    </row>
    <row r="1238" spans="1:108" ht="12.75" hidden="1" customHeight="1" outlineLevel="5">
      <c r="A1238" s="104" t="s">
        <v>67</v>
      </c>
      <c r="B1238" s="111">
        <v>0</v>
      </c>
      <c r="C1238" s="11"/>
      <c r="D1238" s="18" t="str">
        <f t="shared" si="72"/>
        <v>&lt;RotRel_Z&gt;0.000000&lt;/RotRel_Z&gt;</v>
      </c>
      <c r="E1238" s="175"/>
      <c r="F1238" s="6" t="s">
        <v>647</v>
      </c>
      <c r="G1238" s="6"/>
      <c r="H1238" s="6"/>
      <c r="I1238" s="6"/>
      <c r="J1238" s="6"/>
      <c r="K1238" s="6"/>
      <c r="L1238" s="6"/>
      <c r="M1238" s="6"/>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c r="BU1238" s="6"/>
      <c r="BV1238" s="6"/>
      <c r="BW1238" s="6"/>
      <c r="BX1238" s="6"/>
      <c r="BY1238" s="6"/>
      <c r="BZ1238" s="6"/>
      <c r="CA1238" s="6"/>
      <c r="CB1238" s="6"/>
      <c r="CC1238" s="6"/>
      <c r="CD1238" s="6"/>
      <c r="CE1238" s="6"/>
      <c r="CF1238" s="6"/>
      <c r="CG1238" s="6"/>
      <c r="CH1238" s="6"/>
      <c r="CI1238" s="6"/>
      <c r="CJ1238" s="6"/>
      <c r="CK1238" s="6"/>
      <c r="CL1238" s="6"/>
      <c r="CM1238" s="6"/>
      <c r="CN1238" s="6"/>
      <c r="CO1238" s="6"/>
      <c r="CP1238" s="6"/>
      <c r="CQ1238" s="6"/>
      <c r="CR1238" s="6"/>
      <c r="CS1238" s="6"/>
      <c r="CT1238" s="6"/>
      <c r="CU1238" s="6"/>
      <c r="CV1238" s="6"/>
      <c r="CW1238" s="6"/>
      <c r="CX1238" s="6"/>
      <c r="CY1238" s="6"/>
      <c r="CZ1238" s="6"/>
      <c r="DA1238" s="6"/>
      <c r="DB1238" s="6"/>
      <c r="DC1238" s="6"/>
      <c r="DD1238" s="6"/>
    </row>
    <row r="1239" spans="1:108" ht="12.75" hidden="1" customHeight="1" outlineLevel="5">
      <c r="A1239" s="104" t="s">
        <v>68</v>
      </c>
      <c r="B1239" s="28">
        <v>0</v>
      </c>
      <c r="C1239" s="11"/>
      <c r="D1239" s="18" t="str">
        <f t="shared" si="72"/>
        <v>&lt;Origin&gt;0.000000&lt;/Origin&gt;</v>
      </c>
      <c r="E1239" s="175"/>
      <c r="F1239" s="6" t="s">
        <v>648</v>
      </c>
      <c r="G1239" s="6"/>
      <c r="H1239" s="6"/>
      <c r="I1239" s="6"/>
      <c r="J1239" s="6"/>
      <c r="K1239" s="6"/>
      <c r="L1239" s="6"/>
      <c r="M1239" s="6"/>
      <c r="N1239" s="6"/>
      <c r="O1239" s="6"/>
      <c r="P1239" s="6"/>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c r="BU1239" s="6"/>
      <c r="BV1239" s="6"/>
      <c r="BW1239" s="6"/>
      <c r="BX1239" s="6"/>
      <c r="BY1239" s="6"/>
      <c r="BZ1239" s="6"/>
      <c r="CA1239" s="6"/>
      <c r="CB1239" s="6"/>
      <c r="CC1239" s="6"/>
      <c r="CD1239" s="6"/>
      <c r="CE1239" s="6"/>
      <c r="CF1239" s="6"/>
      <c r="CG1239" s="6"/>
      <c r="CH1239" s="6"/>
      <c r="CI1239" s="6"/>
      <c r="CJ1239" s="6"/>
      <c r="CK1239" s="6"/>
      <c r="CL1239" s="6"/>
      <c r="CM1239" s="6"/>
      <c r="CN1239" s="6"/>
      <c r="CO1239" s="6"/>
      <c r="CP1239" s="6"/>
      <c r="CQ1239" s="6"/>
      <c r="CR1239" s="6"/>
      <c r="CS1239" s="6"/>
      <c r="CT1239" s="6"/>
      <c r="CU1239" s="6"/>
      <c r="CV1239" s="6"/>
      <c r="CW1239" s="6"/>
      <c r="CX1239" s="6"/>
      <c r="CY1239" s="6"/>
      <c r="CZ1239" s="6"/>
      <c r="DA1239" s="6"/>
      <c r="DB1239" s="6"/>
      <c r="DC1239" s="6"/>
      <c r="DD1239" s="6"/>
    </row>
    <row r="1240" spans="1:108" ht="12.75" hidden="1" customHeight="1" outlineLevel="5">
      <c r="A1240" s="104" t="s">
        <v>69</v>
      </c>
      <c r="B1240" s="28">
        <v>1</v>
      </c>
      <c r="C1240" s="11"/>
      <c r="D1240" s="18" t="str">
        <f t="shared" si="72"/>
        <v>&lt;Density&gt;1.000000&lt;/Density&gt;</v>
      </c>
      <c r="E1240" s="175"/>
      <c r="F1240" s="6" t="s">
        <v>649</v>
      </c>
      <c r="G1240" s="6"/>
      <c r="H1240" s="6"/>
      <c r="I1240" s="6"/>
      <c r="J1240" s="6"/>
      <c r="K1240" s="6"/>
      <c r="L1240" s="6"/>
      <c r="M1240" s="6"/>
      <c r="N1240" s="6"/>
      <c r="O1240" s="6"/>
      <c r="P1240" s="6"/>
      <c r="Q1240" s="6"/>
      <c r="R1240" s="6"/>
      <c r="S1240" s="6"/>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c r="BU1240" s="6"/>
      <c r="BV1240" s="6"/>
      <c r="BW1240" s="6"/>
      <c r="BX1240" s="6"/>
      <c r="BY1240" s="6"/>
      <c r="BZ1240" s="6"/>
      <c r="CA1240" s="6"/>
      <c r="CB1240" s="6"/>
      <c r="CC1240" s="6"/>
      <c r="CD1240" s="6"/>
      <c r="CE1240" s="6"/>
      <c r="CF1240" s="6"/>
      <c r="CG1240" s="6"/>
      <c r="CH1240" s="6"/>
      <c r="CI1240" s="6"/>
      <c r="CJ1240" s="6"/>
      <c r="CK1240" s="6"/>
      <c r="CL1240" s="6"/>
      <c r="CM1240" s="6"/>
      <c r="CN1240" s="6"/>
      <c r="CO1240" s="6"/>
      <c r="CP1240" s="6"/>
      <c r="CQ1240" s="6"/>
      <c r="CR1240" s="6"/>
      <c r="CS1240" s="6"/>
      <c r="CT1240" s="6"/>
      <c r="CU1240" s="6"/>
      <c r="CV1240" s="6"/>
      <c r="CW1240" s="6"/>
      <c r="CX1240" s="6"/>
      <c r="CY1240" s="6"/>
      <c r="CZ1240" s="6"/>
      <c r="DA1240" s="6"/>
      <c r="DB1240" s="6"/>
      <c r="DC1240" s="6"/>
      <c r="DD1240" s="6"/>
    </row>
    <row r="1241" spans="1:108" ht="12.75" hidden="1" customHeight="1" outlineLevel="5">
      <c r="A1241" s="104" t="s">
        <v>70</v>
      </c>
      <c r="B1241" s="28">
        <v>1</v>
      </c>
      <c r="C1241" s="11"/>
      <c r="D1241" s="18" t="str">
        <f t="shared" si="72"/>
        <v>&lt;ShellMassArea&gt;1.000000&lt;/ShellMassArea&gt;</v>
      </c>
      <c r="E1241" s="175"/>
      <c r="F1241" s="6" t="s">
        <v>650</v>
      </c>
      <c r="G1241" s="6"/>
      <c r="H1241" s="6"/>
      <c r="I1241" s="6"/>
      <c r="J1241" s="6"/>
      <c r="K1241" s="6"/>
      <c r="L1241" s="6"/>
      <c r="M1241" s="6"/>
      <c r="N1241" s="6"/>
      <c r="O1241" s="6"/>
      <c r="P1241" s="6"/>
      <c r="Q1241" s="6"/>
      <c r="R1241" s="6"/>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c r="BU1241" s="6"/>
      <c r="BV1241" s="6"/>
      <c r="BW1241" s="6"/>
      <c r="BX1241" s="6"/>
      <c r="BY1241" s="6"/>
      <c r="BZ1241" s="6"/>
      <c r="CA1241" s="6"/>
      <c r="CB1241" s="6"/>
      <c r="CC1241" s="6"/>
      <c r="CD1241" s="6"/>
      <c r="CE1241" s="6"/>
      <c r="CF1241" s="6"/>
      <c r="CG1241" s="6"/>
      <c r="CH1241" s="6"/>
      <c r="CI1241" s="6"/>
      <c r="CJ1241" s="6"/>
      <c r="CK1241" s="6"/>
      <c r="CL1241" s="6"/>
      <c r="CM1241" s="6"/>
      <c r="CN1241" s="6"/>
      <c r="CO1241" s="6"/>
      <c r="CP1241" s="6"/>
      <c r="CQ1241" s="6"/>
      <c r="CR1241" s="6"/>
      <c r="CS1241" s="6"/>
      <c r="CT1241" s="6"/>
      <c r="CU1241" s="6"/>
      <c r="CV1241" s="6"/>
      <c r="CW1241" s="6"/>
      <c r="CX1241" s="6"/>
      <c r="CY1241" s="6"/>
      <c r="CZ1241" s="6"/>
      <c r="DA1241" s="6"/>
      <c r="DB1241" s="6"/>
      <c r="DC1241" s="6"/>
      <c r="DD1241" s="6"/>
    </row>
    <row r="1242" spans="1:108" ht="12.75" hidden="1" customHeight="1" outlineLevel="5">
      <c r="A1242" s="104" t="s">
        <v>71</v>
      </c>
      <c r="B1242" s="28">
        <v>0</v>
      </c>
      <c r="C1242" s="11"/>
      <c r="D1242" s="18" t="str">
        <f>"&lt;" &amp; A1242 &amp; "&gt;" &amp; TEXT(B1242,0) &amp; "&lt;/" &amp; A1242 &amp; "&gt;"</f>
        <v>&lt;RefFlag&gt;0&lt;/RefFlag&gt;</v>
      </c>
      <c r="E1242" s="175"/>
      <c r="F1242" s="6" t="s">
        <v>651</v>
      </c>
      <c r="G1242" s="6"/>
      <c r="H1242" s="6"/>
      <c r="I1242" s="6"/>
      <c r="J1242" s="6"/>
      <c r="K1242" s="6"/>
      <c r="L1242" s="6"/>
      <c r="M1242" s="6"/>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c r="BU1242" s="6"/>
      <c r="BV1242" s="6"/>
      <c r="BW1242" s="6"/>
      <c r="BX1242" s="6"/>
      <c r="BY1242" s="6"/>
      <c r="BZ1242" s="6"/>
      <c r="CA1242" s="6"/>
      <c r="CB1242" s="6"/>
      <c r="CC1242" s="6"/>
      <c r="CD1242" s="6"/>
      <c r="CE1242" s="6"/>
      <c r="CF1242" s="6"/>
      <c r="CG1242" s="6"/>
      <c r="CH1242" s="6"/>
      <c r="CI1242" s="6"/>
      <c r="CJ1242" s="6"/>
      <c r="CK1242" s="6"/>
      <c r="CL1242" s="6"/>
      <c r="CM1242" s="6"/>
      <c r="CN1242" s="6"/>
      <c r="CO1242" s="6"/>
      <c r="CP1242" s="6"/>
      <c r="CQ1242" s="6"/>
      <c r="CR1242" s="6"/>
      <c r="CS1242" s="6"/>
      <c r="CT1242" s="6"/>
      <c r="CU1242" s="6"/>
      <c r="CV1242" s="6"/>
      <c r="CW1242" s="6"/>
      <c r="CX1242" s="6"/>
      <c r="CY1242" s="6"/>
      <c r="CZ1242" s="6"/>
      <c r="DA1242" s="6"/>
      <c r="DB1242" s="6"/>
      <c r="DC1242" s="6"/>
      <c r="DD1242" s="6"/>
    </row>
    <row r="1243" spans="1:108" ht="12.75" hidden="1" customHeight="1" outlineLevel="5">
      <c r="A1243" s="104" t="s">
        <v>72</v>
      </c>
      <c r="B1243" s="28">
        <v>100</v>
      </c>
      <c r="C1243" s="11"/>
      <c r="D1243" s="18" t="str">
        <f>"&lt;" &amp; A1243 &amp; "&gt;" &amp; TEXT(B1243,"0.000000") &amp; "&lt;/" &amp; A1243 &amp; "&gt;"</f>
        <v>&lt;RefArea&gt;100.000000&lt;/RefArea&gt;</v>
      </c>
      <c r="E1243" s="175"/>
      <c r="F1243" s="6" t="s">
        <v>724</v>
      </c>
      <c r="G1243" s="6"/>
      <c r="H1243" s="6"/>
      <c r="I1243" s="6"/>
      <c r="J1243" s="6"/>
      <c r="K1243" s="6"/>
      <c r="L1243" s="6"/>
      <c r="M1243" s="6"/>
      <c r="N1243" s="6"/>
      <c r="O1243" s="6"/>
      <c r="P1243" s="6"/>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c r="BU1243" s="6"/>
      <c r="BV1243" s="6"/>
      <c r="BW1243" s="6"/>
      <c r="BX1243" s="6"/>
      <c r="BY1243" s="6"/>
      <c r="BZ1243" s="6"/>
      <c r="CA1243" s="6"/>
      <c r="CB1243" s="6"/>
      <c r="CC1243" s="6"/>
      <c r="CD1243" s="6"/>
      <c r="CE1243" s="6"/>
      <c r="CF1243" s="6"/>
      <c r="CG1243" s="6"/>
      <c r="CH1243" s="6"/>
      <c r="CI1243" s="6"/>
      <c r="CJ1243" s="6"/>
      <c r="CK1243" s="6"/>
      <c r="CL1243" s="6"/>
      <c r="CM1243" s="6"/>
      <c r="CN1243" s="6"/>
      <c r="CO1243" s="6"/>
      <c r="CP1243" s="6"/>
      <c r="CQ1243" s="6"/>
      <c r="CR1243" s="6"/>
      <c r="CS1243" s="6"/>
      <c r="CT1243" s="6"/>
      <c r="CU1243" s="6"/>
      <c r="CV1243" s="6"/>
      <c r="CW1243" s="6"/>
      <c r="CX1243" s="6"/>
      <c r="CY1243" s="6"/>
      <c r="CZ1243" s="6"/>
      <c r="DA1243" s="6"/>
      <c r="DB1243" s="6"/>
      <c r="DC1243" s="6"/>
      <c r="DD1243" s="6"/>
    </row>
    <row r="1244" spans="1:108" ht="12.75" hidden="1" customHeight="1" outlineLevel="5">
      <c r="A1244" s="104" t="s">
        <v>73</v>
      </c>
      <c r="B1244" s="28">
        <v>10</v>
      </c>
      <c r="C1244" s="11"/>
      <c r="D1244" s="18" t="str">
        <f>"&lt;" &amp; A1244 &amp; "&gt;" &amp; TEXT(B1244,"0.000000") &amp; "&lt;/" &amp; A1244 &amp; "&gt;"</f>
        <v>&lt;RefSpan&gt;10.000000&lt;/RefSpan&gt;</v>
      </c>
      <c r="E1244" s="175"/>
      <c r="F1244" s="6" t="s">
        <v>653</v>
      </c>
      <c r="G1244" s="6"/>
      <c r="H1244" s="6"/>
      <c r="I1244" s="6"/>
      <c r="J1244" s="6"/>
      <c r="K1244" s="6"/>
      <c r="L1244" s="6"/>
      <c r="M1244" s="6"/>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c r="BU1244" s="6"/>
      <c r="BV1244" s="6"/>
      <c r="BW1244" s="6"/>
      <c r="BX1244" s="6"/>
      <c r="BY1244" s="6"/>
      <c r="BZ1244" s="6"/>
      <c r="CA1244" s="6"/>
      <c r="CB1244" s="6"/>
      <c r="CC1244" s="6"/>
      <c r="CD1244" s="6"/>
      <c r="CE1244" s="6"/>
      <c r="CF1244" s="6"/>
      <c r="CG1244" s="6"/>
      <c r="CH1244" s="6"/>
      <c r="CI1244" s="6"/>
      <c r="CJ1244" s="6"/>
      <c r="CK1244" s="6"/>
      <c r="CL1244" s="6"/>
      <c r="CM1244" s="6"/>
      <c r="CN1244" s="6"/>
      <c r="CO1244" s="6"/>
      <c r="CP1244" s="6"/>
      <c r="CQ1244" s="6"/>
      <c r="CR1244" s="6"/>
      <c r="CS1244" s="6"/>
      <c r="CT1244" s="6"/>
      <c r="CU1244" s="6"/>
      <c r="CV1244" s="6"/>
      <c r="CW1244" s="6"/>
      <c r="CX1244" s="6"/>
      <c r="CY1244" s="6"/>
      <c r="CZ1244" s="6"/>
      <c r="DA1244" s="6"/>
      <c r="DB1244" s="6"/>
      <c r="DC1244" s="6"/>
      <c r="DD1244" s="6"/>
    </row>
    <row r="1245" spans="1:108" ht="12.75" hidden="1" customHeight="1" outlineLevel="5">
      <c r="A1245" s="104" t="s">
        <v>74</v>
      </c>
      <c r="B1245" s="28">
        <v>1</v>
      </c>
      <c r="C1245" s="11"/>
      <c r="D1245" s="18" t="str">
        <f>"&lt;" &amp; A1245 &amp; "&gt;" &amp; TEXT(B1245,"0.000000") &amp; "&lt;/" &amp; A1245 &amp; "&gt;"</f>
        <v>&lt;RefCbar&gt;1.000000&lt;/RefCbar&gt;</v>
      </c>
      <c r="E1245" s="175"/>
      <c r="F1245" s="6" t="s">
        <v>654</v>
      </c>
      <c r="G1245" s="6"/>
      <c r="H1245" s="6"/>
      <c r="I1245" s="6"/>
      <c r="J1245" s="6"/>
      <c r="K1245" s="6"/>
      <c r="L1245" s="6"/>
      <c r="M1245" s="6"/>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c r="BU1245" s="6"/>
      <c r="BV1245" s="6"/>
      <c r="BW1245" s="6"/>
      <c r="BX1245" s="6"/>
      <c r="BY1245" s="6"/>
      <c r="BZ1245" s="6"/>
      <c r="CA1245" s="6"/>
      <c r="CB1245" s="6"/>
      <c r="CC1245" s="6"/>
      <c r="CD1245" s="6"/>
      <c r="CE1245" s="6"/>
      <c r="CF1245" s="6"/>
      <c r="CG1245" s="6"/>
      <c r="CH1245" s="6"/>
      <c r="CI1245" s="6"/>
      <c r="CJ1245" s="6"/>
      <c r="CK1245" s="6"/>
      <c r="CL1245" s="6"/>
      <c r="CM1245" s="6"/>
      <c r="CN1245" s="6"/>
      <c r="CO1245" s="6"/>
      <c r="CP1245" s="6"/>
      <c r="CQ1245" s="6"/>
      <c r="CR1245" s="6"/>
      <c r="CS1245" s="6"/>
      <c r="CT1245" s="6"/>
      <c r="CU1245" s="6"/>
      <c r="CV1245" s="6"/>
      <c r="CW1245" s="6"/>
      <c r="CX1245" s="6"/>
      <c r="CY1245" s="6"/>
      <c r="CZ1245" s="6"/>
      <c r="DA1245" s="6"/>
      <c r="DB1245" s="6"/>
      <c r="DC1245" s="6"/>
      <c r="DD1245" s="6"/>
    </row>
    <row r="1246" spans="1:108" ht="12.75" hidden="1" customHeight="1" outlineLevel="5">
      <c r="A1246" s="104" t="s">
        <v>75</v>
      </c>
      <c r="B1246" s="28">
        <v>1</v>
      </c>
      <c r="C1246" s="11"/>
      <c r="D1246" s="18" t="str">
        <f>"&lt;" &amp; A1246 &amp; "&gt;" &amp; TEXT(B1246,0) &amp; "&lt;/" &amp; A1246 &amp; "&gt;"</f>
        <v>&lt;AutoRefAreaFlag&gt;1&lt;/AutoRefAreaFlag&gt;</v>
      </c>
      <c r="E1246" s="175"/>
      <c r="F1246" s="6" t="s">
        <v>655</v>
      </c>
      <c r="G1246" s="6"/>
      <c r="H1246" s="6"/>
      <c r="I1246" s="6"/>
      <c r="J1246" s="6"/>
      <c r="K1246" s="6"/>
      <c r="L1246" s="6"/>
      <c r="M1246" s="6"/>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c r="BU1246" s="6"/>
      <c r="BV1246" s="6"/>
      <c r="BW1246" s="6"/>
      <c r="BX1246" s="6"/>
      <c r="BY1246" s="6"/>
      <c r="BZ1246" s="6"/>
      <c r="CA1246" s="6"/>
      <c r="CB1246" s="6"/>
      <c r="CC1246" s="6"/>
      <c r="CD1246" s="6"/>
      <c r="CE1246" s="6"/>
      <c r="CF1246" s="6"/>
      <c r="CG1246" s="6"/>
      <c r="CH1246" s="6"/>
      <c r="CI1246" s="6"/>
      <c r="CJ1246" s="6"/>
      <c r="CK1246" s="6"/>
      <c r="CL1246" s="6"/>
      <c r="CM1246" s="6"/>
      <c r="CN1246" s="6"/>
      <c r="CO1246" s="6"/>
      <c r="CP1246" s="6"/>
      <c r="CQ1246" s="6"/>
      <c r="CR1246" s="6"/>
      <c r="CS1246" s="6"/>
      <c r="CT1246" s="6"/>
      <c r="CU1246" s="6"/>
      <c r="CV1246" s="6"/>
      <c r="CW1246" s="6"/>
      <c r="CX1246" s="6"/>
      <c r="CY1246" s="6"/>
      <c r="CZ1246" s="6"/>
      <c r="DA1246" s="6"/>
      <c r="DB1246" s="6"/>
      <c r="DC1246" s="6"/>
      <c r="DD1246" s="6"/>
    </row>
    <row r="1247" spans="1:108" ht="12.75" hidden="1" customHeight="1" outlineLevel="5">
      <c r="A1247" s="104" t="s">
        <v>76</v>
      </c>
      <c r="B1247" s="28">
        <v>1</v>
      </c>
      <c r="C1247" s="11"/>
      <c r="D1247" s="18" t="str">
        <f>"&lt;" &amp; A1247 &amp; "&gt;" &amp; TEXT(B1247,0) &amp; "&lt;/" &amp; A1247 &amp; "&gt;"</f>
        <v>&lt;AutoRefSpanFlag&gt;1&lt;/AutoRefSpanFlag&gt;</v>
      </c>
      <c r="E1247" s="175"/>
      <c r="F1247" s="6" t="s">
        <v>656</v>
      </c>
      <c r="G1247" s="6"/>
      <c r="H1247" s="6"/>
      <c r="I1247" s="6"/>
      <c r="J1247" s="6"/>
      <c r="K1247" s="6"/>
      <c r="L1247" s="6"/>
      <c r="M1247" s="6"/>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c r="BU1247" s="6"/>
      <c r="BV1247" s="6"/>
      <c r="BW1247" s="6"/>
      <c r="BX1247" s="6"/>
      <c r="BY1247" s="6"/>
      <c r="BZ1247" s="6"/>
      <c r="CA1247" s="6"/>
      <c r="CB1247" s="6"/>
      <c r="CC1247" s="6"/>
      <c r="CD1247" s="6"/>
      <c r="CE1247" s="6"/>
      <c r="CF1247" s="6"/>
      <c r="CG1247" s="6"/>
      <c r="CH1247" s="6"/>
      <c r="CI1247" s="6"/>
      <c r="CJ1247" s="6"/>
      <c r="CK1247" s="6"/>
      <c r="CL1247" s="6"/>
      <c r="CM1247" s="6"/>
      <c r="CN1247" s="6"/>
      <c r="CO1247" s="6"/>
      <c r="CP1247" s="6"/>
      <c r="CQ1247" s="6"/>
      <c r="CR1247" s="6"/>
      <c r="CS1247" s="6"/>
      <c r="CT1247" s="6"/>
      <c r="CU1247" s="6"/>
      <c r="CV1247" s="6"/>
      <c r="CW1247" s="6"/>
      <c r="CX1247" s="6"/>
      <c r="CY1247" s="6"/>
      <c r="CZ1247" s="6"/>
      <c r="DA1247" s="6"/>
      <c r="DB1247" s="6"/>
      <c r="DC1247" s="6"/>
      <c r="DD1247" s="6"/>
    </row>
    <row r="1248" spans="1:108" ht="12.75" hidden="1" customHeight="1" outlineLevel="5">
      <c r="A1248" s="104" t="s">
        <v>77</v>
      </c>
      <c r="B1248" s="28">
        <v>1</v>
      </c>
      <c r="C1248" s="11"/>
      <c r="D1248" s="18" t="str">
        <f>"&lt;" &amp; A1248 &amp; "&gt;" &amp; TEXT(B1248,0) &amp; "&lt;/" &amp; A1248 &amp; "&gt;"</f>
        <v>&lt;AutoRefCbarFlag&gt;1&lt;/AutoRefCbarFlag&gt;</v>
      </c>
      <c r="E1248" s="175"/>
      <c r="F1248" s="6" t="s">
        <v>657</v>
      </c>
      <c r="G1248" s="6"/>
      <c r="H1248" s="6"/>
      <c r="I1248" s="6"/>
      <c r="J1248" s="6"/>
      <c r="K1248" s="6"/>
      <c r="L1248" s="6"/>
      <c r="M1248" s="6"/>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c r="BU1248" s="6"/>
      <c r="BV1248" s="6"/>
      <c r="BW1248" s="6"/>
      <c r="BX1248" s="6"/>
      <c r="BY1248" s="6"/>
      <c r="BZ1248" s="6"/>
      <c r="CA1248" s="6"/>
      <c r="CB1248" s="6"/>
      <c r="CC1248" s="6"/>
      <c r="CD1248" s="6"/>
      <c r="CE1248" s="6"/>
      <c r="CF1248" s="6"/>
      <c r="CG1248" s="6"/>
      <c r="CH1248" s="6"/>
      <c r="CI1248" s="6"/>
      <c r="CJ1248" s="6"/>
      <c r="CK1248" s="6"/>
      <c r="CL1248" s="6"/>
      <c r="CM1248" s="6"/>
      <c r="CN1248" s="6"/>
      <c r="CO1248" s="6"/>
      <c r="CP1248" s="6"/>
      <c r="CQ1248" s="6"/>
      <c r="CR1248" s="6"/>
      <c r="CS1248" s="6"/>
      <c r="CT1248" s="6"/>
      <c r="CU1248" s="6"/>
      <c r="CV1248" s="6"/>
      <c r="CW1248" s="6"/>
      <c r="CX1248" s="6"/>
      <c r="CY1248" s="6"/>
      <c r="CZ1248" s="6"/>
      <c r="DA1248" s="6"/>
      <c r="DB1248" s="6"/>
      <c r="DC1248" s="6"/>
      <c r="DD1248" s="6"/>
    </row>
    <row r="1249" spans="1:108" ht="12.75" hidden="1" customHeight="1" outlineLevel="5">
      <c r="A1249" s="104" t="s">
        <v>78</v>
      </c>
      <c r="B1249" s="28">
        <v>0</v>
      </c>
      <c r="C1249" s="11"/>
      <c r="D1249" s="18" t="str">
        <f>"&lt;" &amp; A1249 &amp; "&gt;" &amp; TEXT(B1249,"0.000000") &amp; "&lt;/" &amp; A1249 &amp; "&gt;"</f>
        <v>&lt;AeroCenter_X&gt;0.000000&lt;/AeroCenter_X&gt;</v>
      </c>
      <c r="E1249" s="175"/>
      <c r="F1249" s="6" t="s">
        <v>658</v>
      </c>
      <c r="G1249" s="6"/>
      <c r="H1249" s="6"/>
      <c r="I1249" s="6"/>
      <c r="J1249" s="6"/>
      <c r="K1249" s="6"/>
      <c r="L1249" s="6"/>
      <c r="M1249" s="6"/>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c r="BU1249" s="6"/>
      <c r="BV1249" s="6"/>
      <c r="BW1249" s="6"/>
      <c r="BX1249" s="6"/>
      <c r="BY1249" s="6"/>
      <c r="BZ1249" s="6"/>
      <c r="CA1249" s="6"/>
      <c r="CB1249" s="6"/>
      <c r="CC1249" s="6"/>
      <c r="CD1249" s="6"/>
      <c r="CE1249" s="6"/>
      <c r="CF1249" s="6"/>
      <c r="CG1249" s="6"/>
      <c r="CH1249" s="6"/>
      <c r="CI1249" s="6"/>
      <c r="CJ1249" s="6"/>
      <c r="CK1249" s="6"/>
      <c r="CL1249" s="6"/>
      <c r="CM1249" s="6"/>
      <c r="CN1249" s="6"/>
      <c r="CO1249" s="6"/>
      <c r="CP1249" s="6"/>
      <c r="CQ1249" s="6"/>
      <c r="CR1249" s="6"/>
      <c r="CS1249" s="6"/>
      <c r="CT1249" s="6"/>
      <c r="CU1249" s="6"/>
      <c r="CV1249" s="6"/>
      <c r="CW1249" s="6"/>
      <c r="CX1249" s="6"/>
      <c r="CY1249" s="6"/>
      <c r="CZ1249" s="6"/>
      <c r="DA1249" s="6"/>
      <c r="DB1249" s="6"/>
      <c r="DC1249" s="6"/>
      <c r="DD1249" s="6"/>
    </row>
    <row r="1250" spans="1:108" ht="12.75" hidden="1" customHeight="1" outlineLevel="5">
      <c r="A1250" s="104" t="s">
        <v>79</v>
      </c>
      <c r="B1250" s="28">
        <v>0</v>
      </c>
      <c r="C1250" s="11"/>
      <c r="D1250" s="18" t="str">
        <f>"&lt;" &amp; A1250 &amp; "&gt;" &amp; TEXT(B1250,"0.000000") &amp; "&lt;/" &amp; A1250 &amp; "&gt;"</f>
        <v>&lt;AeroCenter_Y&gt;0.000000&lt;/AeroCenter_Y&gt;</v>
      </c>
      <c r="E1250" s="175"/>
      <c r="F1250" s="6" t="s">
        <v>659</v>
      </c>
      <c r="G1250" s="6"/>
      <c r="H1250" s="6"/>
      <c r="I1250" s="6"/>
      <c r="J1250" s="6"/>
      <c r="K1250" s="6"/>
      <c r="L1250" s="6"/>
      <c r="M1250" s="6"/>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c r="BU1250" s="6"/>
      <c r="BV1250" s="6"/>
      <c r="BW1250" s="6"/>
      <c r="BX1250" s="6"/>
      <c r="BY1250" s="6"/>
      <c r="BZ1250" s="6"/>
      <c r="CA1250" s="6"/>
      <c r="CB1250" s="6"/>
      <c r="CC1250" s="6"/>
      <c r="CD1250" s="6"/>
      <c r="CE1250" s="6"/>
      <c r="CF1250" s="6"/>
      <c r="CG1250" s="6"/>
      <c r="CH1250" s="6"/>
      <c r="CI1250" s="6"/>
      <c r="CJ1250" s="6"/>
      <c r="CK1250" s="6"/>
      <c r="CL1250" s="6"/>
      <c r="CM1250" s="6"/>
      <c r="CN1250" s="6"/>
      <c r="CO1250" s="6"/>
      <c r="CP1250" s="6"/>
      <c r="CQ1250" s="6"/>
      <c r="CR1250" s="6"/>
      <c r="CS1250" s="6"/>
      <c r="CT1250" s="6"/>
      <c r="CU1250" s="6"/>
      <c r="CV1250" s="6"/>
      <c r="CW1250" s="6"/>
      <c r="CX1250" s="6"/>
      <c r="CY1250" s="6"/>
      <c r="CZ1250" s="6"/>
      <c r="DA1250" s="6"/>
      <c r="DB1250" s="6"/>
      <c r="DC1250" s="6"/>
      <c r="DD1250" s="6"/>
    </row>
    <row r="1251" spans="1:108" ht="12.75" hidden="1" customHeight="1" outlineLevel="5">
      <c r="A1251" s="104" t="s">
        <v>80</v>
      </c>
      <c r="B1251" s="28">
        <v>0</v>
      </c>
      <c r="C1251" s="11"/>
      <c r="D1251" s="18" t="str">
        <f>"&lt;" &amp; A1251 &amp; "&gt;" &amp; TEXT(B1251,"0.000000") &amp; "&lt;/" &amp; A1251 &amp; "&gt;"</f>
        <v>&lt;AeroCenter_Z&gt;0.000000&lt;/AeroCenter_Z&gt;</v>
      </c>
      <c r="E1251" s="175"/>
      <c r="F1251" s="6" t="s">
        <v>660</v>
      </c>
      <c r="G1251" s="6"/>
      <c r="H1251" s="6"/>
      <c r="I1251" s="6"/>
      <c r="J1251" s="6"/>
      <c r="K1251" s="6"/>
      <c r="L1251" s="6"/>
      <c r="M1251" s="6"/>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c r="BU1251" s="6"/>
      <c r="BV1251" s="6"/>
      <c r="BW1251" s="6"/>
      <c r="BX1251" s="6"/>
      <c r="BY1251" s="6"/>
      <c r="BZ1251" s="6"/>
      <c r="CA1251" s="6"/>
      <c r="CB1251" s="6"/>
      <c r="CC1251" s="6"/>
      <c r="CD1251" s="6"/>
      <c r="CE1251" s="6"/>
      <c r="CF1251" s="6"/>
      <c r="CG1251" s="6"/>
      <c r="CH1251" s="6"/>
      <c r="CI1251" s="6"/>
      <c r="CJ1251" s="6"/>
      <c r="CK1251" s="6"/>
      <c r="CL1251" s="6"/>
      <c r="CM1251" s="6"/>
      <c r="CN1251" s="6"/>
      <c r="CO1251" s="6"/>
      <c r="CP1251" s="6"/>
      <c r="CQ1251" s="6"/>
      <c r="CR1251" s="6"/>
      <c r="CS1251" s="6"/>
      <c r="CT1251" s="6"/>
      <c r="CU1251" s="6"/>
      <c r="CV1251" s="6"/>
      <c r="CW1251" s="6"/>
      <c r="CX1251" s="6"/>
      <c r="CY1251" s="6"/>
      <c r="CZ1251" s="6"/>
      <c r="DA1251" s="6"/>
      <c r="DB1251" s="6"/>
      <c r="DC1251" s="6"/>
      <c r="DD1251" s="6"/>
    </row>
    <row r="1252" spans="1:108" ht="12.75" hidden="1" customHeight="1" outlineLevel="5">
      <c r="A1252" s="104" t="s">
        <v>81</v>
      </c>
      <c r="B1252" s="28">
        <v>1</v>
      </c>
      <c r="C1252" s="11"/>
      <c r="D1252" s="18" t="str">
        <f>"&lt;" &amp; A1252 &amp; "&gt;" &amp; TEXT(B1252,0) &amp; "&lt;/" &amp; A1252 &amp; "&gt;"</f>
        <v>&lt;AutoAeroCenterFlag&gt;1&lt;/AutoAeroCenterFlag&gt;</v>
      </c>
      <c r="E1252" s="175"/>
      <c r="F1252" s="6" t="s">
        <v>661</v>
      </c>
      <c r="G1252" s="6"/>
      <c r="H1252" s="6"/>
      <c r="I1252" s="6"/>
      <c r="J1252" s="6"/>
      <c r="K1252" s="6"/>
      <c r="L1252" s="6"/>
      <c r="M1252" s="6"/>
      <c r="N1252" s="6"/>
      <c r="O1252" s="6"/>
      <c r="P1252" s="6"/>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c r="BU1252" s="6"/>
      <c r="BV1252" s="6"/>
      <c r="BW1252" s="6"/>
      <c r="BX1252" s="6"/>
      <c r="BY1252" s="6"/>
      <c r="BZ1252" s="6"/>
      <c r="CA1252" s="6"/>
      <c r="CB1252" s="6"/>
      <c r="CC1252" s="6"/>
      <c r="CD1252" s="6"/>
      <c r="CE1252" s="6"/>
      <c r="CF1252" s="6"/>
      <c r="CG1252" s="6"/>
      <c r="CH1252" s="6"/>
      <c r="CI1252" s="6"/>
      <c r="CJ1252" s="6"/>
      <c r="CK1252" s="6"/>
      <c r="CL1252" s="6"/>
      <c r="CM1252" s="6"/>
      <c r="CN1252" s="6"/>
      <c r="CO1252" s="6"/>
      <c r="CP1252" s="6"/>
      <c r="CQ1252" s="6"/>
      <c r="CR1252" s="6"/>
      <c r="CS1252" s="6"/>
      <c r="CT1252" s="6"/>
      <c r="CU1252" s="6"/>
      <c r="CV1252" s="6"/>
      <c r="CW1252" s="6"/>
      <c r="CX1252" s="6"/>
      <c r="CY1252" s="6"/>
      <c r="CZ1252" s="6"/>
      <c r="DA1252" s="6"/>
      <c r="DB1252" s="6"/>
      <c r="DC1252" s="6"/>
      <c r="DD1252" s="6"/>
    </row>
    <row r="1253" spans="1:108" ht="12.75" hidden="1" customHeight="1" outlineLevel="5">
      <c r="A1253" s="104" t="s">
        <v>82</v>
      </c>
      <c r="B1253" s="28">
        <v>0</v>
      </c>
      <c r="C1253" s="11"/>
      <c r="D1253" s="18" t="str">
        <f>"&lt;" &amp; A1253 &amp; "&gt;" &amp; TEXT(B1253,0) &amp; "&lt;/" &amp; A1253 &amp; "&gt;"</f>
        <v>&lt;WakeActiveFlag&gt;0&lt;/WakeActiveFlag&gt;</v>
      </c>
      <c r="E1253" s="175"/>
      <c r="F1253" s="6" t="s">
        <v>662</v>
      </c>
      <c r="G1253" s="6"/>
      <c r="H1253" s="6"/>
      <c r="I1253" s="6"/>
      <c r="J1253" s="6"/>
      <c r="K1253" s="6"/>
      <c r="L1253" s="6"/>
      <c r="M1253" s="6"/>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c r="BU1253" s="6"/>
      <c r="BV1253" s="6"/>
      <c r="BW1253" s="6"/>
      <c r="BX1253" s="6"/>
      <c r="BY1253" s="6"/>
      <c r="BZ1253" s="6"/>
      <c r="CA1253" s="6"/>
      <c r="CB1253" s="6"/>
      <c r="CC1253" s="6"/>
      <c r="CD1253" s="6"/>
      <c r="CE1253" s="6"/>
      <c r="CF1253" s="6"/>
      <c r="CG1253" s="6"/>
      <c r="CH1253" s="6"/>
      <c r="CI1253" s="6"/>
      <c r="CJ1253" s="6"/>
      <c r="CK1253" s="6"/>
      <c r="CL1253" s="6"/>
      <c r="CM1253" s="6"/>
      <c r="CN1253" s="6"/>
      <c r="CO1253" s="6"/>
      <c r="CP1253" s="6"/>
      <c r="CQ1253" s="6"/>
      <c r="CR1253" s="6"/>
      <c r="CS1253" s="6"/>
      <c r="CT1253" s="6"/>
      <c r="CU1253" s="6"/>
      <c r="CV1253" s="6"/>
      <c r="CW1253" s="6"/>
      <c r="CX1253" s="6"/>
      <c r="CY1253" s="6"/>
      <c r="CZ1253" s="6"/>
      <c r="DA1253" s="6"/>
      <c r="DB1253" s="6"/>
      <c r="DC1253" s="6"/>
      <c r="DD1253" s="6"/>
    </row>
    <row r="1254" spans="1:108" ht="12.75" hidden="1" customHeight="1" outlineLevel="5">
      <c r="A1254" s="104" t="s">
        <v>83</v>
      </c>
      <c r="B1254" s="28">
        <v>0</v>
      </c>
      <c r="C1254" s="11"/>
      <c r="D1254" s="18" t="str">
        <f>"&lt;" &amp; A1254 &amp; "&gt;" &amp; TEXT(B1254,0) &amp; "&lt;/" &amp; A1254 &amp; "&gt;"</f>
        <v>&lt;PosAttachFlag&gt;0&lt;/PosAttachFlag&gt;</v>
      </c>
      <c r="E1254" s="175"/>
      <c r="F1254" s="6" t="s">
        <v>663</v>
      </c>
      <c r="G1254" s="6"/>
      <c r="H1254" s="6"/>
      <c r="I1254" s="6"/>
      <c r="J1254" s="6"/>
      <c r="K1254" s="6"/>
      <c r="L1254" s="6"/>
      <c r="M1254" s="6"/>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c r="BU1254" s="6"/>
      <c r="BV1254" s="6"/>
      <c r="BW1254" s="6"/>
      <c r="BX1254" s="6"/>
      <c r="BY1254" s="6"/>
      <c r="BZ1254" s="6"/>
      <c r="CA1254" s="6"/>
      <c r="CB1254" s="6"/>
      <c r="CC1254" s="6"/>
      <c r="CD1254" s="6"/>
      <c r="CE1254" s="6"/>
      <c r="CF1254" s="6"/>
      <c r="CG1254" s="6"/>
      <c r="CH1254" s="6"/>
      <c r="CI1254" s="6"/>
      <c r="CJ1254" s="6"/>
      <c r="CK1254" s="6"/>
      <c r="CL1254" s="6"/>
      <c r="CM1254" s="6"/>
      <c r="CN1254" s="6"/>
      <c r="CO1254" s="6"/>
      <c r="CP1254" s="6"/>
      <c r="CQ1254" s="6"/>
      <c r="CR1254" s="6"/>
      <c r="CS1254" s="6"/>
      <c r="CT1254" s="6"/>
      <c r="CU1254" s="6"/>
      <c r="CV1254" s="6"/>
      <c r="CW1254" s="6"/>
      <c r="CX1254" s="6"/>
      <c r="CY1254" s="6"/>
      <c r="CZ1254" s="6"/>
      <c r="DA1254" s="6"/>
      <c r="DB1254" s="6"/>
      <c r="DC1254" s="6"/>
      <c r="DD1254" s="6"/>
    </row>
    <row r="1255" spans="1:108" ht="12.75" hidden="1" customHeight="1" outlineLevel="5">
      <c r="A1255" s="104" t="s">
        <v>84</v>
      </c>
      <c r="B1255" s="28">
        <v>0</v>
      </c>
      <c r="C1255" s="11"/>
      <c r="D1255" s="18" t="str">
        <f>"&lt;" &amp; A1255 &amp; "&gt;" &amp; TEXT(B1255,"0.000000") &amp; "&lt;/" &amp; A1255 &amp; "&gt;"</f>
        <v>&lt;U_Attach&gt;0.000000&lt;/U_Attach&gt;</v>
      </c>
      <c r="E1255" s="175"/>
      <c r="F1255" s="6" t="s">
        <v>664</v>
      </c>
      <c r="G1255" s="6"/>
      <c r="H1255" s="6"/>
      <c r="I1255" s="6"/>
      <c r="J1255" s="6"/>
      <c r="K1255" s="6"/>
      <c r="L1255" s="6"/>
      <c r="M1255" s="6"/>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c r="BU1255" s="6"/>
      <c r="BV1255" s="6"/>
      <c r="BW1255" s="6"/>
      <c r="BX1255" s="6"/>
      <c r="BY1255" s="6"/>
      <c r="BZ1255" s="6"/>
      <c r="CA1255" s="6"/>
      <c r="CB1255" s="6"/>
      <c r="CC1255" s="6"/>
      <c r="CD1255" s="6"/>
      <c r="CE1255" s="6"/>
      <c r="CF1255" s="6"/>
      <c r="CG1255" s="6"/>
      <c r="CH1255" s="6"/>
      <c r="CI1255" s="6"/>
      <c r="CJ1255" s="6"/>
      <c r="CK1255" s="6"/>
      <c r="CL1255" s="6"/>
      <c r="CM1255" s="6"/>
      <c r="CN1255" s="6"/>
      <c r="CO1255" s="6"/>
      <c r="CP1255" s="6"/>
      <c r="CQ1255" s="6"/>
      <c r="CR1255" s="6"/>
      <c r="CS1255" s="6"/>
      <c r="CT1255" s="6"/>
      <c r="CU1255" s="6"/>
      <c r="CV1255" s="6"/>
      <c r="CW1255" s="6"/>
      <c r="CX1255" s="6"/>
      <c r="CY1255" s="6"/>
      <c r="CZ1255" s="6"/>
      <c r="DA1255" s="6"/>
      <c r="DB1255" s="6"/>
      <c r="DC1255" s="6"/>
      <c r="DD1255" s="6"/>
    </row>
    <row r="1256" spans="1:108" ht="12.75" hidden="1" customHeight="1" outlineLevel="5">
      <c r="A1256" s="104" t="s">
        <v>85</v>
      </c>
      <c r="B1256" s="28">
        <v>0</v>
      </c>
      <c r="C1256" s="11"/>
      <c r="D1256" s="18" t="str">
        <f>"&lt;" &amp; A1256 &amp; "&gt;" &amp; TEXT(B1256,"0.000000") &amp; "&lt;/" &amp; A1256 &amp; "&gt;"</f>
        <v>&lt;V_Attach&gt;0.000000&lt;/V_Attach&gt;</v>
      </c>
      <c r="E1256" s="175"/>
      <c r="F1256" s="6" t="s">
        <v>665</v>
      </c>
      <c r="G1256" s="6"/>
      <c r="H1256" s="6"/>
      <c r="I1256" s="6"/>
      <c r="J1256" s="6"/>
      <c r="K1256" s="6"/>
      <c r="L1256" s="6"/>
      <c r="M1256" s="6"/>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c r="BU1256" s="6"/>
      <c r="BV1256" s="6"/>
      <c r="BW1256" s="6"/>
      <c r="BX1256" s="6"/>
      <c r="BY1256" s="6"/>
      <c r="BZ1256" s="6"/>
      <c r="CA1256" s="6"/>
      <c r="CB1256" s="6"/>
      <c r="CC1256" s="6"/>
      <c r="CD1256" s="6"/>
      <c r="CE1256" s="6"/>
      <c r="CF1256" s="6"/>
      <c r="CG1256" s="6"/>
      <c r="CH1256" s="6"/>
      <c r="CI1256" s="6"/>
      <c r="CJ1256" s="6"/>
      <c r="CK1256" s="6"/>
      <c r="CL1256" s="6"/>
      <c r="CM1256" s="6"/>
      <c r="CN1256" s="6"/>
      <c r="CO1256" s="6"/>
      <c r="CP1256" s="6"/>
      <c r="CQ1256" s="6"/>
      <c r="CR1256" s="6"/>
      <c r="CS1256" s="6"/>
      <c r="CT1256" s="6"/>
      <c r="CU1256" s="6"/>
      <c r="CV1256" s="6"/>
      <c r="CW1256" s="6"/>
      <c r="CX1256" s="6"/>
      <c r="CY1256" s="6"/>
      <c r="CZ1256" s="6"/>
      <c r="DA1256" s="6"/>
      <c r="DB1256" s="6"/>
      <c r="DC1256" s="6"/>
      <c r="DD1256" s="6"/>
    </row>
    <row r="1257" spans="1:108" ht="12.75" hidden="1" customHeight="1" outlineLevel="5">
      <c r="A1257" s="104" t="s">
        <v>86</v>
      </c>
      <c r="B1257" s="28">
        <v>148271640</v>
      </c>
      <c r="C1257" s="11"/>
      <c r="D1257" s="18" t="str">
        <f t="shared" ref="D1257:D1262" si="73">"&lt;" &amp; A1257 &amp; "&gt;" &amp; TEXT(B1257,0) &amp; "&lt;/" &amp; A1257 &amp; "&gt;"</f>
        <v>&lt;PtrID&gt;148271640&lt;/PtrID&gt;</v>
      </c>
      <c r="E1257" s="175"/>
      <c r="F1257" s="6" t="s">
        <v>850</v>
      </c>
      <c r="G1257" s="6"/>
      <c r="H1257" s="6"/>
      <c r="I1257" s="6"/>
      <c r="J1257" s="6"/>
      <c r="K1257" s="6"/>
      <c r="L1257" s="6"/>
      <c r="M1257" s="6"/>
      <c r="N1257" s="6"/>
      <c r="O1257" s="6"/>
      <c r="P1257" s="6"/>
      <c r="Q1257" s="6"/>
      <c r="R1257" s="6"/>
      <c r="S1257" s="6"/>
      <c r="T1257" s="6"/>
      <c r="U1257" s="6"/>
      <c r="V1257" s="6"/>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c r="BU1257" s="6"/>
      <c r="BV1257" s="6"/>
      <c r="BW1257" s="6"/>
      <c r="BX1257" s="6"/>
      <c r="BY1257" s="6"/>
      <c r="BZ1257" s="6"/>
      <c r="CA1257" s="6"/>
      <c r="CB1257" s="6"/>
      <c r="CC1257" s="6"/>
      <c r="CD1257" s="6"/>
      <c r="CE1257" s="6"/>
      <c r="CF1257" s="6"/>
      <c r="CG1257" s="6"/>
      <c r="CH1257" s="6"/>
      <c r="CI1257" s="6"/>
      <c r="CJ1257" s="6"/>
      <c r="CK1257" s="6"/>
      <c r="CL1257" s="6"/>
      <c r="CM1257" s="6"/>
      <c r="CN1257" s="6"/>
      <c r="CO1257" s="6"/>
      <c r="CP1257" s="6"/>
      <c r="CQ1257" s="6"/>
      <c r="CR1257" s="6"/>
      <c r="CS1257" s="6"/>
      <c r="CT1257" s="6"/>
      <c r="CU1257" s="6"/>
      <c r="CV1257" s="6"/>
      <c r="CW1257" s="6"/>
      <c r="CX1257" s="6"/>
      <c r="CY1257" s="6"/>
      <c r="CZ1257" s="6"/>
      <c r="DA1257" s="6"/>
      <c r="DB1257" s="6"/>
      <c r="DC1257" s="6"/>
      <c r="DD1257" s="6"/>
    </row>
    <row r="1258" spans="1:108" ht="12.75" hidden="1" customHeight="1" outlineLevel="5">
      <c r="A1258" s="104" t="s">
        <v>87</v>
      </c>
      <c r="B1258" s="28">
        <v>0</v>
      </c>
      <c r="C1258" s="11"/>
      <c r="D1258" s="18" t="str">
        <f t="shared" si="73"/>
        <v>&lt;Parent_PtrID&gt;0&lt;/Parent_PtrID&gt;</v>
      </c>
      <c r="E1258" s="175"/>
      <c r="F1258" s="6" t="s">
        <v>666</v>
      </c>
      <c r="G1258" s="6"/>
      <c r="H1258" s="6"/>
      <c r="I1258" s="6"/>
      <c r="J1258" s="6"/>
      <c r="K1258" s="6"/>
      <c r="L1258" s="6"/>
      <c r="M1258" s="6"/>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c r="BU1258" s="6"/>
      <c r="BV1258" s="6"/>
      <c r="BW1258" s="6"/>
      <c r="BX1258" s="6"/>
      <c r="BY1258" s="6"/>
      <c r="BZ1258" s="6"/>
      <c r="CA1258" s="6"/>
      <c r="CB1258" s="6"/>
      <c r="CC1258" s="6"/>
      <c r="CD1258" s="6"/>
      <c r="CE1258" s="6"/>
      <c r="CF1258" s="6"/>
      <c r="CG1258" s="6"/>
      <c r="CH1258" s="6"/>
      <c r="CI1258" s="6"/>
      <c r="CJ1258" s="6"/>
      <c r="CK1258" s="6"/>
      <c r="CL1258" s="6"/>
      <c r="CM1258" s="6"/>
      <c r="CN1258" s="6"/>
      <c r="CO1258" s="6"/>
      <c r="CP1258" s="6"/>
      <c r="CQ1258" s="6"/>
      <c r="CR1258" s="6"/>
      <c r="CS1258" s="6"/>
      <c r="CT1258" s="6"/>
      <c r="CU1258" s="6"/>
      <c r="CV1258" s="6"/>
      <c r="CW1258" s="6"/>
      <c r="CX1258" s="6"/>
      <c r="CY1258" s="6"/>
      <c r="CZ1258" s="6"/>
      <c r="DA1258" s="6"/>
      <c r="DB1258" s="6"/>
      <c r="DC1258" s="6"/>
      <c r="DD1258" s="6"/>
    </row>
    <row r="1259" spans="1:108" ht="12.75" hidden="1" customHeight="1" outlineLevel="5">
      <c r="A1259" s="104" t="s">
        <v>221</v>
      </c>
      <c r="B1259" s="28">
        <v>148274736</v>
      </c>
      <c r="C1259" s="11"/>
      <c r="D1259" s="18" t="str">
        <f t="shared" si="73"/>
        <v>&lt;Children_PtrID&gt;148274736&lt;/Children_PtrID&gt;</v>
      </c>
      <c r="E1259" s="175"/>
      <c r="F1259" s="6" t="s">
        <v>851</v>
      </c>
      <c r="G1259" s="6"/>
      <c r="H1259" s="6"/>
      <c r="I1259" s="6"/>
      <c r="J1259" s="6"/>
      <c r="K1259" s="6"/>
      <c r="L1259" s="6"/>
      <c r="M1259" s="6"/>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c r="BU1259" s="6"/>
      <c r="BV1259" s="6"/>
      <c r="BW1259" s="6"/>
      <c r="BX1259" s="6"/>
      <c r="BY1259" s="6"/>
      <c r="BZ1259" s="6"/>
      <c r="CA1259" s="6"/>
      <c r="CB1259" s="6"/>
      <c r="CC1259" s="6"/>
      <c r="CD1259" s="6"/>
      <c r="CE1259" s="6"/>
      <c r="CF1259" s="6"/>
      <c r="CG1259" s="6"/>
      <c r="CH1259" s="6"/>
      <c r="CI1259" s="6"/>
      <c r="CJ1259" s="6"/>
      <c r="CK1259" s="6"/>
      <c r="CL1259" s="6"/>
      <c r="CM1259" s="6"/>
      <c r="CN1259" s="6"/>
      <c r="CO1259" s="6"/>
      <c r="CP1259" s="6"/>
      <c r="CQ1259" s="6"/>
      <c r="CR1259" s="6"/>
      <c r="CS1259" s="6"/>
      <c r="CT1259" s="6"/>
      <c r="CU1259" s="6"/>
      <c r="CV1259" s="6"/>
      <c r="CW1259" s="6"/>
      <c r="CX1259" s="6"/>
      <c r="CY1259" s="6"/>
      <c r="CZ1259" s="6"/>
      <c r="DA1259" s="6"/>
      <c r="DB1259" s="6"/>
      <c r="DC1259" s="6"/>
      <c r="DD1259" s="6"/>
    </row>
    <row r="1260" spans="1:108" ht="12.75" hidden="1" customHeight="1" outlineLevel="5">
      <c r="A1260" s="104" t="s">
        <v>221</v>
      </c>
      <c r="B1260" s="28">
        <v>148485072</v>
      </c>
      <c r="C1260" s="11"/>
      <c r="D1260" s="18" t="str">
        <f t="shared" si="73"/>
        <v>&lt;Children_PtrID&gt;148485072&lt;/Children_PtrID&gt;</v>
      </c>
      <c r="E1260" s="175"/>
      <c r="F1260" s="6" t="s">
        <v>852</v>
      </c>
      <c r="G1260" s="6"/>
      <c r="H1260" s="6"/>
      <c r="I1260" s="6"/>
      <c r="J1260" s="6"/>
      <c r="K1260" s="6"/>
      <c r="L1260" s="6"/>
      <c r="M1260" s="6"/>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c r="BU1260" s="6"/>
      <c r="BV1260" s="6"/>
      <c r="BW1260" s="6"/>
      <c r="BX1260" s="6"/>
      <c r="BY1260" s="6"/>
      <c r="BZ1260" s="6"/>
      <c r="CA1260" s="6"/>
      <c r="CB1260" s="6"/>
      <c r="CC1260" s="6"/>
      <c r="CD1260" s="6"/>
      <c r="CE1260" s="6"/>
      <c r="CF1260" s="6"/>
      <c r="CG1260" s="6"/>
      <c r="CH1260" s="6"/>
      <c r="CI1260" s="6"/>
      <c r="CJ1260" s="6"/>
      <c r="CK1260" s="6"/>
      <c r="CL1260" s="6"/>
      <c r="CM1260" s="6"/>
      <c r="CN1260" s="6"/>
      <c r="CO1260" s="6"/>
      <c r="CP1260" s="6"/>
      <c r="CQ1260" s="6"/>
      <c r="CR1260" s="6"/>
      <c r="CS1260" s="6"/>
      <c r="CT1260" s="6"/>
      <c r="CU1260" s="6"/>
      <c r="CV1260" s="6"/>
      <c r="CW1260" s="6"/>
      <c r="CX1260" s="6"/>
      <c r="CY1260" s="6"/>
      <c r="CZ1260" s="6"/>
      <c r="DA1260" s="6"/>
      <c r="DB1260" s="6"/>
      <c r="DC1260" s="6"/>
      <c r="DD1260" s="6"/>
    </row>
    <row r="1261" spans="1:108" ht="12.75" hidden="1" customHeight="1" outlineLevel="5">
      <c r="A1261" s="104" t="s">
        <v>221</v>
      </c>
      <c r="B1261" s="28">
        <v>148458296</v>
      </c>
      <c r="C1261" s="11"/>
      <c r="D1261" s="18" t="str">
        <f t="shared" si="73"/>
        <v>&lt;Children_PtrID&gt;148458296&lt;/Children_PtrID&gt;</v>
      </c>
      <c r="E1261" s="175"/>
      <c r="F1261" s="6" t="s">
        <v>853</v>
      </c>
      <c r="G1261" s="6"/>
      <c r="H1261" s="6"/>
      <c r="I1261" s="6"/>
      <c r="J1261" s="6"/>
      <c r="K1261" s="6"/>
      <c r="L1261" s="6"/>
      <c r="M1261" s="6"/>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c r="BU1261" s="6"/>
      <c r="BV1261" s="6"/>
      <c r="BW1261" s="6"/>
      <c r="BX1261" s="6"/>
      <c r="BY1261" s="6"/>
      <c r="BZ1261" s="6"/>
      <c r="CA1261" s="6"/>
      <c r="CB1261" s="6"/>
      <c r="CC1261" s="6"/>
      <c r="CD1261" s="6"/>
      <c r="CE1261" s="6"/>
      <c r="CF1261" s="6"/>
      <c r="CG1261" s="6"/>
      <c r="CH1261" s="6"/>
      <c r="CI1261" s="6"/>
      <c r="CJ1261" s="6"/>
      <c r="CK1261" s="6"/>
      <c r="CL1261" s="6"/>
      <c r="CM1261" s="6"/>
      <c r="CN1261" s="6"/>
      <c r="CO1261" s="6"/>
      <c r="CP1261" s="6"/>
      <c r="CQ1261" s="6"/>
      <c r="CR1261" s="6"/>
      <c r="CS1261" s="6"/>
      <c r="CT1261" s="6"/>
      <c r="CU1261" s="6"/>
      <c r="CV1261" s="6"/>
      <c r="CW1261" s="6"/>
      <c r="CX1261" s="6"/>
      <c r="CY1261" s="6"/>
      <c r="CZ1261" s="6"/>
      <c r="DA1261" s="6"/>
      <c r="DB1261" s="6"/>
      <c r="DC1261" s="6"/>
      <c r="DD1261" s="6"/>
    </row>
    <row r="1262" spans="1:108" ht="12.75" hidden="1" customHeight="1" outlineLevel="5">
      <c r="A1262" s="104" t="s">
        <v>221</v>
      </c>
      <c r="B1262" s="28">
        <v>854381</v>
      </c>
      <c r="C1262" s="11"/>
      <c r="D1262" s="18" t="str">
        <f t="shared" si="73"/>
        <v>&lt;Children_PtrID&gt;854381&lt;/Children_PtrID&gt;</v>
      </c>
      <c r="E1262" s="175"/>
      <c r="F1262" s="6" t="s">
        <v>854</v>
      </c>
      <c r="G1262" s="6"/>
      <c r="H1262" s="6"/>
      <c r="I1262" s="6"/>
      <c r="J1262" s="6"/>
      <c r="K1262" s="6"/>
      <c r="L1262" s="6"/>
      <c r="M1262" s="6"/>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c r="BU1262" s="6"/>
      <c r="BV1262" s="6"/>
      <c r="BW1262" s="6"/>
      <c r="BX1262" s="6"/>
      <c r="BY1262" s="6"/>
      <c r="BZ1262" s="6"/>
      <c r="CA1262" s="6"/>
      <c r="CB1262" s="6"/>
      <c r="CC1262" s="6"/>
      <c r="CD1262" s="6"/>
      <c r="CE1262" s="6"/>
      <c r="CF1262" s="6"/>
      <c r="CG1262" s="6"/>
      <c r="CH1262" s="6"/>
      <c r="CI1262" s="6"/>
      <c r="CJ1262" s="6"/>
      <c r="CK1262" s="6"/>
      <c r="CL1262" s="6"/>
      <c r="CM1262" s="6"/>
      <c r="CN1262" s="6"/>
      <c r="CO1262" s="6"/>
      <c r="CP1262" s="6"/>
      <c r="CQ1262" s="6"/>
      <c r="CR1262" s="6"/>
      <c r="CS1262" s="6"/>
      <c r="CT1262" s="6"/>
      <c r="CU1262" s="6"/>
      <c r="CV1262" s="6"/>
      <c r="CW1262" s="6"/>
      <c r="CX1262" s="6"/>
      <c r="CY1262" s="6"/>
      <c r="CZ1262" s="6"/>
      <c r="DA1262" s="6"/>
      <c r="DB1262" s="6"/>
      <c r="DC1262" s="6"/>
      <c r="DD1262" s="6"/>
    </row>
    <row r="1263" spans="1:108" ht="12.75" hidden="1" customHeight="1" outlineLevel="5">
      <c r="A1263" s="104" t="s">
        <v>88</v>
      </c>
      <c r="B1263" s="100"/>
      <c r="C1263" s="11"/>
      <c r="D1263" s="6" t="str">
        <f>"&lt;" &amp; A1263 &amp; "&gt;"</f>
        <v>&lt;/General_Parms&gt;</v>
      </c>
      <c r="E1263" s="175"/>
      <c r="F1263" s="6" t="s">
        <v>667</v>
      </c>
      <c r="G1263" s="6"/>
      <c r="H1263" s="6"/>
      <c r="I1263" s="6"/>
      <c r="J1263" s="6"/>
      <c r="K1263" s="6"/>
      <c r="L1263" s="6"/>
      <c r="M1263" s="6"/>
      <c r="N1263" s="6"/>
      <c r="O1263" s="6"/>
      <c r="P1263" s="6"/>
      <c r="Q1263" s="6"/>
      <c r="R1263" s="6"/>
      <c r="S1263" s="6"/>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c r="BU1263" s="6"/>
      <c r="BV1263" s="6"/>
      <c r="BW1263" s="6"/>
      <c r="BX1263" s="6"/>
      <c r="BY1263" s="6"/>
      <c r="BZ1263" s="6"/>
      <c r="CA1263" s="6"/>
      <c r="CB1263" s="6"/>
      <c r="CC1263" s="6"/>
      <c r="CD1263" s="6"/>
      <c r="CE1263" s="6"/>
      <c r="CF1263" s="6"/>
      <c r="CG1263" s="6"/>
      <c r="CH1263" s="6"/>
      <c r="CI1263" s="6"/>
      <c r="CJ1263" s="6"/>
      <c r="CK1263" s="6"/>
      <c r="CL1263" s="6"/>
      <c r="CM1263" s="6"/>
      <c r="CN1263" s="6"/>
      <c r="CO1263" s="6"/>
      <c r="CP1263" s="6"/>
      <c r="CQ1263" s="6"/>
      <c r="CR1263" s="6"/>
      <c r="CS1263" s="6"/>
      <c r="CT1263" s="6"/>
      <c r="CU1263" s="6"/>
      <c r="CV1263" s="6"/>
      <c r="CW1263" s="6"/>
      <c r="CX1263" s="6"/>
      <c r="CY1263" s="6"/>
      <c r="CZ1263" s="6"/>
      <c r="DA1263" s="6"/>
      <c r="DB1263" s="6"/>
      <c r="DC1263" s="6"/>
      <c r="DD1263" s="6"/>
    </row>
    <row r="1264" spans="1:108" ht="12.75" hidden="1" customHeight="1" outlineLevel="4" collapsed="1">
      <c r="A1264" s="104" t="s">
        <v>222</v>
      </c>
      <c r="B1264" s="100"/>
      <c r="C1264" s="11"/>
      <c r="D1264" s="6" t="str">
        <f>"&lt;" &amp; A1264 &amp; "&gt;"</f>
        <v>&lt;Blank_Parms&gt;</v>
      </c>
      <c r="E1264" s="175"/>
      <c r="F1264" s="6" t="s">
        <v>855</v>
      </c>
      <c r="G1264" s="6"/>
      <c r="H1264" s="6"/>
      <c r="I1264" s="6"/>
      <c r="J1264" s="6"/>
      <c r="K1264" s="6"/>
      <c r="L1264" s="6"/>
      <c r="M1264" s="6"/>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c r="BU1264" s="6"/>
      <c r="BV1264" s="6"/>
      <c r="BW1264" s="6"/>
      <c r="BX1264" s="6"/>
      <c r="BY1264" s="6"/>
      <c r="BZ1264" s="6"/>
      <c r="CA1264" s="6"/>
      <c r="CB1264" s="6"/>
      <c r="CC1264" s="6"/>
      <c r="CD1264" s="6"/>
      <c r="CE1264" s="6"/>
      <c r="CF1264" s="6"/>
      <c r="CG1264" s="6"/>
      <c r="CH1264" s="6"/>
      <c r="CI1264" s="6"/>
      <c r="CJ1264" s="6"/>
      <c r="CK1264" s="6"/>
      <c r="CL1264" s="6"/>
      <c r="CM1264" s="6"/>
      <c r="CN1264" s="6"/>
      <c r="CO1264" s="6"/>
      <c r="CP1264" s="6"/>
      <c r="CQ1264" s="6"/>
      <c r="CR1264" s="6"/>
      <c r="CS1264" s="6"/>
      <c r="CT1264" s="6"/>
      <c r="CU1264" s="6"/>
      <c r="CV1264" s="6"/>
      <c r="CW1264" s="6"/>
      <c r="CX1264" s="6"/>
      <c r="CY1264" s="6"/>
      <c r="CZ1264" s="6"/>
      <c r="DA1264" s="6"/>
      <c r="DB1264" s="6"/>
      <c r="DC1264" s="6"/>
      <c r="DD1264" s="6"/>
    </row>
    <row r="1265" spans="1:108" ht="12.75" hidden="1" customHeight="1" outlineLevel="5">
      <c r="A1265" s="104" t="s">
        <v>223</v>
      </c>
      <c r="B1265" s="28">
        <v>0</v>
      </c>
      <c r="C1265" s="11"/>
      <c r="D1265" s="18" t="str">
        <f>"&lt;" &amp; A1265 &amp; "&gt;" &amp; TEXT(B1265,0) &amp; "&lt;/" &amp; A1265 &amp; "&gt;"</f>
        <v>&lt;PointMassFlag&gt;0&lt;/PointMassFlag&gt;</v>
      </c>
      <c r="E1265" s="175"/>
      <c r="F1265" s="6" t="s">
        <v>856</v>
      </c>
      <c r="G1265" s="6"/>
      <c r="H1265" s="6"/>
      <c r="I1265" s="6"/>
      <c r="J1265" s="6"/>
      <c r="K1265" s="6"/>
      <c r="L1265" s="6"/>
      <c r="M1265" s="6"/>
      <c r="N1265" s="6"/>
      <c r="O1265" s="6"/>
      <c r="P1265" s="6"/>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c r="BU1265" s="6"/>
      <c r="BV1265" s="6"/>
      <c r="BW1265" s="6"/>
      <c r="BX1265" s="6"/>
      <c r="BY1265" s="6"/>
      <c r="BZ1265" s="6"/>
      <c r="CA1265" s="6"/>
      <c r="CB1265" s="6"/>
      <c r="CC1265" s="6"/>
      <c r="CD1265" s="6"/>
      <c r="CE1265" s="6"/>
      <c r="CF1265" s="6"/>
      <c r="CG1265" s="6"/>
      <c r="CH1265" s="6"/>
      <c r="CI1265" s="6"/>
      <c r="CJ1265" s="6"/>
      <c r="CK1265" s="6"/>
      <c r="CL1265" s="6"/>
      <c r="CM1265" s="6"/>
      <c r="CN1265" s="6"/>
      <c r="CO1265" s="6"/>
      <c r="CP1265" s="6"/>
      <c r="CQ1265" s="6"/>
      <c r="CR1265" s="6"/>
      <c r="CS1265" s="6"/>
      <c r="CT1265" s="6"/>
      <c r="CU1265" s="6"/>
      <c r="CV1265" s="6"/>
      <c r="CW1265" s="6"/>
      <c r="CX1265" s="6"/>
      <c r="CY1265" s="6"/>
      <c r="CZ1265" s="6"/>
      <c r="DA1265" s="6"/>
      <c r="DB1265" s="6"/>
      <c r="DC1265" s="6"/>
      <c r="DD1265" s="6"/>
    </row>
    <row r="1266" spans="1:108" ht="12.75" hidden="1" customHeight="1" outlineLevel="5">
      <c r="A1266" s="104" t="s">
        <v>224</v>
      </c>
      <c r="B1266" s="28">
        <v>1</v>
      </c>
      <c r="C1266" s="11"/>
      <c r="D1266" s="18" t="str">
        <f>"&lt;" &amp; A1266 &amp; "&gt;" &amp; TEXT(B1266,"0.000000") &amp; "&lt;/" &amp; A1266 &amp; "&gt;"</f>
        <v>&lt;PointMass&gt;1.000000&lt;/PointMass&gt;</v>
      </c>
      <c r="E1266" s="175"/>
      <c r="F1266" s="6" t="s">
        <v>857</v>
      </c>
      <c r="G1266" s="6"/>
      <c r="H1266" s="6"/>
      <c r="I1266" s="6"/>
      <c r="J1266" s="6"/>
      <c r="K1266" s="6"/>
      <c r="L1266" s="6"/>
      <c r="M1266" s="6"/>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c r="BU1266" s="6"/>
      <c r="BV1266" s="6"/>
      <c r="BW1266" s="6"/>
      <c r="BX1266" s="6"/>
      <c r="BY1266" s="6"/>
      <c r="BZ1266" s="6"/>
      <c r="CA1266" s="6"/>
      <c r="CB1266" s="6"/>
      <c r="CC1266" s="6"/>
      <c r="CD1266" s="6"/>
      <c r="CE1266" s="6"/>
      <c r="CF1266" s="6"/>
      <c r="CG1266" s="6"/>
      <c r="CH1266" s="6"/>
      <c r="CI1266" s="6"/>
      <c r="CJ1266" s="6"/>
      <c r="CK1266" s="6"/>
      <c r="CL1266" s="6"/>
      <c r="CM1266" s="6"/>
      <c r="CN1266" s="6"/>
      <c r="CO1266" s="6"/>
      <c r="CP1266" s="6"/>
      <c r="CQ1266" s="6"/>
      <c r="CR1266" s="6"/>
      <c r="CS1266" s="6"/>
      <c r="CT1266" s="6"/>
      <c r="CU1266" s="6"/>
      <c r="CV1266" s="6"/>
      <c r="CW1266" s="6"/>
      <c r="CX1266" s="6"/>
      <c r="CY1266" s="6"/>
      <c r="CZ1266" s="6"/>
      <c r="DA1266" s="6"/>
      <c r="DB1266" s="6"/>
      <c r="DC1266" s="6"/>
      <c r="DD1266" s="6"/>
    </row>
    <row r="1267" spans="1:108" ht="12.75" hidden="1" customHeight="1" outlineLevel="5">
      <c r="A1267" s="104" t="s">
        <v>225</v>
      </c>
      <c r="B1267" s="100"/>
      <c r="C1267" s="11"/>
      <c r="D1267" s="6" t="str">
        <f>"&lt;" &amp; A1267 &amp; "&gt;"</f>
        <v>&lt;/Blank_Parms&gt;</v>
      </c>
      <c r="E1267" s="175"/>
      <c r="F1267" s="6" t="s">
        <v>858</v>
      </c>
      <c r="G1267" s="6"/>
      <c r="H1267" s="6"/>
      <c r="I1267" s="6"/>
      <c r="J1267" s="6"/>
      <c r="K1267" s="6"/>
      <c r="L1267" s="6"/>
      <c r="M1267" s="6"/>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c r="BU1267" s="6"/>
      <c r="BV1267" s="6"/>
      <c r="BW1267" s="6"/>
      <c r="BX1267" s="6"/>
      <c r="BY1267" s="6"/>
      <c r="BZ1267" s="6"/>
      <c r="CA1267" s="6"/>
      <c r="CB1267" s="6"/>
      <c r="CC1267" s="6"/>
      <c r="CD1267" s="6"/>
      <c r="CE1267" s="6"/>
      <c r="CF1267" s="6"/>
      <c r="CG1267" s="6"/>
      <c r="CH1267" s="6"/>
      <c r="CI1267" s="6"/>
      <c r="CJ1267" s="6"/>
      <c r="CK1267" s="6"/>
      <c r="CL1267" s="6"/>
      <c r="CM1267" s="6"/>
      <c r="CN1267" s="6"/>
      <c r="CO1267" s="6"/>
      <c r="CP1267" s="6"/>
      <c r="CQ1267" s="6"/>
      <c r="CR1267" s="6"/>
      <c r="CS1267" s="6"/>
      <c r="CT1267" s="6"/>
      <c r="CU1267" s="6"/>
      <c r="CV1267" s="6"/>
      <c r="CW1267" s="6"/>
      <c r="CX1267" s="6"/>
      <c r="CY1267" s="6"/>
      <c r="CZ1267" s="6"/>
      <c r="DA1267" s="6"/>
      <c r="DB1267" s="6"/>
      <c r="DC1267" s="6"/>
      <c r="DD1267" s="6"/>
    </row>
    <row r="1268" spans="1:108" ht="12.75" hidden="1" customHeight="1" outlineLevel="4">
      <c r="A1268" s="104" t="s">
        <v>138</v>
      </c>
      <c r="B1268" s="100"/>
      <c r="C1268" s="11"/>
      <c r="D1268" s="6" t="str">
        <f>"&lt;" &amp; A1268 &amp; "&gt;"</f>
        <v>&lt;/Component&gt;</v>
      </c>
      <c r="E1268" s="175"/>
      <c r="F1268" s="6" t="s">
        <v>27</v>
      </c>
      <c r="G1268" s="6"/>
      <c r="H1268" s="6"/>
      <c r="I1268" s="6"/>
      <c r="J1268" s="6"/>
      <c r="K1268" s="6"/>
      <c r="L1268" s="6"/>
      <c r="M1268" s="6"/>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c r="BU1268" s="6"/>
      <c r="BV1268" s="6"/>
      <c r="BW1268" s="6"/>
      <c r="BX1268" s="6"/>
      <c r="BY1268" s="6"/>
      <c r="BZ1268" s="6"/>
      <c r="CA1268" s="6"/>
      <c r="CB1268" s="6"/>
      <c r="CC1268" s="6"/>
      <c r="CD1268" s="6"/>
      <c r="CE1268" s="6"/>
      <c r="CF1268" s="6"/>
      <c r="CG1268" s="6"/>
      <c r="CH1268" s="6"/>
      <c r="CI1268" s="6"/>
      <c r="CJ1268" s="6"/>
      <c r="CK1268" s="6"/>
      <c r="CL1268" s="6"/>
      <c r="CM1268" s="6"/>
      <c r="CN1268" s="6"/>
      <c r="CO1268" s="6"/>
      <c r="CP1268" s="6"/>
      <c r="CQ1268" s="6"/>
      <c r="CR1268" s="6"/>
      <c r="CS1268" s="6"/>
      <c r="CT1268" s="6"/>
      <c r="CU1268" s="6"/>
      <c r="CV1268" s="6"/>
      <c r="CW1268" s="6"/>
      <c r="CX1268" s="6"/>
      <c r="CY1268" s="6"/>
      <c r="CZ1268" s="6"/>
      <c r="DA1268" s="6"/>
      <c r="DB1268" s="6"/>
      <c r="DC1268" s="6"/>
      <c r="DD1268" s="6"/>
    </row>
    <row r="1269" spans="1:108" ht="12.75" hidden="1" customHeight="1" outlineLevel="3" collapsed="1">
      <c r="A1269" s="104" t="s">
        <v>40</v>
      </c>
      <c r="B1269" s="110" t="s">
        <v>541</v>
      </c>
      <c r="C1269" s="11"/>
      <c r="D1269" s="6" t="str">
        <f>"&lt;" &amp; A1269 &amp; "&gt;"</f>
        <v>&lt;Component&gt;</v>
      </c>
      <c r="E1269" s="175"/>
      <c r="F1269" s="6" t="s">
        <v>283</v>
      </c>
      <c r="G1269" s="6"/>
      <c r="H1269" s="6"/>
      <c r="I1269" s="6"/>
      <c r="J1269" s="6"/>
      <c r="K1269" s="6"/>
      <c r="L1269" s="6"/>
      <c r="M1269" s="6"/>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c r="BU1269" s="6"/>
      <c r="BV1269" s="6"/>
      <c r="BW1269" s="6"/>
      <c r="BX1269" s="6"/>
      <c r="BY1269" s="6"/>
      <c r="BZ1269" s="6"/>
      <c r="CA1269" s="6"/>
      <c r="CB1269" s="6"/>
      <c r="CC1269" s="6"/>
      <c r="CD1269" s="6"/>
      <c r="CE1269" s="6"/>
      <c r="CF1269" s="6"/>
      <c r="CG1269" s="6"/>
      <c r="CH1269" s="6"/>
      <c r="CI1269" s="6"/>
      <c r="CJ1269" s="6"/>
      <c r="CK1269" s="6"/>
      <c r="CL1269" s="6"/>
      <c r="CM1269" s="6"/>
      <c r="CN1269" s="6"/>
      <c r="CO1269" s="6"/>
      <c r="CP1269" s="6"/>
      <c r="CQ1269" s="6"/>
      <c r="CR1269" s="6"/>
      <c r="CS1269" s="6"/>
      <c r="CT1269" s="6"/>
      <c r="CU1269" s="6"/>
      <c r="CV1269" s="6"/>
      <c r="CW1269" s="6"/>
      <c r="CX1269" s="6"/>
      <c r="CY1269" s="6"/>
      <c r="CZ1269" s="6"/>
      <c r="DA1269" s="6"/>
      <c r="DB1269" s="6"/>
      <c r="DC1269" s="6"/>
      <c r="DD1269" s="6"/>
    </row>
    <row r="1270" spans="1:108" ht="12.75" hidden="1" customHeight="1" outlineLevel="4">
      <c r="A1270" s="104" t="s">
        <v>14</v>
      </c>
      <c r="B1270" s="100" t="s">
        <v>226</v>
      </c>
      <c r="C1270" s="11"/>
      <c r="D1270" s="18" t="str">
        <f>"&lt;" &amp; A1270 &amp; "&gt;" &amp; TEXT(B1270,"0.000000") &amp; "&lt;/" &amp; A1270 &amp; "&gt;"</f>
        <v>&lt;Type&gt;Engine&lt;/Type&gt;</v>
      </c>
      <c r="E1270" s="175"/>
      <c r="F1270" s="6" t="s">
        <v>859</v>
      </c>
      <c r="G1270" s="6"/>
      <c r="H1270" s="6"/>
      <c r="I1270" s="6"/>
      <c r="J1270" s="6"/>
      <c r="K1270" s="6"/>
      <c r="L1270" s="6"/>
      <c r="M1270" s="6"/>
      <c r="N1270" s="6"/>
      <c r="O1270" s="6"/>
      <c r="P1270" s="6"/>
      <c r="Q1270" s="6"/>
      <c r="R1270" s="6"/>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c r="BU1270" s="6"/>
      <c r="BV1270" s="6"/>
      <c r="BW1270" s="6"/>
      <c r="BX1270" s="6"/>
      <c r="BY1270" s="6"/>
      <c r="BZ1270" s="6"/>
      <c r="CA1270" s="6"/>
      <c r="CB1270" s="6"/>
      <c r="CC1270" s="6"/>
      <c r="CD1270" s="6"/>
      <c r="CE1270" s="6"/>
      <c r="CF1270" s="6"/>
      <c r="CG1270" s="6"/>
      <c r="CH1270" s="6"/>
      <c r="CI1270" s="6"/>
      <c r="CJ1270" s="6"/>
      <c r="CK1270" s="6"/>
      <c r="CL1270" s="6"/>
      <c r="CM1270" s="6"/>
      <c r="CN1270" s="6"/>
      <c r="CO1270" s="6"/>
      <c r="CP1270" s="6"/>
      <c r="CQ1270" s="6"/>
      <c r="CR1270" s="6"/>
      <c r="CS1270" s="6"/>
      <c r="CT1270" s="6"/>
      <c r="CU1270" s="6"/>
      <c r="CV1270" s="6"/>
      <c r="CW1270" s="6"/>
      <c r="CX1270" s="6"/>
      <c r="CY1270" s="6"/>
      <c r="CZ1270" s="6"/>
      <c r="DA1270" s="6"/>
      <c r="DB1270" s="6"/>
      <c r="DC1270" s="6"/>
      <c r="DD1270" s="6"/>
    </row>
    <row r="1271" spans="1:108" ht="12.75" hidden="1" customHeight="1" outlineLevel="4" collapsed="1">
      <c r="A1271" s="104" t="s">
        <v>42</v>
      </c>
      <c r="B1271" s="100"/>
      <c r="C1271" s="11"/>
      <c r="D1271" s="6" t="str">
        <f>"&lt;" &amp; A1271 &amp; "&gt;"</f>
        <v>&lt;General_Parms&gt;</v>
      </c>
      <c r="E1271" s="175"/>
      <c r="F1271" s="6" t="s">
        <v>622</v>
      </c>
      <c r="G1271" s="6"/>
      <c r="H1271" s="6"/>
      <c r="I1271" s="6"/>
      <c r="J1271" s="6"/>
      <c r="K1271" s="6"/>
      <c r="L1271" s="6"/>
      <c r="M1271" s="6"/>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c r="BU1271" s="6"/>
      <c r="BV1271" s="6"/>
      <c r="BW1271" s="6"/>
      <c r="BX1271" s="6"/>
      <c r="BY1271" s="6"/>
      <c r="BZ1271" s="6"/>
      <c r="CA1271" s="6"/>
      <c r="CB1271" s="6"/>
      <c r="CC1271" s="6"/>
      <c r="CD1271" s="6"/>
      <c r="CE1271" s="6"/>
      <c r="CF1271" s="6"/>
      <c r="CG1271" s="6"/>
      <c r="CH1271" s="6"/>
      <c r="CI1271" s="6"/>
      <c r="CJ1271" s="6"/>
      <c r="CK1271" s="6"/>
      <c r="CL1271" s="6"/>
      <c r="CM1271" s="6"/>
      <c r="CN1271" s="6"/>
      <c r="CO1271" s="6"/>
      <c r="CP1271" s="6"/>
      <c r="CQ1271" s="6"/>
      <c r="CR1271" s="6"/>
      <c r="CS1271" s="6"/>
      <c r="CT1271" s="6"/>
      <c r="CU1271" s="6"/>
      <c r="CV1271" s="6"/>
      <c r="CW1271" s="6"/>
      <c r="CX1271" s="6"/>
      <c r="CY1271" s="6"/>
      <c r="CZ1271" s="6"/>
      <c r="DA1271" s="6"/>
      <c r="DB1271" s="6"/>
      <c r="DC1271" s="6"/>
      <c r="DD1271" s="6"/>
    </row>
    <row r="1272" spans="1:108" ht="12.75" hidden="1" customHeight="1" outlineLevel="5">
      <c r="A1272" s="104" t="s">
        <v>1</v>
      </c>
      <c r="B1272" s="100" t="s">
        <v>227</v>
      </c>
      <c r="C1272" s="11"/>
      <c r="D1272" s="18" t="str">
        <f>"&lt;" &amp; A1272 &amp; "&gt;" &amp; TEXT(B1272,"0.000000") &amp; "&lt;/" &amp; A1272 &amp; "&gt;"</f>
        <v>&lt;Name&gt;core_section&lt;/Name&gt;</v>
      </c>
      <c r="E1272" s="175"/>
      <c r="F1272" s="6" t="s">
        <v>860</v>
      </c>
      <c r="G1272" s="6"/>
      <c r="H1272" s="6"/>
      <c r="I1272" s="6"/>
      <c r="J1272" s="6"/>
      <c r="K1272" s="6"/>
      <c r="L1272" s="6"/>
      <c r="M1272" s="6"/>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c r="BU1272" s="6"/>
      <c r="BV1272" s="6"/>
      <c r="BW1272" s="6"/>
      <c r="BX1272" s="6"/>
      <c r="BY1272" s="6"/>
      <c r="BZ1272" s="6"/>
      <c r="CA1272" s="6"/>
      <c r="CB1272" s="6"/>
      <c r="CC1272" s="6"/>
      <c r="CD1272" s="6"/>
      <c r="CE1272" s="6"/>
      <c r="CF1272" s="6"/>
      <c r="CG1272" s="6"/>
      <c r="CH1272" s="6"/>
      <c r="CI1272" s="6"/>
      <c r="CJ1272" s="6"/>
      <c r="CK1272" s="6"/>
      <c r="CL1272" s="6"/>
      <c r="CM1272" s="6"/>
      <c r="CN1272" s="6"/>
      <c r="CO1272" s="6"/>
      <c r="CP1272" s="6"/>
      <c r="CQ1272" s="6"/>
      <c r="CR1272" s="6"/>
      <c r="CS1272" s="6"/>
      <c r="CT1272" s="6"/>
      <c r="CU1272" s="6"/>
      <c r="CV1272" s="6"/>
      <c r="CW1272" s="6"/>
      <c r="CX1272" s="6"/>
      <c r="CY1272" s="6"/>
      <c r="CZ1272" s="6"/>
      <c r="DA1272" s="6"/>
      <c r="DB1272" s="6"/>
      <c r="DC1272" s="6"/>
      <c r="DD1272" s="6"/>
    </row>
    <row r="1273" spans="1:108" ht="12.75" hidden="1" customHeight="1" outlineLevel="5">
      <c r="A1273" s="104" t="s">
        <v>43</v>
      </c>
      <c r="B1273" s="6">
        <v>0</v>
      </c>
      <c r="C1273" s="11"/>
      <c r="D1273" s="18" t="str">
        <f>"&lt;" &amp; A1273 &amp; "&gt;" &amp; TEXT(B1273,"0.000000") &amp; "&lt;/" &amp; A1273 &amp; "&gt;"</f>
        <v>&lt;ColorR&gt;0.000000&lt;/ColorR&gt;</v>
      </c>
      <c r="E1273" s="175"/>
      <c r="F1273" s="6" t="s">
        <v>845</v>
      </c>
      <c r="G1273" s="6"/>
      <c r="H1273" s="6"/>
      <c r="I1273" s="6"/>
      <c r="J1273" s="6"/>
      <c r="K1273" s="6"/>
      <c r="L1273" s="6"/>
      <c r="M1273" s="6"/>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c r="BU1273" s="6"/>
      <c r="BV1273" s="6"/>
      <c r="BW1273" s="6"/>
      <c r="BX1273" s="6"/>
      <c r="BY1273" s="6"/>
      <c r="BZ1273" s="6"/>
      <c r="CA1273" s="6"/>
      <c r="CB1273" s="6"/>
      <c r="CC1273" s="6"/>
      <c r="CD1273" s="6"/>
      <c r="CE1273" s="6"/>
      <c r="CF1273" s="6"/>
      <c r="CG1273" s="6"/>
      <c r="CH1273" s="6"/>
      <c r="CI1273" s="6"/>
      <c r="CJ1273" s="6"/>
      <c r="CK1273" s="6"/>
      <c r="CL1273" s="6"/>
      <c r="CM1273" s="6"/>
      <c r="CN1273" s="6"/>
      <c r="CO1273" s="6"/>
      <c r="CP1273" s="6"/>
      <c r="CQ1273" s="6"/>
      <c r="CR1273" s="6"/>
      <c r="CS1273" s="6"/>
      <c r="CT1273" s="6"/>
      <c r="CU1273" s="6"/>
      <c r="CV1273" s="6"/>
      <c r="CW1273" s="6"/>
      <c r="CX1273" s="6"/>
      <c r="CY1273" s="6"/>
      <c r="CZ1273" s="6"/>
      <c r="DA1273" s="6"/>
      <c r="DB1273" s="6"/>
      <c r="DC1273" s="6"/>
      <c r="DD1273" s="6"/>
    </row>
    <row r="1274" spans="1:108" ht="12.75" hidden="1" customHeight="1" outlineLevel="5">
      <c r="A1274" s="104" t="s">
        <v>44</v>
      </c>
      <c r="B1274" s="6">
        <v>0</v>
      </c>
      <c r="C1274" s="11"/>
      <c r="D1274" s="18" t="str">
        <f>"&lt;" &amp; A1274 &amp; "&gt;" &amp; TEXT(B1274,"0.000000") &amp; "&lt;/" &amp; A1274 &amp; "&gt;"</f>
        <v>&lt;ColorG&gt;0.000000&lt;/ColorG&gt;</v>
      </c>
      <c r="E1274" s="175"/>
      <c r="F1274" s="6" t="s">
        <v>625</v>
      </c>
      <c r="G1274" s="6"/>
      <c r="H1274" s="6"/>
      <c r="I1274" s="6"/>
      <c r="J1274" s="6"/>
      <c r="K1274" s="6"/>
      <c r="L1274" s="6"/>
      <c r="M1274" s="6"/>
      <c r="N1274" s="6"/>
      <c r="O1274" s="6"/>
      <c r="P1274" s="6"/>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c r="BU1274" s="6"/>
      <c r="BV1274" s="6"/>
      <c r="BW1274" s="6"/>
      <c r="BX1274" s="6"/>
      <c r="BY1274" s="6"/>
      <c r="BZ1274" s="6"/>
      <c r="CA1274" s="6"/>
      <c r="CB1274" s="6"/>
      <c r="CC1274" s="6"/>
      <c r="CD1274" s="6"/>
      <c r="CE1274" s="6"/>
      <c r="CF1274" s="6"/>
      <c r="CG1274" s="6"/>
      <c r="CH1274" s="6"/>
      <c r="CI1274" s="6"/>
      <c r="CJ1274" s="6"/>
      <c r="CK1274" s="6"/>
      <c r="CL1274" s="6"/>
      <c r="CM1274" s="6"/>
      <c r="CN1274" s="6"/>
      <c r="CO1274" s="6"/>
      <c r="CP1274" s="6"/>
      <c r="CQ1274" s="6"/>
      <c r="CR1274" s="6"/>
      <c r="CS1274" s="6"/>
      <c r="CT1274" s="6"/>
      <c r="CU1274" s="6"/>
      <c r="CV1274" s="6"/>
      <c r="CW1274" s="6"/>
      <c r="CX1274" s="6"/>
      <c r="CY1274" s="6"/>
      <c r="CZ1274" s="6"/>
      <c r="DA1274" s="6"/>
      <c r="DB1274" s="6"/>
      <c r="DC1274" s="6"/>
      <c r="DD1274" s="6"/>
    </row>
    <row r="1275" spans="1:108" ht="12.75" hidden="1" customHeight="1" outlineLevel="5">
      <c r="A1275" s="104" t="s">
        <v>45</v>
      </c>
      <c r="B1275" s="6">
        <v>0</v>
      </c>
      <c r="C1275" s="11"/>
      <c r="D1275" s="18" t="str">
        <f>"&lt;" &amp; A1275 &amp; "&gt;" &amp; TEXT(B1275,"0.000000") &amp; "&lt;/" &amp; A1275 &amp; "&gt;"</f>
        <v>&lt;ColorB&gt;0.000000&lt;/ColorB&gt;</v>
      </c>
      <c r="E1275" s="175"/>
      <c r="F1275" s="6" t="s">
        <v>626</v>
      </c>
      <c r="G1275" s="6"/>
      <c r="H1275" s="6"/>
      <c r="I1275" s="6"/>
      <c r="J1275" s="6"/>
      <c r="K1275" s="6"/>
      <c r="L1275" s="6"/>
      <c r="M1275" s="6"/>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c r="BU1275" s="6"/>
      <c r="BV1275" s="6"/>
      <c r="BW1275" s="6"/>
      <c r="BX1275" s="6"/>
      <c r="BY1275" s="6"/>
      <c r="BZ1275" s="6"/>
      <c r="CA1275" s="6"/>
      <c r="CB1275" s="6"/>
      <c r="CC1275" s="6"/>
      <c r="CD1275" s="6"/>
      <c r="CE1275" s="6"/>
      <c r="CF1275" s="6"/>
      <c r="CG1275" s="6"/>
      <c r="CH1275" s="6"/>
      <c r="CI1275" s="6"/>
      <c r="CJ1275" s="6"/>
      <c r="CK1275" s="6"/>
      <c r="CL1275" s="6"/>
      <c r="CM1275" s="6"/>
      <c r="CN1275" s="6"/>
      <c r="CO1275" s="6"/>
      <c r="CP1275" s="6"/>
      <c r="CQ1275" s="6"/>
      <c r="CR1275" s="6"/>
      <c r="CS1275" s="6"/>
      <c r="CT1275" s="6"/>
      <c r="CU1275" s="6"/>
      <c r="CV1275" s="6"/>
      <c r="CW1275" s="6"/>
      <c r="CX1275" s="6"/>
      <c r="CY1275" s="6"/>
      <c r="CZ1275" s="6"/>
      <c r="DA1275" s="6"/>
      <c r="DB1275" s="6"/>
      <c r="DC1275" s="6"/>
      <c r="DD1275" s="6"/>
    </row>
    <row r="1276" spans="1:108" ht="12.75" hidden="1" customHeight="1" outlineLevel="5">
      <c r="A1276" s="104" t="s">
        <v>46</v>
      </c>
      <c r="B1276" s="28">
        <v>0</v>
      </c>
      <c r="C1276" s="11"/>
      <c r="D1276" s="18" t="str">
        <f t="shared" ref="D1276:D1285" si="74">"&lt;" &amp; A1276 &amp; "&gt;" &amp; TEXT(B1276,0) &amp; "&lt;/" &amp; A1276 &amp; "&gt;"</f>
        <v>&lt;Symmetry&gt;0&lt;/Symmetry&gt;</v>
      </c>
      <c r="E1276" s="175"/>
      <c r="F1276" s="6" t="s">
        <v>720</v>
      </c>
      <c r="G1276" s="6"/>
      <c r="H1276" s="6"/>
      <c r="I1276" s="6"/>
      <c r="J1276" s="6"/>
      <c r="K1276" s="6"/>
      <c r="L1276" s="6"/>
      <c r="M1276" s="6"/>
      <c r="N1276" s="6"/>
      <c r="O1276" s="6"/>
      <c r="P1276" s="6"/>
      <c r="Q1276" s="6"/>
      <c r="R1276" s="6"/>
      <c r="S1276" s="6"/>
      <c r="T1276" s="6"/>
      <c r="U1276" s="6"/>
      <c r="V1276" s="6"/>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c r="BU1276" s="6"/>
      <c r="BV1276" s="6"/>
      <c r="BW1276" s="6"/>
      <c r="BX1276" s="6"/>
      <c r="BY1276" s="6"/>
      <c r="BZ1276" s="6"/>
      <c r="CA1276" s="6"/>
      <c r="CB1276" s="6"/>
      <c r="CC1276" s="6"/>
      <c r="CD1276" s="6"/>
      <c r="CE1276" s="6"/>
      <c r="CF1276" s="6"/>
      <c r="CG1276" s="6"/>
      <c r="CH1276" s="6"/>
      <c r="CI1276" s="6"/>
      <c r="CJ1276" s="6"/>
      <c r="CK1276" s="6"/>
      <c r="CL1276" s="6"/>
      <c r="CM1276" s="6"/>
      <c r="CN1276" s="6"/>
      <c r="CO1276" s="6"/>
      <c r="CP1276" s="6"/>
      <c r="CQ1276" s="6"/>
      <c r="CR1276" s="6"/>
      <c r="CS1276" s="6"/>
      <c r="CT1276" s="6"/>
      <c r="CU1276" s="6"/>
      <c r="CV1276" s="6"/>
      <c r="CW1276" s="6"/>
      <c r="CX1276" s="6"/>
      <c r="CY1276" s="6"/>
      <c r="CZ1276" s="6"/>
      <c r="DA1276" s="6"/>
      <c r="DB1276" s="6"/>
      <c r="DC1276" s="6"/>
      <c r="DD1276" s="6"/>
    </row>
    <row r="1277" spans="1:108" ht="12.75" hidden="1" customHeight="1" outlineLevel="5">
      <c r="A1277" s="104" t="s">
        <v>47</v>
      </c>
      <c r="B1277" s="28">
        <v>0</v>
      </c>
      <c r="C1277" s="11"/>
      <c r="D1277" s="18" t="str">
        <f t="shared" si="74"/>
        <v>&lt;RelXFormFlag&gt;0&lt;/RelXFormFlag&gt;</v>
      </c>
      <c r="E1277" s="175"/>
      <c r="F1277" s="6" t="s">
        <v>628</v>
      </c>
      <c r="G1277" s="6"/>
      <c r="H1277" s="6"/>
      <c r="I1277" s="6"/>
      <c r="J1277" s="6"/>
      <c r="K1277" s="6"/>
      <c r="L1277" s="6"/>
      <c r="M1277" s="6"/>
      <c r="N1277" s="6"/>
      <c r="O1277" s="6"/>
      <c r="P1277" s="6"/>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c r="BU1277" s="6"/>
      <c r="BV1277" s="6"/>
      <c r="BW1277" s="6"/>
      <c r="BX1277" s="6"/>
      <c r="BY1277" s="6"/>
      <c r="BZ1277" s="6"/>
      <c r="CA1277" s="6"/>
      <c r="CB1277" s="6"/>
      <c r="CC1277" s="6"/>
      <c r="CD1277" s="6"/>
      <c r="CE1277" s="6"/>
      <c r="CF1277" s="6"/>
      <c r="CG1277" s="6"/>
      <c r="CH1277" s="6"/>
      <c r="CI1277" s="6"/>
      <c r="CJ1277" s="6"/>
      <c r="CK1277" s="6"/>
      <c r="CL1277" s="6"/>
      <c r="CM1277" s="6"/>
      <c r="CN1277" s="6"/>
      <c r="CO1277" s="6"/>
      <c r="CP1277" s="6"/>
      <c r="CQ1277" s="6"/>
      <c r="CR1277" s="6"/>
      <c r="CS1277" s="6"/>
      <c r="CT1277" s="6"/>
      <c r="CU1277" s="6"/>
      <c r="CV1277" s="6"/>
      <c r="CW1277" s="6"/>
      <c r="CX1277" s="6"/>
      <c r="CY1277" s="6"/>
      <c r="CZ1277" s="6"/>
      <c r="DA1277" s="6"/>
      <c r="DB1277" s="6"/>
      <c r="DC1277" s="6"/>
      <c r="DD1277" s="6"/>
    </row>
    <row r="1278" spans="1:108" ht="12.75" hidden="1" customHeight="1" outlineLevel="5">
      <c r="A1278" s="104" t="s">
        <v>48</v>
      </c>
      <c r="B1278" s="28">
        <v>2</v>
      </c>
      <c r="C1278" s="11"/>
      <c r="D1278" s="18" t="str">
        <f t="shared" si="74"/>
        <v>&lt;MaterialID&gt;2&lt;/MaterialID&gt;</v>
      </c>
      <c r="E1278" s="175"/>
      <c r="F1278" s="6" t="s">
        <v>861</v>
      </c>
      <c r="G1278" s="6"/>
      <c r="H1278" s="6"/>
      <c r="I1278" s="6"/>
      <c r="J1278" s="6"/>
      <c r="K1278" s="6"/>
      <c r="L1278" s="6"/>
      <c r="M1278" s="6"/>
      <c r="N1278" s="6"/>
      <c r="O1278" s="6"/>
      <c r="P1278" s="6"/>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c r="BU1278" s="6"/>
      <c r="BV1278" s="6"/>
      <c r="BW1278" s="6"/>
      <c r="BX1278" s="6"/>
      <c r="BY1278" s="6"/>
      <c r="BZ1278" s="6"/>
      <c r="CA1278" s="6"/>
      <c r="CB1278" s="6"/>
      <c r="CC1278" s="6"/>
      <c r="CD1278" s="6"/>
      <c r="CE1278" s="6"/>
      <c r="CF1278" s="6"/>
      <c r="CG1278" s="6"/>
      <c r="CH1278" s="6"/>
      <c r="CI1278" s="6"/>
      <c r="CJ1278" s="6"/>
      <c r="CK1278" s="6"/>
      <c r="CL1278" s="6"/>
      <c r="CM1278" s="6"/>
      <c r="CN1278" s="6"/>
      <c r="CO1278" s="6"/>
      <c r="CP1278" s="6"/>
      <c r="CQ1278" s="6"/>
      <c r="CR1278" s="6"/>
      <c r="CS1278" s="6"/>
      <c r="CT1278" s="6"/>
      <c r="CU1278" s="6"/>
      <c r="CV1278" s="6"/>
      <c r="CW1278" s="6"/>
      <c r="CX1278" s="6"/>
      <c r="CY1278" s="6"/>
      <c r="CZ1278" s="6"/>
      <c r="DA1278" s="6"/>
      <c r="DB1278" s="6"/>
      <c r="DC1278" s="6"/>
      <c r="DD1278" s="6"/>
    </row>
    <row r="1279" spans="1:108" ht="12.75" hidden="1" customHeight="1" outlineLevel="5">
      <c r="A1279" s="104" t="s">
        <v>49</v>
      </c>
      <c r="B1279" s="28">
        <v>1</v>
      </c>
      <c r="C1279" s="11"/>
      <c r="D1279" s="18" t="str">
        <f t="shared" si="74"/>
        <v>&lt;OutputFlag&gt;1&lt;/OutputFlag&gt;</v>
      </c>
      <c r="E1279" s="175"/>
      <c r="F1279" s="6" t="s">
        <v>630</v>
      </c>
      <c r="G1279" s="6"/>
      <c r="H1279" s="6"/>
      <c r="I1279" s="6"/>
      <c r="J1279" s="6"/>
      <c r="K1279" s="6"/>
      <c r="L1279" s="6"/>
      <c r="M1279" s="6"/>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c r="BU1279" s="6"/>
      <c r="BV1279" s="6"/>
      <c r="BW1279" s="6"/>
      <c r="BX1279" s="6"/>
      <c r="BY1279" s="6"/>
      <c r="BZ1279" s="6"/>
      <c r="CA1279" s="6"/>
      <c r="CB1279" s="6"/>
      <c r="CC1279" s="6"/>
      <c r="CD1279" s="6"/>
      <c r="CE1279" s="6"/>
      <c r="CF1279" s="6"/>
      <c r="CG1279" s="6"/>
      <c r="CH1279" s="6"/>
      <c r="CI1279" s="6"/>
      <c r="CJ1279" s="6"/>
      <c r="CK1279" s="6"/>
      <c r="CL1279" s="6"/>
      <c r="CM1279" s="6"/>
      <c r="CN1279" s="6"/>
      <c r="CO1279" s="6"/>
      <c r="CP1279" s="6"/>
      <c r="CQ1279" s="6"/>
      <c r="CR1279" s="6"/>
      <c r="CS1279" s="6"/>
      <c r="CT1279" s="6"/>
      <c r="CU1279" s="6"/>
      <c r="CV1279" s="6"/>
      <c r="CW1279" s="6"/>
      <c r="CX1279" s="6"/>
      <c r="CY1279" s="6"/>
      <c r="CZ1279" s="6"/>
      <c r="DA1279" s="6"/>
      <c r="DB1279" s="6"/>
      <c r="DC1279" s="6"/>
      <c r="DD1279" s="6"/>
    </row>
    <row r="1280" spans="1:108" ht="12.75" hidden="1" customHeight="1" outlineLevel="5">
      <c r="A1280" s="104" t="s">
        <v>50</v>
      </c>
      <c r="B1280" s="28">
        <v>0</v>
      </c>
      <c r="C1280" s="11"/>
      <c r="D1280" s="18" t="str">
        <f t="shared" si="74"/>
        <v>&lt;OutputNameID&gt;0&lt;/OutputNameID&gt;</v>
      </c>
      <c r="E1280" s="175"/>
      <c r="F1280" s="6" t="s">
        <v>631</v>
      </c>
      <c r="G1280" s="6"/>
      <c r="H1280" s="6"/>
      <c r="I1280" s="6"/>
      <c r="J1280" s="6"/>
      <c r="K1280" s="6"/>
      <c r="L1280" s="6"/>
      <c r="M1280" s="6"/>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c r="BU1280" s="6"/>
      <c r="BV1280" s="6"/>
      <c r="BW1280" s="6"/>
      <c r="BX1280" s="6"/>
      <c r="BY1280" s="6"/>
      <c r="BZ1280" s="6"/>
      <c r="CA1280" s="6"/>
      <c r="CB1280" s="6"/>
      <c r="CC1280" s="6"/>
      <c r="CD1280" s="6"/>
      <c r="CE1280" s="6"/>
      <c r="CF1280" s="6"/>
      <c r="CG1280" s="6"/>
      <c r="CH1280" s="6"/>
      <c r="CI1280" s="6"/>
      <c r="CJ1280" s="6"/>
      <c r="CK1280" s="6"/>
      <c r="CL1280" s="6"/>
      <c r="CM1280" s="6"/>
      <c r="CN1280" s="6"/>
      <c r="CO1280" s="6"/>
      <c r="CP1280" s="6"/>
      <c r="CQ1280" s="6"/>
      <c r="CR1280" s="6"/>
      <c r="CS1280" s="6"/>
      <c r="CT1280" s="6"/>
      <c r="CU1280" s="6"/>
      <c r="CV1280" s="6"/>
      <c r="CW1280" s="6"/>
      <c r="CX1280" s="6"/>
      <c r="CY1280" s="6"/>
      <c r="CZ1280" s="6"/>
      <c r="DA1280" s="6"/>
      <c r="DB1280" s="6"/>
      <c r="DC1280" s="6"/>
      <c r="DD1280" s="6"/>
    </row>
    <row r="1281" spans="1:108" ht="12.75" hidden="1" customHeight="1" outlineLevel="5">
      <c r="A1281" s="104" t="s">
        <v>51</v>
      </c>
      <c r="B1281" s="28">
        <v>1</v>
      </c>
      <c r="C1281" s="11"/>
      <c r="D1281" s="18" t="str">
        <f t="shared" si="74"/>
        <v>&lt;DisplayChildrenFlag&gt;1&lt;/DisplayChildrenFlag&gt;</v>
      </c>
      <c r="E1281" s="175"/>
      <c r="F1281" s="6" t="s">
        <v>632</v>
      </c>
      <c r="G1281" s="6"/>
      <c r="H1281" s="6"/>
      <c r="I1281" s="6"/>
      <c r="J1281" s="6"/>
      <c r="K1281" s="6"/>
      <c r="L1281" s="6"/>
      <c r="M1281" s="6"/>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c r="BU1281" s="6"/>
      <c r="BV1281" s="6"/>
      <c r="BW1281" s="6"/>
      <c r="BX1281" s="6"/>
      <c r="BY1281" s="6"/>
      <c r="BZ1281" s="6"/>
      <c r="CA1281" s="6"/>
      <c r="CB1281" s="6"/>
      <c r="CC1281" s="6"/>
      <c r="CD1281" s="6"/>
      <c r="CE1281" s="6"/>
      <c r="CF1281" s="6"/>
      <c r="CG1281" s="6"/>
      <c r="CH1281" s="6"/>
      <c r="CI1281" s="6"/>
      <c r="CJ1281" s="6"/>
      <c r="CK1281" s="6"/>
      <c r="CL1281" s="6"/>
      <c r="CM1281" s="6"/>
      <c r="CN1281" s="6"/>
      <c r="CO1281" s="6"/>
      <c r="CP1281" s="6"/>
      <c r="CQ1281" s="6"/>
      <c r="CR1281" s="6"/>
      <c r="CS1281" s="6"/>
      <c r="CT1281" s="6"/>
      <c r="CU1281" s="6"/>
      <c r="CV1281" s="6"/>
      <c r="CW1281" s="6"/>
      <c r="CX1281" s="6"/>
      <c r="CY1281" s="6"/>
      <c r="CZ1281" s="6"/>
      <c r="DA1281" s="6"/>
      <c r="DB1281" s="6"/>
      <c r="DC1281" s="6"/>
      <c r="DD1281" s="6"/>
    </row>
    <row r="1282" spans="1:108" ht="12.75" hidden="1" customHeight="1" outlineLevel="5">
      <c r="A1282" s="104" t="s">
        <v>52</v>
      </c>
      <c r="B1282" s="28">
        <v>21</v>
      </c>
      <c r="C1282" s="11"/>
      <c r="D1282" s="18" t="str">
        <f t="shared" si="74"/>
        <v>&lt;NumPnts&gt;21&lt;/NumPnts&gt;</v>
      </c>
      <c r="E1282" s="175"/>
      <c r="F1282" s="6" t="s">
        <v>633</v>
      </c>
      <c r="G1282" s="6"/>
      <c r="H1282" s="6"/>
      <c r="I1282" s="6"/>
      <c r="J1282" s="6"/>
      <c r="K1282" s="6"/>
      <c r="L1282" s="6"/>
      <c r="M1282" s="6"/>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c r="BU1282" s="6"/>
      <c r="BV1282" s="6"/>
      <c r="BW1282" s="6"/>
      <c r="BX1282" s="6"/>
      <c r="BY1282" s="6"/>
      <c r="BZ1282" s="6"/>
      <c r="CA1282" s="6"/>
      <c r="CB1282" s="6"/>
      <c r="CC1282" s="6"/>
      <c r="CD1282" s="6"/>
      <c r="CE1282" s="6"/>
      <c r="CF1282" s="6"/>
      <c r="CG1282" s="6"/>
      <c r="CH1282" s="6"/>
      <c r="CI1282" s="6"/>
      <c r="CJ1282" s="6"/>
      <c r="CK1282" s="6"/>
      <c r="CL1282" s="6"/>
      <c r="CM1282" s="6"/>
      <c r="CN1282" s="6"/>
      <c r="CO1282" s="6"/>
      <c r="CP1282" s="6"/>
      <c r="CQ1282" s="6"/>
      <c r="CR1282" s="6"/>
      <c r="CS1282" s="6"/>
      <c r="CT1282" s="6"/>
      <c r="CU1282" s="6"/>
      <c r="CV1282" s="6"/>
      <c r="CW1282" s="6"/>
      <c r="CX1282" s="6"/>
      <c r="CY1282" s="6"/>
      <c r="CZ1282" s="6"/>
      <c r="DA1282" s="6"/>
      <c r="DB1282" s="6"/>
      <c r="DC1282" s="6"/>
      <c r="DD1282" s="6"/>
    </row>
    <row r="1283" spans="1:108" ht="12.75" hidden="1" customHeight="1" outlineLevel="5">
      <c r="A1283" s="104" t="s">
        <v>53</v>
      </c>
      <c r="B1283" s="28">
        <v>11</v>
      </c>
      <c r="C1283" s="11"/>
      <c r="D1283" s="18" t="str">
        <f t="shared" si="74"/>
        <v>&lt;NumXsecs&gt;11&lt;/NumXsecs&gt;</v>
      </c>
      <c r="E1283" s="175"/>
      <c r="F1283" s="6" t="s">
        <v>732</v>
      </c>
      <c r="G1283" s="6"/>
      <c r="H1283" s="6"/>
      <c r="I1283" s="6"/>
      <c r="J1283" s="6"/>
      <c r="K1283" s="6"/>
      <c r="L1283" s="6"/>
      <c r="M1283" s="6"/>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c r="BU1283" s="6"/>
      <c r="BV1283" s="6"/>
      <c r="BW1283" s="6"/>
      <c r="BX1283" s="6"/>
      <c r="BY1283" s="6"/>
      <c r="BZ1283" s="6"/>
      <c r="CA1283" s="6"/>
      <c r="CB1283" s="6"/>
      <c r="CC1283" s="6"/>
      <c r="CD1283" s="6"/>
      <c r="CE1283" s="6"/>
      <c r="CF1283" s="6"/>
      <c r="CG1283" s="6"/>
      <c r="CH1283" s="6"/>
      <c r="CI1283" s="6"/>
      <c r="CJ1283" s="6"/>
      <c r="CK1283" s="6"/>
      <c r="CL1283" s="6"/>
      <c r="CM1283" s="6"/>
      <c r="CN1283" s="6"/>
      <c r="CO1283" s="6"/>
      <c r="CP1283" s="6"/>
      <c r="CQ1283" s="6"/>
      <c r="CR1283" s="6"/>
      <c r="CS1283" s="6"/>
      <c r="CT1283" s="6"/>
      <c r="CU1283" s="6"/>
      <c r="CV1283" s="6"/>
      <c r="CW1283" s="6"/>
      <c r="CX1283" s="6"/>
      <c r="CY1283" s="6"/>
      <c r="CZ1283" s="6"/>
      <c r="DA1283" s="6"/>
      <c r="DB1283" s="6"/>
      <c r="DC1283" s="6"/>
      <c r="DD1283" s="6"/>
    </row>
    <row r="1284" spans="1:108" ht="12.75" hidden="1" customHeight="1" outlineLevel="5">
      <c r="A1284" s="104" t="s">
        <v>54</v>
      </c>
      <c r="B1284" s="28">
        <v>0</v>
      </c>
      <c r="C1284" s="11"/>
      <c r="D1284" s="18" t="str">
        <f t="shared" si="74"/>
        <v>&lt;MassPrior&gt;0&lt;/MassPrior&gt;</v>
      </c>
      <c r="E1284" s="175"/>
      <c r="F1284" s="6" t="s">
        <v>635</v>
      </c>
      <c r="G1284" s="6"/>
      <c r="H1284" s="6"/>
      <c r="I1284" s="6"/>
      <c r="J1284" s="6"/>
      <c r="K1284" s="6"/>
      <c r="L1284" s="6"/>
      <c r="M1284" s="6"/>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c r="BU1284" s="6"/>
      <c r="BV1284" s="6"/>
      <c r="BW1284" s="6"/>
      <c r="BX1284" s="6"/>
      <c r="BY1284" s="6"/>
      <c r="BZ1284" s="6"/>
      <c r="CA1284" s="6"/>
      <c r="CB1284" s="6"/>
      <c r="CC1284" s="6"/>
      <c r="CD1284" s="6"/>
      <c r="CE1284" s="6"/>
      <c r="CF1284" s="6"/>
      <c r="CG1284" s="6"/>
      <c r="CH1284" s="6"/>
      <c r="CI1284" s="6"/>
      <c r="CJ1284" s="6"/>
      <c r="CK1284" s="6"/>
      <c r="CL1284" s="6"/>
      <c r="CM1284" s="6"/>
      <c r="CN1284" s="6"/>
      <c r="CO1284" s="6"/>
      <c r="CP1284" s="6"/>
      <c r="CQ1284" s="6"/>
      <c r="CR1284" s="6"/>
      <c r="CS1284" s="6"/>
      <c r="CT1284" s="6"/>
      <c r="CU1284" s="6"/>
      <c r="CV1284" s="6"/>
      <c r="CW1284" s="6"/>
      <c r="CX1284" s="6"/>
      <c r="CY1284" s="6"/>
      <c r="CZ1284" s="6"/>
      <c r="DA1284" s="6"/>
      <c r="DB1284" s="6"/>
      <c r="DC1284" s="6"/>
      <c r="DD1284" s="6"/>
    </row>
    <row r="1285" spans="1:108" ht="12.75" hidden="1" customHeight="1" outlineLevel="5">
      <c r="A1285" s="104" t="s">
        <v>55</v>
      </c>
      <c r="B1285" s="28">
        <v>0</v>
      </c>
      <c r="C1285" s="11"/>
      <c r="D1285" s="18" t="str">
        <f t="shared" si="74"/>
        <v>&lt;ShellFlag&gt;0&lt;/ShellFlag&gt;</v>
      </c>
      <c r="E1285" s="175"/>
      <c r="F1285" s="6" t="s">
        <v>636</v>
      </c>
      <c r="G1285" s="6"/>
      <c r="H1285" s="6"/>
      <c r="I1285" s="6"/>
      <c r="J1285" s="6"/>
      <c r="K1285" s="6"/>
      <c r="L1285" s="6"/>
      <c r="M1285" s="6"/>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c r="BU1285" s="6"/>
      <c r="BV1285" s="6"/>
      <c r="BW1285" s="6"/>
      <c r="BX1285" s="6"/>
      <c r="BY1285" s="6"/>
      <c r="BZ1285" s="6"/>
      <c r="CA1285" s="6"/>
      <c r="CB1285" s="6"/>
      <c r="CC1285" s="6"/>
      <c r="CD1285" s="6"/>
      <c r="CE1285" s="6"/>
      <c r="CF1285" s="6"/>
      <c r="CG1285" s="6"/>
      <c r="CH1285" s="6"/>
      <c r="CI1285" s="6"/>
      <c r="CJ1285" s="6"/>
      <c r="CK1285" s="6"/>
      <c r="CL1285" s="6"/>
      <c r="CM1285" s="6"/>
      <c r="CN1285" s="6"/>
      <c r="CO1285" s="6"/>
      <c r="CP1285" s="6"/>
      <c r="CQ1285" s="6"/>
      <c r="CR1285" s="6"/>
      <c r="CS1285" s="6"/>
      <c r="CT1285" s="6"/>
      <c r="CU1285" s="6"/>
      <c r="CV1285" s="6"/>
      <c r="CW1285" s="6"/>
      <c r="CX1285" s="6"/>
      <c r="CY1285" s="6"/>
      <c r="CZ1285" s="6"/>
      <c r="DA1285" s="6"/>
      <c r="DB1285" s="6"/>
      <c r="DC1285" s="6"/>
      <c r="DD1285" s="6"/>
    </row>
    <row r="1286" spans="1:108" ht="12.75" hidden="1" customHeight="1" outlineLevel="5">
      <c r="A1286" s="104" t="s">
        <v>56</v>
      </c>
      <c r="B1286" s="94">
        <f>IF(n_e=1, IF(Type_e = "Jet", c_r.V, 0), 0)</f>
        <v>0</v>
      </c>
      <c r="C1286" s="11"/>
      <c r="D1286" s="18" t="str">
        <f t="shared" ref="D1286:D1300" si="75">"&lt;" &amp; A1286 &amp; "&gt;" &amp; TEXT(B1286,"0.000000") &amp; "&lt;/" &amp; A1286 &amp; "&gt;"</f>
        <v>&lt;Tran_X&gt;0.000000&lt;/Tran_X&gt;</v>
      </c>
      <c r="E1286" s="175"/>
      <c r="F1286" s="6" t="s">
        <v>759</v>
      </c>
      <c r="G1286" s="6"/>
      <c r="H1286" s="6"/>
      <c r="I1286" s="6"/>
      <c r="J1286" s="6"/>
      <c r="K1286" s="6"/>
      <c r="L1286" s="6"/>
      <c r="M1286" s="6"/>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c r="BU1286" s="6"/>
      <c r="BV1286" s="6"/>
      <c r="BW1286" s="6"/>
      <c r="BX1286" s="6"/>
      <c r="BY1286" s="6"/>
      <c r="BZ1286" s="6"/>
      <c r="CA1286" s="6"/>
      <c r="CB1286" s="6"/>
      <c r="CC1286" s="6"/>
      <c r="CD1286" s="6"/>
      <c r="CE1286" s="6"/>
      <c r="CF1286" s="6"/>
      <c r="CG1286" s="6"/>
      <c r="CH1286" s="6"/>
      <c r="CI1286" s="6"/>
      <c r="CJ1286" s="6"/>
      <c r="CK1286" s="6"/>
      <c r="CL1286" s="6"/>
      <c r="CM1286" s="6"/>
      <c r="CN1286" s="6"/>
      <c r="CO1286" s="6"/>
      <c r="CP1286" s="6"/>
      <c r="CQ1286" s="6"/>
      <c r="CR1286" s="6"/>
      <c r="CS1286" s="6"/>
      <c r="CT1286" s="6"/>
      <c r="CU1286" s="6"/>
      <c r="CV1286" s="6"/>
      <c r="CW1286" s="6"/>
      <c r="CX1286" s="6"/>
      <c r="CY1286" s="6"/>
      <c r="CZ1286" s="6"/>
      <c r="DA1286" s="6"/>
      <c r="DB1286" s="6"/>
      <c r="DC1286" s="6"/>
      <c r="DD1286" s="6"/>
    </row>
    <row r="1287" spans="1:108" ht="12.75" hidden="1" customHeight="1" outlineLevel="5">
      <c r="A1287" s="104" t="s">
        <v>57</v>
      </c>
      <c r="B1287" s="18">
        <v>0</v>
      </c>
      <c r="C1287" s="11"/>
      <c r="D1287" s="18" t="str">
        <f t="shared" si="75"/>
        <v>&lt;Tran_Y&gt;0.000000&lt;/Tran_Y&gt;</v>
      </c>
      <c r="E1287" s="175"/>
      <c r="F1287" s="6" t="s">
        <v>638</v>
      </c>
      <c r="G1287" s="6"/>
      <c r="H1287" s="6"/>
      <c r="I1287" s="6"/>
      <c r="J1287" s="6"/>
      <c r="K1287" s="6"/>
      <c r="L1287" s="6"/>
      <c r="M1287" s="6"/>
      <c r="N1287" s="6"/>
      <c r="O1287" s="6"/>
      <c r="P1287" s="6"/>
      <c r="Q1287" s="6"/>
      <c r="R1287" s="6"/>
      <c r="S1287" s="6"/>
      <c r="T1287" s="6"/>
      <c r="U1287" s="6"/>
      <c r="V1287" s="6"/>
      <c r="W1287" s="6"/>
      <c r="X1287" s="6"/>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c r="BU1287" s="6"/>
      <c r="BV1287" s="6"/>
      <c r="BW1287" s="6"/>
      <c r="BX1287" s="6"/>
      <c r="BY1287" s="6"/>
      <c r="BZ1287" s="6"/>
      <c r="CA1287" s="6"/>
      <c r="CB1287" s="6"/>
      <c r="CC1287" s="6"/>
      <c r="CD1287" s="6"/>
      <c r="CE1287" s="6"/>
      <c r="CF1287" s="6"/>
      <c r="CG1287" s="6"/>
      <c r="CH1287" s="6"/>
      <c r="CI1287" s="6"/>
      <c r="CJ1287" s="6"/>
      <c r="CK1287" s="6"/>
      <c r="CL1287" s="6"/>
      <c r="CM1287" s="6"/>
      <c r="CN1287" s="6"/>
      <c r="CO1287" s="6"/>
      <c r="CP1287" s="6"/>
      <c r="CQ1287" s="6"/>
      <c r="CR1287" s="6"/>
      <c r="CS1287" s="6"/>
      <c r="CT1287" s="6"/>
      <c r="CU1287" s="6"/>
      <c r="CV1287" s="6"/>
      <c r="CW1287" s="6"/>
      <c r="CX1287" s="6"/>
      <c r="CY1287" s="6"/>
      <c r="CZ1287" s="6"/>
      <c r="DA1287" s="6"/>
      <c r="DB1287" s="6"/>
      <c r="DC1287" s="6"/>
      <c r="DD1287" s="6"/>
    </row>
    <row r="1288" spans="1:108" ht="12.75" hidden="1" customHeight="1" outlineLevel="5">
      <c r="A1288" s="104" t="s">
        <v>58</v>
      </c>
      <c r="B1288" s="18">
        <v>0</v>
      </c>
      <c r="C1288" s="11"/>
      <c r="D1288" s="18" t="str">
        <f t="shared" si="75"/>
        <v>&lt;Tran_Z&gt;0.000000&lt;/Tran_Z&gt;</v>
      </c>
      <c r="E1288" s="175"/>
      <c r="F1288" s="6" t="s">
        <v>760</v>
      </c>
      <c r="G1288" s="6"/>
      <c r="H1288" s="6"/>
      <c r="I1288" s="6"/>
      <c r="J1288" s="6"/>
      <c r="K1288" s="6"/>
      <c r="L1288" s="6"/>
      <c r="M1288" s="6"/>
      <c r="N1288" s="6"/>
      <c r="O1288" s="6"/>
      <c r="P1288" s="6"/>
      <c r="Q1288" s="6"/>
      <c r="R1288" s="6"/>
      <c r="S1288" s="6"/>
      <c r="T1288" s="6"/>
      <c r="U1288" s="6"/>
      <c r="V1288" s="6"/>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c r="BU1288" s="6"/>
      <c r="BV1288" s="6"/>
      <c r="BW1288" s="6"/>
      <c r="BX1288" s="6"/>
      <c r="BY1288" s="6"/>
      <c r="BZ1288" s="6"/>
      <c r="CA1288" s="6"/>
      <c r="CB1288" s="6"/>
      <c r="CC1288" s="6"/>
      <c r="CD1288" s="6"/>
      <c r="CE1288" s="6"/>
      <c r="CF1288" s="6"/>
      <c r="CG1288" s="6"/>
      <c r="CH1288" s="6"/>
      <c r="CI1288" s="6"/>
      <c r="CJ1288" s="6"/>
      <c r="CK1288" s="6"/>
      <c r="CL1288" s="6"/>
      <c r="CM1288" s="6"/>
      <c r="CN1288" s="6"/>
      <c r="CO1288" s="6"/>
      <c r="CP1288" s="6"/>
      <c r="CQ1288" s="6"/>
      <c r="CR1288" s="6"/>
      <c r="CS1288" s="6"/>
      <c r="CT1288" s="6"/>
      <c r="CU1288" s="6"/>
      <c r="CV1288" s="6"/>
      <c r="CW1288" s="6"/>
      <c r="CX1288" s="6"/>
      <c r="CY1288" s="6"/>
      <c r="CZ1288" s="6"/>
      <c r="DA1288" s="6"/>
      <c r="DB1288" s="6"/>
      <c r="DC1288" s="6"/>
      <c r="DD1288" s="6"/>
    </row>
    <row r="1289" spans="1:108" ht="12.75" hidden="1" customHeight="1" outlineLevel="5">
      <c r="A1289" s="104" t="s">
        <v>59</v>
      </c>
      <c r="B1289" s="6">
        <v>0</v>
      </c>
      <c r="C1289" s="11"/>
      <c r="D1289" s="18" t="str">
        <f t="shared" si="75"/>
        <v>&lt;TranRel_X&gt;0.000000&lt;/TranRel_X&gt;</v>
      </c>
      <c r="E1289" s="175"/>
      <c r="F1289" s="6" t="s">
        <v>639</v>
      </c>
      <c r="G1289" s="6"/>
      <c r="H1289" s="6"/>
      <c r="I1289" s="6"/>
      <c r="J1289" s="6"/>
      <c r="K1289" s="6"/>
      <c r="L1289" s="6"/>
      <c r="M1289" s="6"/>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c r="BU1289" s="6"/>
      <c r="BV1289" s="6"/>
      <c r="BW1289" s="6"/>
      <c r="BX1289" s="6"/>
      <c r="BY1289" s="6"/>
      <c r="BZ1289" s="6"/>
      <c r="CA1289" s="6"/>
      <c r="CB1289" s="6"/>
      <c r="CC1289" s="6"/>
      <c r="CD1289" s="6"/>
      <c r="CE1289" s="6"/>
      <c r="CF1289" s="6"/>
      <c r="CG1289" s="6"/>
      <c r="CH1289" s="6"/>
      <c r="CI1289" s="6"/>
      <c r="CJ1289" s="6"/>
      <c r="CK1289" s="6"/>
      <c r="CL1289" s="6"/>
      <c r="CM1289" s="6"/>
      <c r="CN1289" s="6"/>
      <c r="CO1289" s="6"/>
      <c r="CP1289" s="6"/>
      <c r="CQ1289" s="6"/>
      <c r="CR1289" s="6"/>
      <c r="CS1289" s="6"/>
      <c r="CT1289" s="6"/>
      <c r="CU1289" s="6"/>
      <c r="CV1289" s="6"/>
      <c r="CW1289" s="6"/>
      <c r="CX1289" s="6"/>
      <c r="CY1289" s="6"/>
      <c r="CZ1289" s="6"/>
      <c r="DA1289" s="6"/>
      <c r="DB1289" s="6"/>
      <c r="DC1289" s="6"/>
      <c r="DD1289" s="6"/>
    </row>
    <row r="1290" spans="1:108" ht="12.75" hidden="1" customHeight="1" outlineLevel="5">
      <c r="A1290" s="104" t="s">
        <v>60</v>
      </c>
      <c r="B1290" s="6">
        <v>0</v>
      </c>
      <c r="C1290" s="11"/>
      <c r="D1290" s="18" t="str">
        <f t="shared" si="75"/>
        <v>&lt;TranRel_Y&gt;0.000000&lt;/TranRel_Y&gt;</v>
      </c>
      <c r="E1290" s="175"/>
      <c r="F1290" s="6" t="s">
        <v>640</v>
      </c>
      <c r="G1290" s="6"/>
      <c r="H1290" s="6"/>
      <c r="I1290" s="6"/>
      <c r="J1290" s="6"/>
      <c r="K1290" s="6"/>
      <c r="L1290" s="6"/>
      <c r="M1290" s="6"/>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c r="BU1290" s="6"/>
      <c r="BV1290" s="6"/>
      <c r="BW1290" s="6"/>
      <c r="BX1290" s="6"/>
      <c r="BY1290" s="6"/>
      <c r="BZ1290" s="6"/>
      <c r="CA1290" s="6"/>
      <c r="CB1290" s="6"/>
      <c r="CC1290" s="6"/>
      <c r="CD1290" s="6"/>
      <c r="CE1290" s="6"/>
      <c r="CF1290" s="6"/>
      <c r="CG1290" s="6"/>
      <c r="CH1290" s="6"/>
      <c r="CI1290" s="6"/>
      <c r="CJ1290" s="6"/>
      <c r="CK1290" s="6"/>
      <c r="CL1290" s="6"/>
      <c r="CM1290" s="6"/>
      <c r="CN1290" s="6"/>
      <c r="CO1290" s="6"/>
      <c r="CP1290" s="6"/>
      <c r="CQ1290" s="6"/>
      <c r="CR1290" s="6"/>
      <c r="CS1290" s="6"/>
      <c r="CT1290" s="6"/>
      <c r="CU1290" s="6"/>
      <c r="CV1290" s="6"/>
      <c r="CW1290" s="6"/>
      <c r="CX1290" s="6"/>
      <c r="CY1290" s="6"/>
      <c r="CZ1290" s="6"/>
      <c r="DA1290" s="6"/>
      <c r="DB1290" s="6"/>
      <c r="DC1290" s="6"/>
      <c r="DD1290" s="6"/>
    </row>
    <row r="1291" spans="1:108" ht="12.75" hidden="1" customHeight="1" outlineLevel="5">
      <c r="A1291" s="104" t="s">
        <v>61</v>
      </c>
      <c r="B1291" s="6">
        <v>0</v>
      </c>
      <c r="C1291" s="11"/>
      <c r="D1291" s="18" t="str">
        <f t="shared" si="75"/>
        <v>&lt;TranRel_Z&gt;0.000000&lt;/TranRel_Z&gt;</v>
      </c>
      <c r="E1291" s="175"/>
      <c r="F1291" s="6" t="s">
        <v>641</v>
      </c>
      <c r="G1291" s="6"/>
      <c r="H1291" s="6"/>
      <c r="I1291" s="6"/>
      <c r="J1291" s="6"/>
      <c r="K1291" s="6"/>
      <c r="L1291" s="6"/>
      <c r="M1291" s="6"/>
      <c r="N1291" s="6"/>
      <c r="O1291" s="6"/>
      <c r="P1291" s="6"/>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c r="BU1291" s="6"/>
      <c r="BV1291" s="6"/>
      <c r="BW1291" s="6"/>
      <c r="BX1291" s="6"/>
      <c r="BY1291" s="6"/>
      <c r="BZ1291" s="6"/>
      <c r="CA1291" s="6"/>
      <c r="CB1291" s="6"/>
      <c r="CC1291" s="6"/>
      <c r="CD1291" s="6"/>
      <c r="CE1291" s="6"/>
      <c r="CF1291" s="6"/>
      <c r="CG1291" s="6"/>
      <c r="CH1291" s="6"/>
      <c r="CI1291" s="6"/>
      <c r="CJ1291" s="6"/>
      <c r="CK1291" s="6"/>
      <c r="CL1291" s="6"/>
      <c r="CM1291" s="6"/>
      <c r="CN1291" s="6"/>
      <c r="CO1291" s="6"/>
      <c r="CP1291" s="6"/>
      <c r="CQ1291" s="6"/>
      <c r="CR1291" s="6"/>
      <c r="CS1291" s="6"/>
      <c r="CT1291" s="6"/>
      <c r="CU1291" s="6"/>
      <c r="CV1291" s="6"/>
      <c r="CW1291" s="6"/>
      <c r="CX1291" s="6"/>
      <c r="CY1291" s="6"/>
      <c r="CZ1291" s="6"/>
      <c r="DA1291" s="6"/>
      <c r="DB1291" s="6"/>
      <c r="DC1291" s="6"/>
      <c r="DD1291" s="6"/>
    </row>
    <row r="1292" spans="1:108" ht="12.75" hidden="1" customHeight="1" outlineLevel="5">
      <c r="A1292" s="104" t="s">
        <v>62</v>
      </c>
      <c r="B1292" s="6">
        <v>0</v>
      </c>
      <c r="C1292" s="11"/>
      <c r="D1292" s="18" t="str">
        <f t="shared" si="75"/>
        <v>&lt;Rot_X&gt;0.000000&lt;/Rot_X&gt;</v>
      </c>
      <c r="E1292" s="175"/>
      <c r="F1292" s="6" t="s">
        <v>642</v>
      </c>
      <c r="G1292" s="6"/>
      <c r="H1292" s="6"/>
      <c r="I1292" s="6"/>
      <c r="J1292" s="6"/>
      <c r="K1292" s="6"/>
      <c r="L1292" s="6"/>
      <c r="M1292" s="6"/>
      <c r="N1292" s="6"/>
      <c r="O1292" s="6"/>
      <c r="P1292" s="6"/>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c r="BU1292" s="6"/>
      <c r="BV1292" s="6"/>
      <c r="BW1292" s="6"/>
      <c r="BX1292" s="6"/>
      <c r="BY1292" s="6"/>
      <c r="BZ1292" s="6"/>
      <c r="CA1292" s="6"/>
      <c r="CB1292" s="6"/>
      <c r="CC1292" s="6"/>
      <c r="CD1292" s="6"/>
      <c r="CE1292" s="6"/>
      <c r="CF1292" s="6"/>
      <c r="CG1292" s="6"/>
      <c r="CH1292" s="6"/>
      <c r="CI1292" s="6"/>
      <c r="CJ1292" s="6"/>
      <c r="CK1292" s="6"/>
      <c r="CL1292" s="6"/>
      <c r="CM1292" s="6"/>
      <c r="CN1292" s="6"/>
      <c r="CO1292" s="6"/>
      <c r="CP1292" s="6"/>
      <c r="CQ1292" s="6"/>
      <c r="CR1292" s="6"/>
      <c r="CS1292" s="6"/>
      <c r="CT1292" s="6"/>
      <c r="CU1292" s="6"/>
      <c r="CV1292" s="6"/>
      <c r="CW1292" s="6"/>
      <c r="CX1292" s="6"/>
      <c r="CY1292" s="6"/>
      <c r="CZ1292" s="6"/>
      <c r="DA1292" s="6"/>
      <c r="DB1292" s="6"/>
      <c r="DC1292" s="6"/>
      <c r="DD1292" s="6"/>
    </row>
    <row r="1293" spans="1:108" ht="12.75" hidden="1" customHeight="1" outlineLevel="5">
      <c r="A1293" s="104" t="s">
        <v>63</v>
      </c>
      <c r="B1293" s="6">
        <v>0</v>
      </c>
      <c r="C1293" s="11"/>
      <c r="D1293" s="18" t="str">
        <f t="shared" si="75"/>
        <v>&lt;Rot_Y&gt;0.000000&lt;/Rot_Y&gt;</v>
      </c>
      <c r="E1293" s="175"/>
      <c r="F1293" s="6" t="s">
        <v>643</v>
      </c>
      <c r="G1293" s="6"/>
      <c r="H1293" s="6"/>
      <c r="I1293" s="6"/>
      <c r="J1293" s="6"/>
      <c r="K1293" s="6"/>
      <c r="L1293" s="6"/>
      <c r="M1293" s="6"/>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c r="BU1293" s="6"/>
      <c r="BV1293" s="6"/>
      <c r="BW1293" s="6"/>
      <c r="BX1293" s="6"/>
      <c r="BY1293" s="6"/>
      <c r="BZ1293" s="6"/>
      <c r="CA1293" s="6"/>
      <c r="CB1293" s="6"/>
      <c r="CC1293" s="6"/>
      <c r="CD1293" s="6"/>
      <c r="CE1293" s="6"/>
      <c r="CF1293" s="6"/>
      <c r="CG1293" s="6"/>
      <c r="CH1293" s="6"/>
      <c r="CI1293" s="6"/>
      <c r="CJ1293" s="6"/>
      <c r="CK1293" s="6"/>
      <c r="CL1293" s="6"/>
      <c r="CM1293" s="6"/>
      <c r="CN1293" s="6"/>
      <c r="CO1293" s="6"/>
      <c r="CP1293" s="6"/>
      <c r="CQ1293" s="6"/>
      <c r="CR1293" s="6"/>
      <c r="CS1293" s="6"/>
      <c r="CT1293" s="6"/>
      <c r="CU1293" s="6"/>
      <c r="CV1293" s="6"/>
      <c r="CW1293" s="6"/>
      <c r="CX1293" s="6"/>
      <c r="CY1293" s="6"/>
      <c r="CZ1293" s="6"/>
      <c r="DA1293" s="6"/>
      <c r="DB1293" s="6"/>
      <c r="DC1293" s="6"/>
      <c r="DD1293" s="6"/>
    </row>
    <row r="1294" spans="1:108" ht="12.75" hidden="1" customHeight="1" outlineLevel="5">
      <c r="A1294" s="104" t="s">
        <v>64</v>
      </c>
      <c r="B1294" s="6">
        <v>0</v>
      </c>
      <c r="C1294" s="11"/>
      <c r="D1294" s="18" t="str">
        <f t="shared" si="75"/>
        <v>&lt;Rot_Z&gt;0.000000&lt;/Rot_Z&gt;</v>
      </c>
      <c r="E1294" s="175"/>
      <c r="F1294" s="6" t="s">
        <v>644</v>
      </c>
      <c r="G1294" s="6"/>
      <c r="H1294" s="6"/>
      <c r="I1294" s="6"/>
      <c r="J1294" s="6"/>
      <c r="K1294" s="6"/>
      <c r="L1294" s="6"/>
      <c r="M1294" s="6"/>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c r="BU1294" s="6"/>
      <c r="BV1294" s="6"/>
      <c r="BW1294" s="6"/>
      <c r="BX1294" s="6"/>
      <c r="BY1294" s="6"/>
      <c r="BZ1294" s="6"/>
      <c r="CA1294" s="6"/>
      <c r="CB1294" s="6"/>
      <c r="CC1294" s="6"/>
      <c r="CD1294" s="6"/>
      <c r="CE1294" s="6"/>
      <c r="CF1294" s="6"/>
      <c r="CG1294" s="6"/>
      <c r="CH1294" s="6"/>
      <c r="CI1294" s="6"/>
      <c r="CJ1294" s="6"/>
      <c r="CK1294" s="6"/>
      <c r="CL1294" s="6"/>
      <c r="CM1294" s="6"/>
      <c r="CN1294" s="6"/>
      <c r="CO1294" s="6"/>
      <c r="CP1294" s="6"/>
      <c r="CQ1294" s="6"/>
      <c r="CR1294" s="6"/>
      <c r="CS1294" s="6"/>
      <c r="CT1294" s="6"/>
      <c r="CU1294" s="6"/>
      <c r="CV1294" s="6"/>
      <c r="CW1294" s="6"/>
      <c r="CX1294" s="6"/>
      <c r="CY1294" s="6"/>
      <c r="CZ1294" s="6"/>
      <c r="DA1294" s="6"/>
      <c r="DB1294" s="6"/>
      <c r="DC1294" s="6"/>
      <c r="DD1294" s="6"/>
    </row>
    <row r="1295" spans="1:108" ht="12.75" hidden="1" customHeight="1" outlineLevel="5">
      <c r="A1295" s="104" t="s">
        <v>65</v>
      </c>
      <c r="B1295" s="6">
        <v>0</v>
      </c>
      <c r="C1295" s="11"/>
      <c r="D1295" s="18" t="str">
        <f t="shared" si="75"/>
        <v>&lt;RotRel_X&gt;0.000000&lt;/RotRel_X&gt;</v>
      </c>
      <c r="E1295" s="175"/>
      <c r="F1295" s="6" t="s">
        <v>645</v>
      </c>
      <c r="G1295" s="6"/>
      <c r="H1295" s="6"/>
      <c r="I1295" s="6"/>
      <c r="J1295" s="6"/>
      <c r="K1295" s="6"/>
      <c r="L1295" s="6"/>
      <c r="M1295" s="6"/>
      <c r="N1295" s="6"/>
      <c r="O1295" s="6"/>
      <c r="P1295" s="6"/>
      <c r="Q1295" s="6"/>
      <c r="R1295" s="6"/>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c r="BU1295" s="6"/>
      <c r="BV1295" s="6"/>
      <c r="BW1295" s="6"/>
      <c r="BX1295" s="6"/>
      <c r="BY1295" s="6"/>
      <c r="BZ1295" s="6"/>
      <c r="CA1295" s="6"/>
      <c r="CB1295" s="6"/>
      <c r="CC1295" s="6"/>
      <c r="CD1295" s="6"/>
      <c r="CE1295" s="6"/>
      <c r="CF1295" s="6"/>
      <c r="CG1295" s="6"/>
      <c r="CH1295" s="6"/>
      <c r="CI1295" s="6"/>
      <c r="CJ1295" s="6"/>
      <c r="CK1295" s="6"/>
      <c r="CL1295" s="6"/>
      <c r="CM1295" s="6"/>
      <c r="CN1295" s="6"/>
      <c r="CO1295" s="6"/>
      <c r="CP1295" s="6"/>
      <c r="CQ1295" s="6"/>
      <c r="CR1295" s="6"/>
      <c r="CS1295" s="6"/>
      <c r="CT1295" s="6"/>
      <c r="CU1295" s="6"/>
      <c r="CV1295" s="6"/>
      <c r="CW1295" s="6"/>
      <c r="CX1295" s="6"/>
      <c r="CY1295" s="6"/>
      <c r="CZ1295" s="6"/>
      <c r="DA1295" s="6"/>
      <c r="DB1295" s="6"/>
      <c r="DC1295" s="6"/>
      <c r="DD1295" s="6"/>
    </row>
    <row r="1296" spans="1:108" ht="12.75" hidden="1" customHeight="1" outlineLevel="5">
      <c r="A1296" s="104" t="s">
        <v>66</v>
      </c>
      <c r="B1296" s="6">
        <v>0</v>
      </c>
      <c r="C1296" s="11"/>
      <c r="D1296" s="18" t="str">
        <f t="shared" si="75"/>
        <v>&lt;RotRel_Y&gt;0.000000&lt;/RotRel_Y&gt;</v>
      </c>
      <c r="E1296" s="175"/>
      <c r="F1296" s="6" t="s">
        <v>646</v>
      </c>
      <c r="G1296" s="6"/>
      <c r="H1296" s="6"/>
      <c r="I1296" s="6"/>
      <c r="J1296" s="6"/>
      <c r="K1296" s="6"/>
      <c r="L1296" s="6"/>
      <c r="M1296" s="6"/>
      <c r="N1296" s="6"/>
      <c r="O1296" s="6"/>
      <c r="P1296" s="6"/>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c r="BU1296" s="6"/>
      <c r="BV1296" s="6"/>
      <c r="BW1296" s="6"/>
      <c r="BX1296" s="6"/>
      <c r="BY1296" s="6"/>
      <c r="BZ1296" s="6"/>
      <c r="CA1296" s="6"/>
      <c r="CB1296" s="6"/>
      <c r="CC1296" s="6"/>
      <c r="CD1296" s="6"/>
      <c r="CE1296" s="6"/>
      <c r="CF1296" s="6"/>
      <c r="CG1296" s="6"/>
      <c r="CH1296" s="6"/>
      <c r="CI1296" s="6"/>
      <c r="CJ1296" s="6"/>
      <c r="CK1296" s="6"/>
      <c r="CL1296" s="6"/>
      <c r="CM1296" s="6"/>
      <c r="CN1296" s="6"/>
      <c r="CO1296" s="6"/>
      <c r="CP1296" s="6"/>
      <c r="CQ1296" s="6"/>
      <c r="CR1296" s="6"/>
      <c r="CS1296" s="6"/>
      <c r="CT1296" s="6"/>
      <c r="CU1296" s="6"/>
      <c r="CV1296" s="6"/>
      <c r="CW1296" s="6"/>
      <c r="CX1296" s="6"/>
      <c r="CY1296" s="6"/>
      <c r="CZ1296" s="6"/>
      <c r="DA1296" s="6"/>
      <c r="DB1296" s="6"/>
      <c r="DC1296" s="6"/>
      <c r="DD1296" s="6"/>
    </row>
    <row r="1297" spans="1:108" ht="12.75" hidden="1" customHeight="1" outlineLevel="5">
      <c r="A1297" s="104" t="s">
        <v>67</v>
      </c>
      <c r="B1297" s="6">
        <v>0</v>
      </c>
      <c r="C1297" s="11"/>
      <c r="D1297" s="18" t="str">
        <f t="shared" si="75"/>
        <v>&lt;RotRel_Z&gt;0.000000&lt;/RotRel_Z&gt;</v>
      </c>
      <c r="E1297" s="175"/>
      <c r="F1297" s="6" t="s">
        <v>647</v>
      </c>
      <c r="G1297" s="6"/>
      <c r="H1297" s="6"/>
      <c r="I1297" s="6"/>
      <c r="J1297" s="6"/>
      <c r="K1297" s="6"/>
      <c r="L1297" s="6"/>
      <c r="M1297" s="6"/>
      <c r="N1297" s="6"/>
      <c r="O1297" s="6"/>
      <c r="P1297" s="6"/>
      <c r="Q1297" s="6"/>
      <c r="R1297" s="6"/>
      <c r="S1297" s="6"/>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c r="BU1297" s="6"/>
      <c r="BV1297" s="6"/>
      <c r="BW1297" s="6"/>
      <c r="BX1297" s="6"/>
      <c r="BY1297" s="6"/>
      <c r="BZ1297" s="6"/>
      <c r="CA1297" s="6"/>
      <c r="CB1297" s="6"/>
      <c r="CC1297" s="6"/>
      <c r="CD1297" s="6"/>
      <c r="CE1297" s="6"/>
      <c r="CF1297" s="6"/>
      <c r="CG1297" s="6"/>
      <c r="CH1297" s="6"/>
      <c r="CI1297" s="6"/>
      <c r="CJ1297" s="6"/>
      <c r="CK1297" s="6"/>
      <c r="CL1297" s="6"/>
      <c r="CM1297" s="6"/>
      <c r="CN1297" s="6"/>
      <c r="CO1297" s="6"/>
      <c r="CP1297" s="6"/>
      <c r="CQ1297" s="6"/>
      <c r="CR1297" s="6"/>
      <c r="CS1297" s="6"/>
      <c r="CT1297" s="6"/>
      <c r="CU1297" s="6"/>
      <c r="CV1297" s="6"/>
      <c r="CW1297" s="6"/>
      <c r="CX1297" s="6"/>
      <c r="CY1297" s="6"/>
      <c r="CZ1297" s="6"/>
      <c r="DA1297" s="6"/>
      <c r="DB1297" s="6"/>
      <c r="DC1297" s="6"/>
      <c r="DD1297" s="6"/>
    </row>
    <row r="1298" spans="1:108" ht="12.75" hidden="1" customHeight="1" outlineLevel="5">
      <c r="A1298" s="104" t="s">
        <v>68</v>
      </c>
      <c r="B1298" s="28">
        <v>0</v>
      </c>
      <c r="C1298" s="11"/>
      <c r="D1298" s="18" t="str">
        <f t="shared" si="75"/>
        <v>&lt;Origin&gt;0.000000&lt;/Origin&gt;</v>
      </c>
      <c r="E1298" s="175"/>
      <c r="F1298" s="6" t="s">
        <v>648</v>
      </c>
      <c r="G1298" s="6"/>
      <c r="H1298" s="6"/>
      <c r="I1298" s="6"/>
      <c r="J1298" s="6"/>
      <c r="K1298" s="6"/>
      <c r="L1298" s="6"/>
      <c r="M1298" s="6"/>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c r="BU1298" s="6"/>
      <c r="BV1298" s="6"/>
      <c r="BW1298" s="6"/>
      <c r="BX1298" s="6"/>
      <c r="BY1298" s="6"/>
      <c r="BZ1298" s="6"/>
      <c r="CA1298" s="6"/>
      <c r="CB1298" s="6"/>
      <c r="CC1298" s="6"/>
      <c r="CD1298" s="6"/>
      <c r="CE1298" s="6"/>
      <c r="CF1298" s="6"/>
      <c r="CG1298" s="6"/>
      <c r="CH1298" s="6"/>
      <c r="CI1298" s="6"/>
      <c r="CJ1298" s="6"/>
      <c r="CK1298" s="6"/>
      <c r="CL1298" s="6"/>
      <c r="CM1298" s="6"/>
      <c r="CN1298" s="6"/>
      <c r="CO1298" s="6"/>
      <c r="CP1298" s="6"/>
      <c r="CQ1298" s="6"/>
      <c r="CR1298" s="6"/>
      <c r="CS1298" s="6"/>
      <c r="CT1298" s="6"/>
      <c r="CU1298" s="6"/>
      <c r="CV1298" s="6"/>
      <c r="CW1298" s="6"/>
      <c r="CX1298" s="6"/>
      <c r="CY1298" s="6"/>
      <c r="CZ1298" s="6"/>
      <c r="DA1298" s="6"/>
      <c r="DB1298" s="6"/>
      <c r="DC1298" s="6"/>
      <c r="DD1298" s="6"/>
    </row>
    <row r="1299" spans="1:108" ht="12.75" hidden="1" customHeight="1" outlineLevel="5">
      <c r="A1299" s="104" t="s">
        <v>69</v>
      </c>
      <c r="B1299" s="28">
        <v>1</v>
      </c>
      <c r="C1299" s="11"/>
      <c r="D1299" s="18" t="str">
        <f t="shared" si="75"/>
        <v>&lt;Density&gt;1.000000&lt;/Density&gt;</v>
      </c>
      <c r="E1299" s="175"/>
      <c r="F1299" s="6" t="s">
        <v>649</v>
      </c>
      <c r="G1299" s="6"/>
      <c r="H1299" s="6"/>
      <c r="I1299" s="6"/>
      <c r="J1299" s="6"/>
      <c r="K1299" s="6"/>
      <c r="L1299" s="6"/>
      <c r="M1299" s="6"/>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c r="BU1299" s="6"/>
      <c r="BV1299" s="6"/>
      <c r="BW1299" s="6"/>
      <c r="BX1299" s="6"/>
      <c r="BY1299" s="6"/>
      <c r="BZ1299" s="6"/>
      <c r="CA1299" s="6"/>
      <c r="CB1299" s="6"/>
      <c r="CC1299" s="6"/>
      <c r="CD1299" s="6"/>
      <c r="CE1299" s="6"/>
      <c r="CF1299" s="6"/>
      <c r="CG1299" s="6"/>
      <c r="CH1299" s="6"/>
      <c r="CI1299" s="6"/>
      <c r="CJ1299" s="6"/>
      <c r="CK1299" s="6"/>
      <c r="CL1299" s="6"/>
      <c r="CM1299" s="6"/>
      <c r="CN1299" s="6"/>
      <c r="CO1299" s="6"/>
      <c r="CP1299" s="6"/>
      <c r="CQ1299" s="6"/>
      <c r="CR1299" s="6"/>
      <c r="CS1299" s="6"/>
      <c r="CT1299" s="6"/>
      <c r="CU1299" s="6"/>
      <c r="CV1299" s="6"/>
      <c r="CW1299" s="6"/>
      <c r="CX1299" s="6"/>
      <c r="CY1299" s="6"/>
      <c r="CZ1299" s="6"/>
      <c r="DA1299" s="6"/>
      <c r="DB1299" s="6"/>
      <c r="DC1299" s="6"/>
      <c r="DD1299" s="6"/>
    </row>
    <row r="1300" spans="1:108" ht="12.75" hidden="1" customHeight="1" outlineLevel="5">
      <c r="A1300" s="104" t="s">
        <v>70</v>
      </c>
      <c r="B1300" s="28">
        <v>1</v>
      </c>
      <c r="C1300" s="11"/>
      <c r="D1300" s="18" t="str">
        <f t="shared" si="75"/>
        <v>&lt;ShellMassArea&gt;1.000000&lt;/ShellMassArea&gt;</v>
      </c>
      <c r="E1300" s="175"/>
      <c r="F1300" s="6" t="s">
        <v>650</v>
      </c>
      <c r="G1300" s="6"/>
      <c r="H1300" s="6"/>
      <c r="I1300" s="6"/>
      <c r="J1300" s="6"/>
      <c r="K1300" s="6"/>
      <c r="L1300" s="6"/>
      <c r="M1300" s="6"/>
      <c r="N1300" s="6"/>
      <c r="O1300" s="6"/>
      <c r="P1300" s="6"/>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c r="BU1300" s="6"/>
      <c r="BV1300" s="6"/>
      <c r="BW1300" s="6"/>
      <c r="BX1300" s="6"/>
      <c r="BY1300" s="6"/>
      <c r="BZ1300" s="6"/>
      <c r="CA1300" s="6"/>
      <c r="CB1300" s="6"/>
      <c r="CC1300" s="6"/>
      <c r="CD1300" s="6"/>
      <c r="CE1300" s="6"/>
      <c r="CF1300" s="6"/>
      <c r="CG1300" s="6"/>
      <c r="CH1300" s="6"/>
      <c r="CI1300" s="6"/>
      <c r="CJ1300" s="6"/>
      <c r="CK1300" s="6"/>
      <c r="CL1300" s="6"/>
      <c r="CM1300" s="6"/>
      <c r="CN1300" s="6"/>
      <c r="CO1300" s="6"/>
      <c r="CP1300" s="6"/>
      <c r="CQ1300" s="6"/>
      <c r="CR1300" s="6"/>
      <c r="CS1300" s="6"/>
      <c r="CT1300" s="6"/>
      <c r="CU1300" s="6"/>
      <c r="CV1300" s="6"/>
      <c r="CW1300" s="6"/>
      <c r="CX1300" s="6"/>
      <c r="CY1300" s="6"/>
      <c r="CZ1300" s="6"/>
      <c r="DA1300" s="6"/>
      <c r="DB1300" s="6"/>
      <c r="DC1300" s="6"/>
      <c r="DD1300" s="6"/>
    </row>
    <row r="1301" spans="1:108" ht="12.75" hidden="1" customHeight="1" outlineLevel="5">
      <c r="A1301" s="104" t="s">
        <v>71</v>
      </c>
      <c r="B1301" s="28">
        <v>0</v>
      </c>
      <c r="C1301" s="11"/>
      <c r="D1301" s="18" t="str">
        <f>"&lt;" &amp; A1301 &amp; "&gt;" &amp; TEXT(B1301,0) &amp; "&lt;/" &amp; A1301 &amp; "&gt;"</f>
        <v>&lt;RefFlag&gt;0&lt;/RefFlag&gt;</v>
      </c>
      <c r="E1301" s="175"/>
      <c r="F1301" s="6" t="s">
        <v>651</v>
      </c>
      <c r="G1301" s="6"/>
      <c r="H1301" s="6"/>
      <c r="I1301" s="6"/>
      <c r="J1301" s="6"/>
      <c r="K1301" s="6"/>
      <c r="L1301" s="6"/>
      <c r="M1301" s="6"/>
      <c r="N1301" s="6"/>
      <c r="O1301" s="6"/>
      <c r="P1301" s="6"/>
      <c r="Q1301" s="6"/>
      <c r="R1301" s="6"/>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c r="BU1301" s="6"/>
      <c r="BV1301" s="6"/>
      <c r="BW1301" s="6"/>
      <c r="BX1301" s="6"/>
      <c r="BY1301" s="6"/>
      <c r="BZ1301" s="6"/>
      <c r="CA1301" s="6"/>
      <c r="CB1301" s="6"/>
      <c r="CC1301" s="6"/>
      <c r="CD1301" s="6"/>
      <c r="CE1301" s="6"/>
      <c r="CF1301" s="6"/>
      <c r="CG1301" s="6"/>
      <c r="CH1301" s="6"/>
      <c r="CI1301" s="6"/>
      <c r="CJ1301" s="6"/>
      <c r="CK1301" s="6"/>
      <c r="CL1301" s="6"/>
      <c r="CM1301" s="6"/>
      <c r="CN1301" s="6"/>
      <c r="CO1301" s="6"/>
      <c r="CP1301" s="6"/>
      <c r="CQ1301" s="6"/>
      <c r="CR1301" s="6"/>
      <c r="CS1301" s="6"/>
      <c r="CT1301" s="6"/>
      <c r="CU1301" s="6"/>
      <c r="CV1301" s="6"/>
      <c r="CW1301" s="6"/>
      <c r="CX1301" s="6"/>
      <c r="CY1301" s="6"/>
      <c r="CZ1301" s="6"/>
      <c r="DA1301" s="6"/>
      <c r="DB1301" s="6"/>
      <c r="DC1301" s="6"/>
      <c r="DD1301" s="6"/>
    </row>
    <row r="1302" spans="1:108" ht="12.75" hidden="1" customHeight="1" outlineLevel="5">
      <c r="A1302" s="104" t="s">
        <v>72</v>
      </c>
      <c r="B1302" s="28">
        <v>100</v>
      </c>
      <c r="C1302" s="11"/>
      <c r="D1302" s="18" t="str">
        <f>"&lt;" &amp; A1302 &amp; "&gt;" &amp; TEXT(B1302,"0.000000") &amp; "&lt;/" &amp; A1302 &amp; "&gt;"</f>
        <v>&lt;RefArea&gt;100.000000&lt;/RefArea&gt;</v>
      </c>
      <c r="E1302" s="175"/>
      <c r="F1302" s="6" t="s">
        <v>724</v>
      </c>
      <c r="G1302" s="6"/>
      <c r="H1302" s="6"/>
      <c r="I1302" s="6"/>
      <c r="J1302" s="6"/>
      <c r="K1302" s="6"/>
      <c r="L1302" s="6"/>
      <c r="M1302" s="6"/>
      <c r="N1302" s="6"/>
      <c r="O1302" s="6"/>
      <c r="P1302" s="6"/>
      <c r="Q1302" s="6"/>
      <c r="R1302" s="6"/>
      <c r="S1302" s="6"/>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c r="BU1302" s="6"/>
      <c r="BV1302" s="6"/>
      <c r="BW1302" s="6"/>
      <c r="BX1302" s="6"/>
      <c r="BY1302" s="6"/>
      <c r="BZ1302" s="6"/>
      <c r="CA1302" s="6"/>
      <c r="CB1302" s="6"/>
      <c r="CC1302" s="6"/>
      <c r="CD1302" s="6"/>
      <c r="CE1302" s="6"/>
      <c r="CF1302" s="6"/>
      <c r="CG1302" s="6"/>
      <c r="CH1302" s="6"/>
      <c r="CI1302" s="6"/>
      <c r="CJ1302" s="6"/>
      <c r="CK1302" s="6"/>
      <c r="CL1302" s="6"/>
      <c r="CM1302" s="6"/>
      <c r="CN1302" s="6"/>
      <c r="CO1302" s="6"/>
      <c r="CP1302" s="6"/>
      <c r="CQ1302" s="6"/>
      <c r="CR1302" s="6"/>
      <c r="CS1302" s="6"/>
      <c r="CT1302" s="6"/>
      <c r="CU1302" s="6"/>
      <c r="CV1302" s="6"/>
      <c r="CW1302" s="6"/>
      <c r="CX1302" s="6"/>
      <c r="CY1302" s="6"/>
      <c r="CZ1302" s="6"/>
      <c r="DA1302" s="6"/>
      <c r="DB1302" s="6"/>
      <c r="DC1302" s="6"/>
      <c r="DD1302" s="6"/>
    </row>
    <row r="1303" spans="1:108" ht="12.75" hidden="1" customHeight="1" outlineLevel="5">
      <c r="A1303" s="104" t="s">
        <v>73</v>
      </c>
      <c r="B1303" s="28">
        <v>10</v>
      </c>
      <c r="C1303" s="11"/>
      <c r="D1303" s="18" t="str">
        <f>"&lt;" &amp; A1303 &amp; "&gt;" &amp; TEXT(B1303,"0.000000") &amp; "&lt;/" &amp; A1303 &amp; "&gt;"</f>
        <v>&lt;RefSpan&gt;10.000000&lt;/RefSpan&gt;</v>
      </c>
      <c r="E1303" s="175"/>
      <c r="F1303" s="6" t="s">
        <v>653</v>
      </c>
      <c r="G1303" s="6"/>
      <c r="H1303" s="6"/>
      <c r="I1303" s="6"/>
      <c r="J1303" s="6"/>
      <c r="K1303" s="6"/>
      <c r="L1303" s="6"/>
      <c r="M1303" s="6"/>
      <c r="N1303" s="6"/>
      <c r="O1303" s="6"/>
      <c r="P1303" s="6"/>
      <c r="Q1303" s="6"/>
      <c r="R1303" s="6"/>
      <c r="S1303" s="6"/>
      <c r="T1303" s="6"/>
      <c r="U1303" s="6"/>
      <c r="V1303" s="6"/>
      <c r="W1303" s="6"/>
      <c r="X1303" s="6"/>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c r="BU1303" s="6"/>
      <c r="BV1303" s="6"/>
      <c r="BW1303" s="6"/>
      <c r="BX1303" s="6"/>
      <c r="BY1303" s="6"/>
      <c r="BZ1303" s="6"/>
      <c r="CA1303" s="6"/>
      <c r="CB1303" s="6"/>
      <c r="CC1303" s="6"/>
      <c r="CD1303" s="6"/>
      <c r="CE1303" s="6"/>
      <c r="CF1303" s="6"/>
      <c r="CG1303" s="6"/>
      <c r="CH1303" s="6"/>
      <c r="CI1303" s="6"/>
      <c r="CJ1303" s="6"/>
      <c r="CK1303" s="6"/>
      <c r="CL1303" s="6"/>
      <c r="CM1303" s="6"/>
      <c r="CN1303" s="6"/>
      <c r="CO1303" s="6"/>
      <c r="CP1303" s="6"/>
      <c r="CQ1303" s="6"/>
      <c r="CR1303" s="6"/>
      <c r="CS1303" s="6"/>
      <c r="CT1303" s="6"/>
      <c r="CU1303" s="6"/>
      <c r="CV1303" s="6"/>
      <c r="CW1303" s="6"/>
      <c r="CX1303" s="6"/>
      <c r="CY1303" s="6"/>
      <c r="CZ1303" s="6"/>
      <c r="DA1303" s="6"/>
      <c r="DB1303" s="6"/>
      <c r="DC1303" s="6"/>
      <c r="DD1303" s="6"/>
    </row>
    <row r="1304" spans="1:108" ht="12.75" hidden="1" customHeight="1" outlineLevel="5">
      <c r="A1304" s="104" t="s">
        <v>74</v>
      </c>
      <c r="B1304" s="28">
        <v>1</v>
      </c>
      <c r="C1304" s="11"/>
      <c r="D1304" s="18" t="str">
        <f>"&lt;" &amp; A1304 &amp; "&gt;" &amp; TEXT(B1304,"0.000000") &amp; "&lt;/" &amp; A1304 &amp; "&gt;"</f>
        <v>&lt;RefCbar&gt;1.000000&lt;/RefCbar&gt;</v>
      </c>
      <c r="E1304" s="175"/>
      <c r="F1304" s="6" t="s">
        <v>654</v>
      </c>
      <c r="G1304" s="6"/>
      <c r="H1304" s="6"/>
      <c r="I1304" s="6"/>
      <c r="J1304" s="6"/>
      <c r="K1304" s="6"/>
      <c r="L1304" s="6"/>
      <c r="M1304" s="6"/>
      <c r="N1304" s="6"/>
      <c r="O1304" s="6"/>
      <c r="P1304" s="6"/>
      <c r="Q1304" s="6"/>
      <c r="R1304" s="6"/>
      <c r="S1304" s="6"/>
      <c r="T1304" s="6"/>
      <c r="U1304" s="6"/>
      <c r="V1304" s="6"/>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c r="BU1304" s="6"/>
      <c r="BV1304" s="6"/>
      <c r="BW1304" s="6"/>
      <c r="BX1304" s="6"/>
      <c r="BY1304" s="6"/>
      <c r="BZ1304" s="6"/>
      <c r="CA1304" s="6"/>
      <c r="CB1304" s="6"/>
      <c r="CC1304" s="6"/>
      <c r="CD1304" s="6"/>
      <c r="CE1304" s="6"/>
      <c r="CF1304" s="6"/>
      <c r="CG1304" s="6"/>
      <c r="CH1304" s="6"/>
      <c r="CI1304" s="6"/>
      <c r="CJ1304" s="6"/>
      <c r="CK1304" s="6"/>
      <c r="CL1304" s="6"/>
      <c r="CM1304" s="6"/>
      <c r="CN1304" s="6"/>
      <c r="CO1304" s="6"/>
      <c r="CP1304" s="6"/>
      <c r="CQ1304" s="6"/>
      <c r="CR1304" s="6"/>
      <c r="CS1304" s="6"/>
      <c r="CT1304" s="6"/>
      <c r="CU1304" s="6"/>
      <c r="CV1304" s="6"/>
      <c r="CW1304" s="6"/>
      <c r="CX1304" s="6"/>
      <c r="CY1304" s="6"/>
      <c r="CZ1304" s="6"/>
      <c r="DA1304" s="6"/>
      <c r="DB1304" s="6"/>
      <c r="DC1304" s="6"/>
      <c r="DD1304" s="6"/>
    </row>
    <row r="1305" spans="1:108" ht="12.75" hidden="1" customHeight="1" outlineLevel="5">
      <c r="A1305" s="104" t="s">
        <v>75</v>
      </c>
      <c r="B1305" s="28">
        <v>1</v>
      </c>
      <c r="C1305" s="11"/>
      <c r="D1305" s="18" t="str">
        <f>"&lt;" &amp; A1305 &amp; "&gt;" &amp; TEXT(B1305,0) &amp; "&lt;/" &amp; A1305 &amp; "&gt;"</f>
        <v>&lt;AutoRefAreaFlag&gt;1&lt;/AutoRefAreaFlag&gt;</v>
      </c>
      <c r="E1305" s="175"/>
      <c r="F1305" s="6" t="s">
        <v>655</v>
      </c>
      <c r="G1305" s="6"/>
      <c r="H1305" s="6"/>
      <c r="I1305" s="6"/>
      <c r="J1305" s="6"/>
      <c r="K1305" s="6"/>
      <c r="L1305" s="6"/>
      <c r="M1305" s="6"/>
      <c r="N1305" s="6"/>
      <c r="O1305" s="6"/>
      <c r="P1305" s="6"/>
      <c r="Q1305" s="6"/>
      <c r="R1305" s="6"/>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c r="BU1305" s="6"/>
      <c r="BV1305" s="6"/>
      <c r="BW1305" s="6"/>
      <c r="BX1305" s="6"/>
      <c r="BY1305" s="6"/>
      <c r="BZ1305" s="6"/>
      <c r="CA1305" s="6"/>
      <c r="CB1305" s="6"/>
      <c r="CC1305" s="6"/>
      <c r="CD1305" s="6"/>
      <c r="CE1305" s="6"/>
      <c r="CF1305" s="6"/>
      <c r="CG1305" s="6"/>
      <c r="CH1305" s="6"/>
      <c r="CI1305" s="6"/>
      <c r="CJ1305" s="6"/>
      <c r="CK1305" s="6"/>
      <c r="CL1305" s="6"/>
      <c r="CM1305" s="6"/>
      <c r="CN1305" s="6"/>
      <c r="CO1305" s="6"/>
      <c r="CP1305" s="6"/>
      <c r="CQ1305" s="6"/>
      <c r="CR1305" s="6"/>
      <c r="CS1305" s="6"/>
      <c r="CT1305" s="6"/>
      <c r="CU1305" s="6"/>
      <c r="CV1305" s="6"/>
      <c r="CW1305" s="6"/>
      <c r="CX1305" s="6"/>
      <c r="CY1305" s="6"/>
      <c r="CZ1305" s="6"/>
      <c r="DA1305" s="6"/>
      <c r="DB1305" s="6"/>
      <c r="DC1305" s="6"/>
      <c r="DD1305" s="6"/>
    </row>
    <row r="1306" spans="1:108" ht="12.75" hidden="1" customHeight="1" outlineLevel="5">
      <c r="A1306" s="104" t="s">
        <v>76</v>
      </c>
      <c r="B1306" s="28">
        <v>1</v>
      </c>
      <c r="C1306" s="11"/>
      <c r="D1306" s="18" t="str">
        <f>"&lt;" &amp; A1306 &amp; "&gt;" &amp; TEXT(B1306,0) &amp; "&lt;/" &amp; A1306 &amp; "&gt;"</f>
        <v>&lt;AutoRefSpanFlag&gt;1&lt;/AutoRefSpanFlag&gt;</v>
      </c>
      <c r="E1306" s="175"/>
      <c r="F1306" s="6" t="s">
        <v>656</v>
      </c>
      <c r="G1306" s="6"/>
      <c r="H1306" s="6"/>
      <c r="I1306" s="6"/>
      <c r="J1306" s="6"/>
      <c r="K1306" s="6"/>
      <c r="L1306" s="6"/>
      <c r="M1306" s="6"/>
      <c r="N1306" s="6"/>
      <c r="O1306" s="6"/>
      <c r="P1306" s="6"/>
      <c r="Q1306" s="6"/>
      <c r="R1306" s="6"/>
      <c r="S1306" s="6"/>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c r="BU1306" s="6"/>
      <c r="BV1306" s="6"/>
      <c r="BW1306" s="6"/>
      <c r="BX1306" s="6"/>
      <c r="BY1306" s="6"/>
      <c r="BZ1306" s="6"/>
      <c r="CA1306" s="6"/>
      <c r="CB1306" s="6"/>
      <c r="CC1306" s="6"/>
      <c r="CD1306" s="6"/>
      <c r="CE1306" s="6"/>
      <c r="CF1306" s="6"/>
      <c r="CG1306" s="6"/>
      <c r="CH1306" s="6"/>
      <c r="CI1306" s="6"/>
      <c r="CJ1306" s="6"/>
      <c r="CK1306" s="6"/>
      <c r="CL1306" s="6"/>
      <c r="CM1306" s="6"/>
      <c r="CN1306" s="6"/>
      <c r="CO1306" s="6"/>
      <c r="CP1306" s="6"/>
      <c r="CQ1306" s="6"/>
      <c r="CR1306" s="6"/>
      <c r="CS1306" s="6"/>
      <c r="CT1306" s="6"/>
      <c r="CU1306" s="6"/>
      <c r="CV1306" s="6"/>
      <c r="CW1306" s="6"/>
      <c r="CX1306" s="6"/>
      <c r="CY1306" s="6"/>
      <c r="CZ1306" s="6"/>
      <c r="DA1306" s="6"/>
      <c r="DB1306" s="6"/>
      <c r="DC1306" s="6"/>
      <c r="DD1306" s="6"/>
    </row>
    <row r="1307" spans="1:108" ht="12.75" hidden="1" customHeight="1" outlineLevel="5">
      <c r="A1307" s="104" t="s">
        <v>77</v>
      </c>
      <c r="B1307" s="28">
        <v>1</v>
      </c>
      <c r="C1307" s="11"/>
      <c r="D1307" s="18" t="str">
        <f>"&lt;" &amp; A1307 &amp; "&gt;" &amp; TEXT(B1307,0) &amp; "&lt;/" &amp; A1307 &amp; "&gt;"</f>
        <v>&lt;AutoRefCbarFlag&gt;1&lt;/AutoRefCbarFlag&gt;</v>
      </c>
      <c r="E1307" s="175"/>
      <c r="F1307" s="6" t="s">
        <v>657</v>
      </c>
      <c r="G1307" s="6"/>
      <c r="H1307" s="6"/>
      <c r="I1307" s="6"/>
      <c r="J1307" s="6"/>
      <c r="K1307" s="6"/>
      <c r="L1307" s="6"/>
      <c r="M1307" s="6"/>
      <c r="N1307" s="6"/>
      <c r="O1307" s="6"/>
      <c r="P1307" s="6"/>
      <c r="Q1307" s="6"/>
      <c r="R1307" s="6"/>
      <c r="S1307" s="6"/>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c r="BU1307" s="6"/>
      <c r="BV1307" s="6"/>
      <c r="BW1307" s="6"/>
      <c r="BX1307" s="6"/>
      <c r="BY1307" s="6"/>
      <c r="BZ1307" s="6"/>
      <c r="CA1307" s="6"/>
      <c r="CB1307" s="6"/>
      <c r="CC1307" s="6"/>
      <c r="CD1307" s="6"/>
      <c r="CE1307" s="6"/>
      <c r="CF1307" s="6"/>
      <c r="CG1307" s="6"/>
      <c r="CH1307" s="6"/>
      <c r="CI1307" s="6"/>
      <c r="CJ1307" s="6"/>
      <c r="CK1307" s="6"/>
      <c r="CL1307" s="6"/>
      <c r="CM1307" s="6"/>
      <c r="CN1307" s="6"/>
      <c r="CO1307" s="6"/>
      <c r="CP1307" s="6"/>
      <c r="CQ1307" s="6"/>
      <c r="CR1307" s="6"/>
      <c r="CS1307" s="6"/>
      <c r="CT1307" s="6"/>
      <c r="CU1307" s="6"/>
      <c r="CV1307" s="6"/>
      <c r="CW1307" s="6"/>
      <c r="CX1307" s="6"/>
      <c r="CY1307" s="6"/>
      <c r="CZ1307" s="6"/>
      <c r="DA1307" s="6"/>
      <c r="DB1307" s="6"/>
      <c r="DC1307" s="6"/>
      <c r="DD1307" s="6"/>
    </row>
    <row r="1308" spans="1:108" ht="12.75" hidden="1" customHeight="1" outlineLevel="5">
      <c r="A1308" s="104" t="s">
        <v>78</v>
      </c>
      <c r="B1308" s="28">
        <v>0</v>
      </c>
      <c r="C1308" s="11"/>
      <c r="D1308" s="18" t="str">
        <f>"&lt;" &amp; A1308 &amp; "&gt;" &amp; TEXT(B1308,"0.000000") &amp; "&lt;/" &amp; A1308 &amp; "&gt;"</f>
        <v>&lt;AeroCenter_X&gt;0.000000&lt;/AeroCenter_X&gt;</v>
      </c>
      <c r="E1308" s="175"/>
      <c r="F1308" s="6" t="s">
        <v>658</v>
      </c>
      <c r="G1308" s="6"/>
      <c r="H1308" s="6"/>
      <c r="I1308" s="6"/>
      <c r="J1308" s="6"/>
      <c r="K1308" s="6"/>
      <c r="L1308" s="6"/>
      <c r="M1308" s="6"/>
      <c r="N1308" s="6"/>
      <c r="O1308" s="6"/>
      <c r="P1308" s="6"/>
      <c r="Q1308" s="6"/>
      <c r="R1308" s="6"/>
      <c r="S1308" s="6"/>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c r="BU1308" s="6"/>
      <c r="BV1308" s="6"/>
      <c r="BW1308" s="6"/>
      <c r="BX1308" s="6"/>
      <c r="BY1308" s="6"/>
      <c r="BZ1308" s="6"/>
      <c r="CA1308" s="6"/>
      <c r="CB1308" s="6"/>
      <c r="CC1308" s="6"/>
      <c r="CD1308" s="6"/>
      <c r="CE1308" s="6"/>
      <c r="CF1308" s="6"/>
      <c r="CG1308" s="6"/>
      <c r="CH1308" s="6"/>
      <c r="CI1308" s="6"/>
      <c r="CJ1308" s="6"/>
      <c r="CK1308" s="6"/>
      <c r="CL1308" s="6"/>
      <c r="CM1308" s="6"/>
      <c r="CN1308" s="6"/>
      <c r="CO1308" s="6"/>
      <c r="CP1308" s="6"/>
      <c r="CQ1308" s="6"/>
      <c r="CR1308" s="6"/>
      <c r="CS1308" s="6"/>
      <c r="CT1308" s="6"/>
      <c r="CU1308" s="6"/>
      <c r="CV1308" s="6"/>
      <c r="CW1308" s="6"/>
      <c r="CX1308" s="6"/>
      <c r="CY1308" s="6"/>
      <c r="CZ1308" s="6"/>
      <c r="DA1308" s="6"/>
      <c r="DB1308" s="6"/>
      <c r="DC1308" s="6"/>
      <c r="DD1308" s="6"/>
    </row>
    <row r="1309" spans="1:108" ht="12.75" hidden="1" customHeight="1" outlineLevel="5">
      <c r="A1309" s="104" t="s">
        <v>79</v>
      </c>
      <c r="B1309" s="28">
        <v>0</v>
      </c>
      <c r="C1309" s="11"/>
      <c r="D1309" s="18" t="str">
        <f>"&lt;" &amp; A1309 &amp; "&gt;" &amp; TEXT(B1309,"0.000000") &amp; "&lt;/" &amp; A1309 &amp; "&gt;"</f>
        <v>&lt;AeroCenter_Y&gt;0.000000&lt;/AeroCenter_Y&gt;</v>
      </c>
      <c r="E1309" s="175"/>
      <c r="F1309" s="6" t="s">
        <v>659</v>
      </c>
      <c r="G1309" s="6"/>
      <c r="H1309" s="6"/>
      <c r="I1309" s="6"/>
      <c r="J1309" s="6"/>
      <c r="K1309" s="6"/>
      <c r="L1309" s="6"/>
      <c r="M1309" s="6"/>
      <c r="N1309" s="6"/>
      <c r="O1309" s="6"/>
      <c r="P1309" s="6"/>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c r="BU1309" s="6"/>
      <c r="BV1309" s="6"/>
      <c r="BW1309" s="6"/>
      <c r="BX1309" s="6"/>
      <c r="BY1309" s="6"/>
      <c r="BZ1309" s="6"/>
      <c r="CA1309" s="6"/>
      <c r="CB1309" s="6"/>
      <c r="CC1309" s="6"/>
      <c r="CD1309" s="6"/>
      <c r="CE1309" s="6"/>
      <c r="CF1309" s="6"/>
      <c r="CG1309" s="6"/>
      <c r="CH1309" s="6"/>
      <c r="CI1309" s="6"/>
      <c r="CJ1309" s="6"/>
      <c r="CK1309" s="6"/>
      <c r="CL1309" s="6"/>
      <c r="CM1309" s="6"/>
      <c r="CN1309" s="6"/>
      <c r="CO1309" s="6"/>
      <c r="CP1309" s="6"/>
      <c r="CQ1309" s="6"/>
      <c r="CR1309" s="6"/>
      <c r="CS1309" s="6"/>
      <c r="CT1309" s="6"/>
      <c r="CU1309" s="6"/>
      <c r="CV1309" s="6"/>
      <c r="CW1309" s="6"/>
      <c r="CX1309" s="6"/>
      <c r="CY1309" s="6"/>
      <c r="CZ1309" s="6"/>
      <c r="DA1309" s="6"/>
      <c r="DB1309" s="6"/>
      <c r="DC1309" s="6"/>
      <c r="DD1309" s="6"/>
    </row>
    <row r="1310" spans="1:108" ht="12.75" hidden="1" customHeight="1" outlineLevel="5">
      <c r="A1310" s="104" t="s">
        <v>80</v>
      </c>
      <c r="B1310" s="28">
        <v>0</v>
      </c>
      <c r="C1310" s="11"/>
      <c r="D1310" s="18" t="str">
        <f>"&lt;" &amp; A1310 &amp; "&gt;" &amp; TEXT(B1310,"0.000000") &amp; "&lt;/" &amp; A1310 &amp; "&gt;"</f>
        <v>&lt;AeroCenter_Z&gt;0.000000&lt;/AeroCenter_Z&gt;</v>
      </c>
      <c r="E1310" s="175"/>
      <c r="F1310" s="6" t="s">
        <v>660</v>
      </c>
      <c r="G1310" s="6"/>
      <c r="H1310" s="6"/>
      <c r="I1310" s="6"/>
      <c r="J1310" s="6"/>
      <c r="K1310" s="6"/>
      <c r="L1310" s="6"/>
      <c r="M1310" s="6"/>
      <c r="N1310" s="6"/>
      <c r="O1310" s="6"/>
      <c r="P1310" s="6"/>
      <c r="Q1310" s="6"/>
      <c r="R1310" s="6"/>
      <c r="S1310" s="6"/>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c r="BU1310" s="6"/>
      <c r="BV1310" s="6"/>
      <c r="BW1310" s="6"/>
      <c r="BX1310" s="6"/>
      <c r="BY1310" s="6"/>
      <c r="BZ1310" s="6"/>
      <c r="CA1310" s="6"/>
      <c r="CB1310" s="6"/>
      <c r="CC1310" s="6"/>
      <c r="CD1310" s="6"/>
      <c r="CE1310" s="6"/>
      <c r="CF1310" s="6"/>
      <c r="CG1310" s="6"/>
      <c r="CH1310" s="6"/>
      <c r="CI1310" s="6"/>
      <c r="CJ1310" s="6"/>
      <c r="CK1310" s="6"/>
      <c r="CL1310" s="6"/>
      <c r="CM1310" s="6"/>
      <c r="CN1310" s="6"/>
      <c r="CO1310" s="6"/>
      <c r="CP1310" s="6"/>
      <c r="CQ1310" s="6"/>
      <c r="CR1310" s="6"/>
      <c r="CS1310" s="6"/>
      <c r="CT1310" s="6"/>
      <c r="CU1310" s="6"/>
      <c r="CV1310" s="6"/>
      <c r="CW1310" s="6"/>
      <c r="CX1310" s="6"/>
      <c r="CY1310" s="6"/>
      <c r="CZ1310" s="6"/>
      <c r="DA1310" s="6"/>
      <c r="DB1310" s="6"/>
      <c r="DC1310" s="6"/>
      <c r="DD1310" s="6"/>
    </row>
    <row r="1311" spans="1:108" ht="12.75" hidden="1" customHeight="1" outlineLevel="5">
      <c r="A1311" s="104" t="s">
        <v>81</v>
      </c>
      <c r="B1311" s="28">
        <v>1</v>
      </c>
      <c r="C1311" s="11"/>
      <c r="D1311" s="18" t="str">
        <f>"&lt;" &amp; A1311 &amp; "&gt;" &amp; TEXT(B1311,0) &amp; "&lt;/" &amp; A1311 &amp; "&gt;"</f>
        <v>&lt;AutoAeroCenterFlag&gt;1&lt;/AutoAeroCenterFlag&gt;</v>
      </c>
      <c r="E1311" s="175"/>
      <c r="F1311" s="6" t="s">
        <v>661</v>
      </c>
      <c r="G1311" s="6"/>
      <c r="H1311" s="6"/>
      <c r="I1311" s="6"/>
      <c r="J1311" s="6"/>
      <c r="K1311" s="6"/>
      <c r="L1311" s="6"/>
      <c r="M1311" s="6"/>
      <c r="N1311" s="6"/>
      <c r="O1311" s="6"/>
      <c r="P1311" s="6"/>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c r="BU1311" s="6"/>
      <c r="BV1311" s="6"/>
      <c r="BW1311" s="6"/>
      <c r="BX1311" s="6"/>
      <c r="BY1311" s="6"/>
      <c r="BZ1311" s="6"/>
      <c r="CA1311" s="6"/>
      <c r="CB1311" s="6"/>
      <c r="CC1311" s="6"/>
      <c r="CD1311" s="6"/>
      <c r="CE1311" s="6"/>
      <c r="CF1311" s="6"/>
      <c r="CG1311" s="6"/>
      <c r="CH1311" s="6"/>
      <c r="CI1311" s="6"/>
      <c r="CJ1311" s="6"/>
      <c r="CK1311" s="6"/>
      <c r="CL1311" s="6"/>
      <c r="CM1311" s="6"/>
      <c r="CN1311" s="6"/>
      <c r="CO1311" s="6"/>
      <c r="CP1311" s="6"/>
      <c r="CQ1311" s="6"/>
      <c r="CR1311" s="6"/>
      <c r="CS1311" s="6"/>
      <c r="CT1311" s="6"/>
      <c r="CU1311" s="6"/>
      <c r="CV1311" s="6"/>
      <c r="CW1311" s="6"/>
      <c r="CX1311" s="6"/>
      <c r="CY1311" s="6"/>
      <c r="CZ1311" s="6"/>
      <c r="DA1311" s="6"/>
      <c r="DB1311" s="6"/>
      <c r="DC1311" s="6"/>
      <c r="DD1311" s="6"/>
    </row>
    <row r="1312" spans="1:108" ht="12.75" hidden="1" customHeight="1" outlineLevel="5">
      <c r="A1312" s="104" t="s">
        <v>82</v>
      </c>
      <c r="B1312" s="28">
        <v>0</v>
      </c>
      <c r="C1312" s="11"/>
      <c r="D1312" s="18" t="str">
        <f>"&lt;" &amp; A1312 &amp; "&gt;" &amp; TEXT(B1312,0) &amp; "&lt;/" &amp; A1312 &amp; "&gt;"</f>
        <v>&lt;WakeActiveFlag&gt;0&lt;/WakeActiveFlag&gt;</v>
      </c>
      <c r="E1312" s="175"/>
      <c r="F1312" s="6" t="s">
        <v>662</v>
      </c>
      <c r="G1312" s="6"/>
      <c r="H1312" s="6"/>
      <c r="I1312" s="6"/>
      <c r="J1312" s="6"/>
      <c r="K1312" s="6"/>
      <c r="L1312" s="6"/>
      <c r="M1312" s="6"/>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c r="BU1312" s="6"/>
      <c r="BV1312" s="6"/>
      <c r="BW1312" s="6"/>
      <c r="BX1312" s="6"/>
      <c r="BY1312" s="6"/>
      <c r="BZ1312" s="6"/>
      <c r="CA1312" s="6"/>
      <c r="CB1312" s="6"/>
      <c r="CC1312" s="6"/>
      <c r="CD1312" s="6"/>
      <c r="CE1312" s="6"/>
      <c r="CF1312" s="6"/>
      <c r="CG1312" s="6"/>
      <c r="CH1312" s="6"/>
      <c r="CI1312" s="6"/>
      <c r="CJ1312" s="6"/>
      <c r="CK1312" s="6"/>
      <c r="CL1312" s="6"/>
      <c r="CM1312" s="6"/>
      <c r="CN1312" s="6"/>
      <c r="CO1312" s="6"/>
      <c r="CP1312" s="6"/>
      <c r="CQ1312" s="6"/>
      <c r="CR1312" s="6"/>
      <c r="CS1312" s="6"/>
      <c r="CT1312" s="6"/>
      <c r="CU1312" s="6"/>
      <c r="CV1312" s="6"/>
      <c r="CW1312" s="6"/>
      <c r="CX1312" s="6"/>
      <c r="CY1312" s="6"/>
      <c r="CZ1312" s="6"/>
      <c r="DA1312" s="6"/>
      <c r="DB1312" s="6"/>
      <c r="DC1312" s="6"/>
      <c r="DD1312" s="6"/>
    </row>
    <row r="1313" spans="1:108" ht="12.75" hidden="1" customHeight="1" outlineLevel="5">
      <c r="A1313" s="104" t="s">
        <v>83</v>
      </c>
      <c r="B1313" s="28">
        <v>3</v>
      </c>
      <c r="C1313" s="11"/>
      <c r="D1313" s="18" t="str">
        <f>"&lt;" &amp; A1313 &amp; "&gt;" &amp; TEXT(B1313,0) &amp; "&lt;/" &amp; A1313 &amp; "&gt;"</f>
        <v>&lt;PosAttachFlag&gt;3&lt;/PosAttachFlag&gt;</v>
      </c>
      <c r="E1313" s="175"/>
      <c r="F1313" s="6" t="s">
        <v>862</v>
      </c>
      <c r="G1313" s="6"/>
      <c r="H1313" s="6"/>
      <c r="I1313" s="6"/>
      <c r="J1313" s="6"/>
      <c r="K1313" s="6"/>
      <c r="L1313" s="6"/>
      <c r="M1313" s="6"/>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c r="BU1313" s="6"/>
      <c r="BV1313" s="6"/>
      <c r="BW1313" s="6"/>
      <c r="BX1313" s="6"/>
      <c r="BY1313" s="6"/>
      <c r="BZ1313" s="6"/>
      <c r="CA1313" s="6"/>
      <c r="CB1313" s="6"/>
      <c r="CC1313" s="6"/>
      <c r="CD1313" s="6"/>
      <c r="CE1313" s="6"/>
      <c r="CF1313" s="6"/>
      <c r="CG1313" s="6"/>
      <c r="CH1313" s="6"/>
      <c r="CI1313" s="6"/>
      <c r="CJ1313" s="6"/>
      <c r="CK1313" s="6"/>
      <c r="CL1313" s="6"/>
      <c r="CM1313" s="6"/>
      <c r="CN1313" s="6"/>
      <c r="CO1313" s="6"/>
      <c r="CP1313" s="6"/>
      <c r="CQ1313" s="6"/>
      <c r="CR1313" s="6"/>
      <c r="CS1313" s="6"/>
      <c r="CT1313" s="6"/>
      <c r="CU1313" s="6"/>
      <c r="CV1313" s="6"/>
      <c r="CW1313" s="6"/>
      <c r="CX1313" s="6"/>
      <c r="CY1313" s="6"/>
      <c r="CZ1313" s="6"/>
      <c r="DA1313" s="6"/>
      <c r="DB1313" s="6"/>
      <c r="DC1313" s="6"/>
      <c r="DD1313" s="6"/>
    </row>
    <row r="1314" spans="1:108" ht="12.75" hidden="1" customHeight="1" outlineLevel="5">
      <c r="A1314" s="104" t="s">
        <v>84</v>
      </c>
      <c r="B1314" s="28">
        <v>0</v>
      </c>
      <c r="C1314" s="11"/>
      <c r="D1314" s="18" t="str">
        <f>"&lt;" &amp; A1314 &amp; "&gt;" &amp; TEXT(B1314,"0.000000") &amp; "&lt;/" &amp; A1314 &amp; "&gt;"</f>
        <v>&lt;U_Attach&gt;0.000000&lt;/U_Attach&gt;</v>
      </c>
      <c r="E1314" s="175"/>
      <c r="F1314" s="6" t="s">
        <v>664</v>
      </c>
      <c r="G1314" s="6"/>
      <c r="H1314" s="6"/>
      <c r="I1314" s="6"/>
      <c r="J1314" s="6"/>
      <c r="K1314" s="6"/>
      <c r="L1314" s="6"/>
      <c r="M1314" s="6"/>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c r="BU1314" s="6"/>
      <c r="BV1314" s="6"/>
      <c r="BW1314" s="6"/>
      <c r="BX1314" s="6"/>
      <c r="BY1314" s="6"/>
      <c r="BZ1314" s="6"/>
      <c r="CA1314" s="6"/>
      <c r="CB1314" s="6"/>
      <c r="CC1314" s="6"/>
      <c r="CD1314" s="6"/>
      <c r="CE1314" s="6"/>
      <c r="CF1314" s="6"/>
      <c r="CG1314" s="6"/>
      <c r="CH1314" s="6"/>
      <c r="CI1314" s="6"/>
      <c r="CJ1314" s="6"/>
      <c r="CK1314" s="6"/>
      <c r="CL1314" s="6"/>
      <c r="CM1314" s="6"/>
      <c r="CN1314" s="6"/>
      <c r="CO1314" s="6"/>
      <c r="CP1314" s="6"/>
      <c r="CQ1314" s="6"/>
      <c r="CR1314" s="6"/>
      <c r="CS1314" s="6"/>
      <c r="CT1314" s="6"/>
      <c r="CU1314" s="6"/>
      <c r="CV1314" s="6"/>
      <c r="CW1314" s="6"/>
      <c r="CX1314" s="6"/>
      <c r="CY1314" s="6"/>
      <c r="CZ1314" s="6"/>
      <c r="DA1314" s="6"/>
      <c r="DB1314" s="6"/>
      <c r="DC1314" s="6"/>
      <c r="DD1314" s="6"/>
    </row>
    <row r="1315" spans="1:108" ht="12.75" hidden="1" customHeight="1" outlineLevel="5">
      <c r="A1315" s="104" t="s">
        <v>85</v>
      </c>
      <c r="B1315" s="28">
        <v>0</v>
      </c>
      <c r="C1315" s="11"/>
      <c r="D1315" s="18" t="str">
        <f>"&lt;" &amp; A1315 &amp; "&gt;" &amp; TEXT(B1315,"0.000000") &amp; "&lt;/" &amp; A1315 &amp; "&gt;"</f>
        <v>&lt;V_Attach&gt;0.000000&lt;/V_Attach&gt;</v>
      </c>
      <c r="E1315" s="175"/>
      <c r="F1315" s="6" t="s">
        <v>665</v>
      </c>
      <c r="G1315" s="6"/>
      <c r="H1315" s="6"/>
      <c r="I1315" s="6"/>
      <c r="J1315" s="6"/>
      <c r="K1315" s="6"/>
      <c r="L1315" s="6"/>
      <c r="M1315" s="6"/>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c r="BU1315" s="6"/>
      <c r="BV1315" s="6"/>
      <c r="BW1315" s="6"/>
      <c r="BX1315" s="6"/>
      <c r="BY1315" s="6"/>
      <c r="BZ1315" s="6"/>
      <c r="CA1315" s="6"/>
      <c r="CB1315" s="6"/>
      <c r="CC1315" s="6"/>
      <c r="CD1315" s="6"/>
      <c r="CE1315" s="6"/>
      <c r="CF1315" s="6"/>
      <c r="CG1315" s="6"/>
      <c r="CH1315" s="6"/>
      <c r="CI1315" s="6"/>
      <c r="CJ1315" s="6"/>
      <c r="CK1315" s="6"/>
      <c r="CL1315" s="6"/>
      <c r="CM1315" s="6"/>
      <c r="CN1315" s="6"/>
      <c r="CO1315" s="6"/>
      <c r="CP1315" s="6"/>
      <c r="CQ1315" s="6"/>
      <c r="CR1315" s="6"/>
      <c r="CS1315" s="6"/>
      <c r="CT1315" s="6"/>
      <c r="CU1315" s="6"/>
      <c r="CV1315" s="6"/>
      <c r="CW1315" s="6"/>
      <c r="CX1315" s="6"/>
      <c r="CY1315" s="6"/>
      <c r="CZ1315" s="6"/>
      <c r="DA1315" s="6"/>
      <c r="DB1315" s="6"/>
      <c r="DC1315" s="6"/>
      <c r="DD1315" s="6"/>
    </row>
    <row r="1316" spans="1:108" ht="12.75" hidden="1" customHeight="1" outlineLevel="5">
      <c r="A1316" s="104" t="s">
        <v>86</v>
      </c>
      <c r="B1316" s="28">
        <v>148274736</v>
      </c>
      <c r="C1316" s="11"/>
      <c r="D1316" s="18" t="str">
        <f>"&lt;" &amp; A1316 &amp; "&gt;" &amp; TEXT(B1316,0) &amp; "&lt;/" &amp; A1316 &amp; "&gt;"</f>
        <v>&lt;PtrID&gt;148274736&lt;/PtrID&gt;</v>
      </c>
      <c r="E1316" s="175"/>
      <c r="F1316" s="6" t="s">
        <v>863</v>
      </c>
      <c r="G1316" s="6"/>
      <c r="H1316" s="6"/>
      <c r="I1316" s="6"/>
      <c r="J1316" s="6"/>
      <c r="K1316" s="6"/>
      <c r="L1316" s="6"/>
      <c r="M1316" s="6"/>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c r="BU1316" s="6"/>
      <c r="BV1316" s="6"/>
      <c r="BW1316" s="6"/>
      <c r="BX1316" s="6"/>
      <c r="BY1316" s="6"/>
      <c r="BZ1316" s="6"/>
      <c r="CA1316" s="6"/>
      <c r="CB1316" s="6"/>
      <c r="CC1316" s="6"/>
      <c r="CD1316" s="6"/>
      <c r="CE1316" s="6"/>
      <c r="CF1316" s="6"/>
      <c r="CG1316" s="6"/>
      <c r="CH1316" s="6"/>
      <c r="CI1316" s="6"/>
      <c r="CJ1316" s="6"/>
      <c r="CK1316" s="6"/>
      <c r="CL1316" s="6"/>
      <c r="CM1316" s="6"/>
      <c r="CN1316" s="6"/>
      <c r="CO1316" s="6"/>
      <c r="CP1316" s="6"/>
      <c r="CQ1316" s="6"/>
      <c r="CR1316" s="6"/>
      <c r="CS1316" s="6"/>
      <c r="CT1316" s="6"/>
      <c r="CU1316" s="6"/>
      <c r="CV1316" s="6"/>
      <c r="CW1316" s="6"/>
      <c r="CX1316" s="6"/>
      <c r="CY1316" s="6"/>
      <c r="CZ1316" s="6"/>
      <c r="DA1316" s="6"/>
      <c r="DB1316" s="6"/>
      <c r="DC1316" s="6"/>
      <c r="DD1316" s="6"/>
    </row>
    <row r="1317" spans="1:108" ht="12.75" hidden="1" customHeight="1" outlineLevel="5">
      <c r="A1317" s="104" t="s">
        <v>87</v>
      </c>
      <c r="B1317" s="28">
        <v>148271640</v>
      </c>
      <c r="C1317" s="11"/>
      <c r="D1317" s="18" t="str">
        <f>"&lt;" &amp; A1317 &amp; "&gt;" &amp; TEXT(B1317,0) &amp; "&lt;/" &amp; A1317 &amp; "&gt;"</f>
        <v>&lt;Parent_PtrID&gt;148271640&lt;/Parent_PtrID&gt;</v>
      </c>
      <c r="E1317" s="175"/>
      <c r="F1317" s="6" t="s">
        <v>864</v>
      </c>
      <c r="G1317" s="6"/>
      <c r="H1317" s="6"/>
      <c r="I1317" s="6"/>
      <c r="J1317" s="6"/>
      <c r="K1317" s="6"/>
      <c r="L1317" s="6"/>
      <c r="M1317" s="6"/>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c r="BU1317" s="6"/>
      <c r="BV1317" s="6"/>
      <c r="BW1317" s="6"/>
      <c r="BX1317" s="6"/>
      <c r="BY1317" s="6"/>
      <c r="BZ1317" s="6"/>
      <c r="CA1317" s="6"/>
      <c r="CB1317" s="6"/>
      <c r="CC1317" s="6"/>
      <c r="CD1317" s="6"/>
      <c r="CE1317" s="6"/>
      <c r="CF1317" s="6"/>
      <c r="CG1317" s="6"/>
      <c r="CH1317" s="6"/>
      <c r="CI1317" s="6"/>
      <c r="CJ1317" s="6"/>
      <c r="CK1317" s="6"/>
      <c r="CL1317" s="6"/>
      <c r="CM1317" s="6"/>
      <c r="CN1317" s="6"/>
      <c r="CO1317" s="6"/>
      <c r="CP1317" s="6"/>
      <c r="CQ1317" s="6"/>
      <c r="CR1317" s="6"/>
      <c r="CS1317" s="6"/>
      <c r="CT1317" s="6"/>
      <c r="CU1317" s="6"/>
      <c r="CV1317" s="6"/>
      <c r="CW1317" s="6"/>
      <c r="CX1317" s="6"/>
      <c r="CY1317" s="6"/>
      <c r="CZ1317" s="6"/>
      <c r="DA1317" s="6"/>
      <c r="DB1317" s="6"/>
      <c r="DC1317" s="6"/>
      <c r="DD1317" s="6"/>
    </row>
    <row r="1318" spans="1:108" ht="12.75" hidden="1" customHeight="1" outlineLevel="5">
      <c r="A1318" s="104" t="s">
        <v>88</v>
      </c>
      <c r="B1318" s="100"/>
      <c r="C1318" s="11"/>
      <c r="D1318" s="6" t="str">
        <f>"&lt;" &amp; A1318 &amp; "&gt;"</f>
        <v>&lt;/General_Parms&gt;</v>
      </c>
      <c r="E1318" s="175"/>
      <c r="F1318" s="6" t="s">
        <v>667</v>
      </c>
      <c r="G1318" s="6"/>
      <c r="H1318" s="6"/>
      <c r="I1318" s="6"/>
      <c r="J1318" s="6"/>
      <c r="K1318" s="6"/>
      <c r="L1318" s="6"/>
      <c r="M1318" s="6"/>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c r="BU1318" s="6"/>
      <c r="BV1318" s="6"/>
      <c r="BW1318" s="6"/>
      <c r="BX1318" s="6"/>
      <c r="BY1318" s="6"/>
      <c r="BZ1318" s="6"/>
      <c r="CA1318" s="6"/>
      <c r="CB1318" s="6"/>
      <c r="CC1318" s="6"/>
      <c r="CD1318" s="6"/>
      <c r="CE1318" s="6"/>
      <c r="CF1318" s="6"/>
      <c r="CG1318" s="6"/>
      <c r="CH1318" s="6"/>
      <c r="CI1318" s="6"/>
      <c r="CJ1318" s="6"/>
      <c r="CK1318" s="6"/>
      <c r="CL1318" s="6"/>
      <c r="CM1318" s="6"/>
      <c r="CN1318" s="6"/>
      <c r="CO1318" s="6"/>
      <c r="CP1318" s="6"/>
      <c r="CQ1318" s="6"/>
      <c r="CR1318" s="6"/>
      <c r="CS1318" s="6"/>
      <c r="CT1318" s="6"/>
      <c r="CU1318" s="6"/>
      <c r="CV1318" s="6"/>
      <c r="CW1318" s="6"/>
      <c r="CX1318" s="6"/>
      <c r="CY1318" s="6"/>
      <c r="CZ1318" s="6"/>
      <c r="DA1318" s="6"/>
      <c r="DB1318" s="6"/>
      <c r="DC1318" s="6"/>
      <c r="DD1318" s="6"/>
    </row>
    <row r="1319" spans="1:108" ht="12.75" hidden="1" customHeight="1" outlineLevel="4" collapsed="1">
      <c r="A1319" s="104" t="s">
        <v>228</v>
      </c>
      <c r="B1319" s="100"/>
      <c r="C1319" s="11"/>
      <c r="D1319" s="6" t="str">
        <f>"&lt;" &amp; A1319 &amp; "&gt;"</f>
        <v>&lt;Engine_Parms&gt;</v>
      </c>
      <c r="E1319" s="175"/>
      <c r="F1319" s="6" t="s">
        <v>865</v>
      </c>
      <c r="G1319" s="6"/>
      <c r="H1319" s="6"/>
      <c r="I1319" s="6"/>
      <c r="J1319" s="6"/>
      <c r="K1319" s="6"/>
      <c r="L1319" s="6"/>
      <c r="M1319" s="6"/>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c r="BU1319" s="6"/>
      <c r="BV1319" s="6"/>
      <c r="BW1319" s="6"/>
      <c r="BX1319" s="6"/>
      <c r="BY1319" s="6"/>
      <c r="BZ1319" s="6"/>
      <c r="CA1319" s="6"/>
      <c r="CB1319" s="6"/>
      <c r="CC1319" s="6"/>
      <c r="CD1319" s="6"/>
      <c r="CE1319" s="6"/>
      <c r="CF1319" s="6"/>
      <c r="CG1319" s="6"/>
      <c r="CH1319" s="6"/>
      <c r="CI1319" s="6"/>
      <c r="CJ1319" s="6"/>
      <c r="CK1319" s="6"/>
      <c r="CL1319" s="6"/>
      <c r="CM1319" s="6"/>
      <c r="CN1319" s="6"/>
      <c r="CO1319" s="6"/>
      <c r="CP1319" s="6"/>
      <c r="CQ1319" s="6"/>
      <c r="CR1319" s="6"/>
      <c r="CS1319" s="6"/>
      <c r="CT1319" s="6"/>
      <c r="CU1319" s="6"/>
      <c r="CV1319" s="6"/>
      <c r="CW1319" s="6"/>
      <c r="CX1319" s="6"/>
      <c r="CY1319" s="6"/>
      <c r="CZ1319" s="6"/>
      <c r="DA1319" s="6"/>
      <c r="DB1319" s="6"/>
      <c r="DC1319" s="6"/>
      <c r="DD1319" s="6"/>
    </row>
    <row r="1320" spans="1:108" ht="12.75" hidden="1" customHeight="1" outlineLevel="5">
      <c r="A1320" s="104" t="s">
        <v>229</v>
      </c>
      <c r="B1320" s="28">
        <v>0</v>
      </c>
      <c r="C1320" s="11"/>
      <c r="D1320" s="18" t="str">
        <f>"&lt;" &amp; A1320 &amp; "&gt;" &amp; TEXT(B1320,0) &amp; "&lt;/" &amp; A1320 &amp; "&gt;"</f>
        <v>&lt;Engine_Type&gt;0&lt;/Engine_Type&gt;</v>
      </c>
      <c r="E1320" s="175"/>
      <c r="F1320" s="6" t="s">
        <v>866</v>
      </c>
      <c r="G1320" s="6"/>
      <c r="H1320" s="6"/>
      <c r="I1320" s="6"/>
      <c r="J1320" s="6"/>
      <c r="K1320" s="6"/>
      <c r="L1320" s="6"/>
      <c r="M1320" s="6"/>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c r="BU1320" s="6"/>
      <c r="BV1320" s="6"/>
      <c r="BW1320" s="6"/>
      <c r="BX1320" s="6"/>
      <c r="BY1320" s="6"/>
      <c r="BZ1320" s="6"/>
      <c r="CA1320" s="6"/>
      <c r="CB1320" s="6"/>
      <c r="CC1320" s="6"/>
      <c r="CD1320" s="6"/>
      <c r="CE1320" s="6"/>
      <c r="CF1320" s="6"/>
      <c r="CG1320" s="6"/>
      <c r="CH1320" s="6"/>
      <c r="CI1320" s="6"/>
      <c r="CJ1320" s="6"/>
      <c r="CK1320" s="6"/>
      <c r="CL1320" s="6"/>
      <c r="CM1320" s="6"/>
      <c r="CN1320" s="6"/>
      <c r="CO1320" s="6"/>
      <c r="CP1320" s="6"/>
      <c r="CQ1320" s="6"/>
      <c r="CR1320" s="6"/>
      <c r="CS1320" s="6"/>
      <c r="CT1320" s="6"/>
      <c r="CU1320" s="6"/>
      <c r="CV1320" s="6"/>
      <c r="CW1320" s="6"/>
      <c r="CX1320" s="6"/>
      <c r="CY1320" s="6"/>
      <c r="CZ1320" s="6"/>
      <c r="DA1320" s="6"/>
      <c r="DB1320" s="6"/>
      <c r="DC1320" s="6"/>
      <c r="DD1320" s="6"/>
    </row>
    <row r="1321" spans="1:108" ht="12.75" hidden="1" customHeight="1" outlineLevel="5">
      <c r="A1321" s="104" t="s">
        <v>230</v>
      </c>
      <c r="B1321" s="94">
        <f>IF(Type_e="Jet",0.25*d_e.j,0.5*d_e.p)</f>
        <v>0.4108675</v>
      </c>
      <c r="C1321" s="11"/>
      <c r="D1321" s="18" t="str">
        <f>"&lt;" &amp; A1321 &amp; "&gt;" &amp; TEXT(B1321,"0.000000") &amp; "&lt;/" &amp; A1321 &amp; "&gt;"</f>
        <v>&lt;Radius_Tip&gt;0.410868&lt;/Radius_Tip&gt;</v>
      </c>
      <c r="E1321" s="175"/>
      <c r="F1321" s="6" t="s">
        <v>1002</v>
      </c>
      <c r="G1321" s="6"/>
      <c r="H1321" s="6"/>
      <c r="I1321" s="6"/>
      <c r="J1321" s="6"/>
      <c r="K1321" s="6"/>
      <c r="L1321" s="6"/>
      <c r="M1321" s="6"/>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c r="BU1321" s="6"/>
      <c r="BV1321" s="6"/>
      <c r="BW1321" s="6"/>
      <c r="BX1321" s="6"/>
      <c r="BY1321" s="6"/>
      <c r="BZ1321" s="6"/>
      <c r="CA1321" s="6"/>
      <c r="CB1321" s="6"/>
      <c r="CC1321" s="6"/>
      <c r="CD1321" s="6"/>
      <c r="CE1321" s="6"/>
      <c r="CF1321" s="6"/>
      <c r="CG1321" s="6"/>
      <c r="CH1321" s="6"/>
      <c r="CI1321" s="6"/>
      <c r="CJ1321" s="6"/>
      <c r="CK1321" s="6"/>
      <c r="CL1321" s="6"/>
      <c r="CM1321" s="6"/>
      <c r="CN1321" s="6"/>
      <c r="CO1321" s="6"/>
      <c r="CP1321" s="6"/>
      <c r="CQ1321" s="6"/>
      <c r="CR1321" s="6"/>
      <c r="CS1321" s="6"/>
      <c r="CT1321" s="6"/>
      <c r="CU1321" s="6"/>
      <c r="CV1321" s="6"/>
      <c r="CW1321" s="6"/>
      <c r="CX1321" s="6"/>
      <c r="CY1321" s="6"/>
      <c r="CZ1321" s="6"/>
      <c r="DA1321" s="6"/>
      <c r="DB1321" s="6"/>
      <c r="DC1321" s="6"/>
      <c r="DD1321" s="6"/>
    </row>
    <row r="1322" spans="1:108" ht="12.75" hidden="1" customHeight="1" outlineLevel="5">
      <c r="A1322" s="104" t="s">
        <v>231</v>
      </c>
      <c r="B1322" s="28">
        <v>1.3</v>
      </c>
      <c r="C1322" s="11"/>
      <c r="D1322" s="18" t="str">
        <f>"&lt;" &amp; A1322 &amp; "&gt;" &amp; TEXT(B1322,"0.000000") &amp; "&lt;/" &amp; A1322 &amp; "&gt;"</f>
        <v>&lt;Max_Tip&gt;1.300000&lt;/Max_Tip&gt;</v>
      </c>
      <c r="E1322" s="175"/>
      <c r="F1322" s="6" t="s">
        <v>867</v>
      </c>
      <c r="G1322" s="6"/>
      <c r="H1322" s="6"/>
      <c r="I1322" s="6"/>
      <c r="J1322" s="6"/>
      <c r="K1322" s="6"/>
      <c r="L1322" s="6"/>
      <c r="M1322" s="6"/>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c r="BU1322" s="6"/>
      <c r="BV1322" s="6"/>
      <c r="BW1322" s="6"/>
      <c r="BX1322" s="6"/>
      <c r="BY1322" s="6"/>
      <c r="BZ1322" s="6"/>
      <c r="CA1322" s="6"/>
      <c r="CB1322" s="6"/>
      <c r="CC1322" s="6"/>
      <c r="CD1322" s="6"/>
      <c r="CE1322" s="6"/>
      <c r="CF1322" s="6"/>
      <c r="CG1322" s="6"/>
      <c r="CH1322" s="6"/>
      <c r="CI1322" s="6"/>
      <c r="CJ1322" s="6"/>
      <c r="CK1322" s="6"/>
      <c r="CL1322" s="6"/>
      <c r="CM1322" s="6"/>
      <c r="CN1322" s="6"/>
      <c r="CO1322" s="6"/>
      <c r="CP1322" s="6"/>
      <c r="CQ1322" s="6"/>
      <c r="CR1322" s="6"/>
      <c r="CS1322" s="6"/>
      <c r="CT1322" s="6"/>
      <c r="CU1322" s="6"/>
      <c r="CV1322" s="6"/>
      <c r="CW1322" s="6"/>
      <c r="CX1322" s="6"/>
      <c r="CY1322" s="6"/>
      <c r="CZ1322" s="6"/>
      <c r="DA1322" s="6"/>
      <c r="DB1322" s="6"/>
      <c r="DC1322" s="6"/>
      <c r="DD1322" s="6"/>
    </row>
    <row r="1323" spans="1:108" ht="12.75" hidden="1" customHeight="1" outlineLevel="5">
      <c r="A1323" s="104" t="s">
        <v>232</v>
      </c>
      <c r="B1323" s="94">
        <f>IF(Type_e="Jet",0.5,0.99)</f>
        <v>0.5</v>
      </c>
      <c r="C1323" s="11"/>
      <c r="D1323" s="18" t="str">
        <f>"&lt;" &amp; A1323 &amp; "&gt;" &amp; TEXT(B1323,"0.000000") &amp; "&lt;/" &amp; A1323 &amp; "&gt;"</f>
        <v>&lt;Hub_Tip&gt;0.500000&lt;/Hub_Tip&gt;</v>
      </c>
      <c r="E1323" s="175"/>
      <c r="F1323" s="6" t="s">
        <v>868</v>
      </c>
      <c r="G1323" s="6"/>
      <c r="H1323" s="6"/>
      <c r="I1323" s="6"/>
      <c r="J1323" s="6"/>
      <c r="K1323" s="6"/>
      <c r="L1323" s="6"/>
      <c r="M1323" s="6"/>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c r="BU1323" s="6"/>
      <c r="BV1323" s="6"/>
      <c r="BW1323" s="6"/>
      <c r="BX1323" s="6"/>
      <c r="BY1323" s="6"/>
      <c r="BZ1323" s="6"/>
      <c r="CA1323" s="6"/>
      <c r="CB1323" s="6"/>
      <c r="CC1323" s="6"/>
      <c r="CD1323" s="6"/>
      <c r="CE1323" s="6"/>
      <c r="CF1323" s="6"/>
      <c r="CG1323" s="6"/>
      <c r="CH1323" s="6"/>
      <c r="CI1323" s="6"/>
      <c r="CJ1323" s="6"/>
      <c r="CK1323" s="6"/>
      <c r="CL1323" s="6"/>
      <c r="CM1323" s="6"/>
      <c r="CN1323" s="6"/>
      <c r="CO1323" s="6"/>
      <c r="CP1323" s="6"/>
      <c r="CQ1323" s="6"/>
      <c r="CR1323" s="6"/>
      <c r="CS1323" s="6"/>
      <c r="CT1323" s="6"/>
      <c r="CU1323" s="6"/>
      <c r="CV1323" s="6"/>
      <c r="CW1323" s="6"/>
      <c r="CX1323" s="6"/>
      <c r="CY1323" s="6"/>
      <c r="CZ1323" s="6"/>
      <c r="DA1323" s="6"/>
      <c r="DB1323" s="6"/>
      <c r="DC1323" s="6"/>
      <c r="DD1323" s="6"/>
    </row>
    <row r="1324" spans="1:108" ht="12.75" hidden="1" customHeight="1" outlineLevel="5">
      <c r="A1324" s="104" t="s">
        <v>233</v>
      </c>
      <c r="B1324" s="28">
        <v>0</v>
      </c>
      <c r="C1324" s="11"/>
      <c r="D1324" s="18" t="str">
        <f>"&lt;" &amp; A1324 &amp; "&gt;" &amp; TEXT(B1324,"0.000000") &amp; "&lt;/" &amp; A1324 &amp; "&gt;"</f>
        <v>&lt;Eng_Length&gt;0.000000&lt;/Eng_Length&gt;</v>
      </c>
      <c r="E1324" s="175"/>
      <c r="F1324" s="6" t="s">
        <v>869</v>
      </c>
      <c r="G1324" s="6"/>
      <c r="H1324" s="6"/>
      <c r="I1324" s="6"/>
      <c r="J1324" s="6"/>
      <c r="K1324" s="6"/>
      <c r="L1324" s="6"/>
      <c r="M1324" s="6"/>
      <c r="N1324" s="6"/>
      <c r="O1324" s="6"/>
      <c r="P1324" s="6"/>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c r="BU1324" s="6"/>
      <c r="BV1324" s="6"/>
      <c r="BW1324" s="6"/>
      <c r="BX1324" s="6"/>
      <c r="BY1324" s="6"/>
      <c r="BZ1324" s="6"/>
      <c r="CA1324" s="6"/>
      <c r="CB1324" s="6"/>
      <c r="CC1324" s="6"/>
      <c r="CD1324" s="6"/>
      <c r="CE1324" s="6"/>
      <c r="CF1324" s="6"/>
      <c r="CG1324" s="6"/>
      <c r="CH1324" s="6"/>
      <c r="CI1324" s="6"/>
      <c r="CJ1324" s="6"/>
      <c r="CK1324" s="6"/>
      <c r="CL1324" s="6"/>
      <c r="CM1324" s="6"/>
      <c r="CN1324" s="6"/>
      <c r="CO1324" s="6"/>
      <c r="CP1324" s="6"/>
      <c r="CQ1324" s="6"/>
      <c r="CR1324" s="6"/>
      <c r="CS1324" s="6"/>
      <c r="CT1324" s="6"/>
      <c r="CU1324" s="6"/>
      <c r="CV1324" s="6"/>
      <c r="CW1324" s="6"/>
      <c r="CX1324" s="6"/>
      <c r="CY1324" s="6"/>
      <c r="CZ1324" s="6"/>
      <c r="DA1324" s="6"/>
      <c r="DB1324" s="6"/>
      <c r="DC1324" s="6"/>
      <c r="DD1324" s="6"/>
    </row>
    <row r="1325" spans="1:108" ht="12.75" hidden="1" customHeight="1" outlineLevel="5">
      <c r="A1325" s="104" t="s">
        <v>234</v>
      </c>
      <c r="B1325" s="28">
        <v>1</v>
      </c>
      <c r="C1325" s="11"/>
      <c r="D1325" s="18" t="str">
        <f>"&lt;" &amp; A1325 &amp; "&gt;" &amp; TEXT(B1325,0) &amp; "&lt;/" &amp; A1325 &amp; "&gt;"</f>
        <v>&lt;Inlet_Type&gt;1&lt;/Inlet_Type&gt;</v>
      </c>
      <c r="E1325" s="175"/>
      <c r="F1325" s="6" t="s">
        <v>870</v>
      </c>
      <c r="G1325" s="6"/>
      <c r="H1325" s="6"/>
      <c r="I1325" s="6"/>
      <c r="J1325" s="6"/>
      <c r="K1325" s="6"/>
      <c r="L1325" s="6"/>
      <c r="M1325" s="6"/>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c r="BU1325" s="6"/>
      <c r="BV1325" s="6"/>
      <c r="BW1325" s="6"/>
      <c r="BX1325" s="6"/>
      <c r="BY1325" s="6"/>
      <c r="BZ1325" s="6"/>
      <c r="CA1325" s="6"/>
      <c r="CB1325" s="6"/>
      <c r="CC1325" s="6"/>
      <c r="CD1325" s="6"/>
      <c r="CE1325" s="6"/>
      <c r="CF1325" s="6"/>
      <c r="CG1325" s="6"/>
      <c r="CH1325" s="6"/>
      <c r="CI1325" s="6"/>
      <c r="CJ1325" s="6"/>
      <c r="CK1325" s="6"/>
      <c r="CL1325" s="6"/>
      <c r="CM1325" s="6"/>
      <c r="CN1325" s="6"/>
      <c r="CO1325" s="6"/>
      <c r="CP1325" s="6"/>
      <c r="CQ1325" s="6"/>
      <c r="CR1325" s="6"/>
      <c r="CS1325" s="6"/>
      <c r="CT1325" s="6"/>
      <c r="CU1325" s="6"/>
      <c r="CV1325" s="6"/>
      <c r="CW1325" s="6"/>
      <c r="CX1325" s="6"/>
      <c r="CY1325" s="6"/>
      <c r="CZ1325" s="6"/>
      <c r="DA1325" s="6"/>
      <c r="DB1325" s="6"/>
      <c r="DC1325" s="6"/>
      <c r="DD1325" s="6"/>
    </row>
    <row r="1326" spans="1:108" ht="12.75" hidden="1" customHeight="1" outlineLevel="5">
      <c r="A1326" s="104" t="s">
        <v>235</v>
      </c>
      <c r="B1326" s="28">
        <v>0</v>
      </c>
      <c r="C1326" s="11"/>
      <c r="D1326" s="18" t="str">
        <f>"&lt;" &amp; A1326 &amp; "&gt;" &amp; TEXT(B1326,0) &amp; "&lt;/" &amp; A1326 &amp; "&gt;"</f>
        <v>&lt;Inl_Noz_Color&gt;0&lt;/Inl_Noz_Color&gt;</v>
      </c>
      <c r="E1326" s="175"/>
      <c r="F1326" s="6" t="s">
        <v>871</v>
      </c>
      <c r="G1326" s="6"/>
      <c r="H1326" s="6"/>
      <c r="I1326" s="6"/>
      <c r="J1326" s="6"/>
      <c r="K1326" s="6"/>
      <c r="L1326" s="6"/>
      <c r="M1326" s="6"/>
      <c r="N1326" s="6"/>
      <c r="O1326" s="6"/>
      <c r="P1326" s="6"/>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c r="BU1326" s="6"/>
      <c r="BV1326" s="6"/>
      <c r="BW1326" s="6"/>
      <c r="BX1326" s="6"/>
      <c r="BY1326" s="6"/>
      <c r="BZ1326" s="6"/>
      <c r="CA1326" s="6"/>
      <c r="CB1326" s="6"/>
      <c r="CC1326" s="6"/>
      <c r="CD1326" s="6"/>
      <c r="CE1326" s="6"/>
      <c r="CF1326" s="6"/>
      <c r="CG1326" s="6"/>
      <c r="CH1326" s="6"/>
      <c r="CI1326" s="6"/>
      <c r="CJ1326" s="6"/>
      <c r="CK1326" s="6"/>
      <c r="CL1326" s="6"/>
      <c r="CM1326" s="6"/>
      <c r="CN1326" s="6"/>
      <c r="CO1326" s="6"/>
      <c r="CP1326" s="6"/>
      <c r="CQ1326" s="6"/>
      <c r="CR1326" s="6"/>
      <c r="CS1326" s="6"/>
      <c r="CT1326" s="6"/>
      <c r="CU1326" s="6"/>
      <c r="CV1326" s="6"/>
      <c r="CW1326" s="6"/>
      <c r="CX1326" s="6"/>
      <c r="CY1326" s="6"/>
      <c r="CZ1326" s="6"/>
      <c r="DA1326" s="6"/>
      <c r="DB1326" s="6"/>
      <c r="DC1326" s="6"/>
      <c r="DD1326" s="6"/>
    </row>
    <row r="1327" spans="1:108" ht="12.75" hidden="1" customHeight="1" outlineLevel="5">
      <c r="A1327" s="104" t="s">
        <v>236</v>
      </c>
      <c r="B1327" s="28">
        <v>0</v>
      </c>
      <c r="C1327" s="11"/>
      <c r="D1327" s="18" t="str">
        <f>"&lt;" &amp; A1327 &amp; "&gt;" &amp; TEXT(B1327,0) &amp; "&lt;/" &amp; A1327 &amp; "&gt;"</f>
        <v>&lt;Inlet_XY_Sym_Flag&gt;0&lt;/Inlet_XY_Sym_Flag&gt;</v>
      </c>
      <c r="E1327" s="175"/>
      <c r="F1327" s="6" t="s">
        <v>872</v>
      </c>
      <c r="G1327" s="6"/>
      <c r="H1327" s="6"/>
      <c r="I1327" s="6"/>
      <c r="J1327" s="6"/>
      <c r="K1327" s="6"/>
      <c r="L1327" s="6"/>
      <c r="M1327" s="6"/>
      <c r="N1327" s="6"/>
      <c r="O1327" s="6"/>
      <c r="P1327" s="6"/>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c r="BU1327" s="6"/>
      <c r="BV1327" s="6"/>
      <c r="BW1327" s="6"/>
      <c r="BX1327" s="6"/>
      <c r="BY1327" s="6"/>
      <c r="BZ1327" s="6"/>
      <c r="CA1327" s="6"/>
      <c r="CB1327" s="6"/>
      <c r="CC1327" s="6"/>
      <c r="CD1327" s="6"/>
      <c r="CE1327" s="6"/>
      <c r="CF1327" s="6"/>
      <c r="CG1327" s="6"/>
      <c r="CH1327" s="6"/>
      <c r="CI1327" s="6"/>
      <c r="CJ1327" s="6"/>
      <c r="CK1327" s="6"/>
      <c r="CL1327" s="6"/>
      <c r="CM1327" s="6"/>
      <c r="CN1327" s="6"/>
      <c r="CO1327" s="6"/>
      <c r="CP1327" s="6"/>
      <c r="CQ1327" s="6"/>
      <c r="CR1327" s="6"/>
      <c r="CS1327" s="6"/>
      <c r="CT1327" s="6"/>
      <c r="CU1327" s="6"/>
      <c r="CV1327" s="6"/>
      <c r="CW1327" s="6"/>
      <c r="CX1327" s="6"/>
      <c r="CY1327" s="6"/>
      <c r="CZ1327" s="6"/>
      <c r="DA1327" s="6"/>
      <c r="DB1327" s="6"/>
      <c r="DC1327" s="6"/>
      <c r="DD1327" s="6"/>
    </row>
    <row r="1328" spans="1:108" ht="12.75" hidden="1" customHeight="1" outlineLevel="5">
      <c r="A1328" s="104" t="s">
        <v>237</v>
      </c>
      <c r="B1328" s="28">
        <v>0</v>
      </c>
      <c r="C1328" s="11"/>
      <c r="D1328" s="18" t="str">
        <f>"&lt;" &amp; A1328 &amp; "&gt;" &amp; TEXT(B1328,0) &amp; "&lt;/" &amp; A1328 &amp; "&gt;"</f>
        <v>&lt;Inlet_Half_Split_Flag&gt;0&lt;/Inlet_Half_Split_Flag&gt;</v>
      </c>
      <c r="E1328" s="175"/>
      <c r="F1328" s="6" t="s">
        <v>873</v>
      </c>
      <c r="G1328" s="6"/>
      <c r="H1328" s="6"/>
      <c r="I1328" s="6"/>
      <c r="J1328" s="6"/>
      <c r="K1328" s="6"/>
      <c r="L1328" s="6"/>
      <c r="M1328" s="6"/>
      <c r="N1328" s="6"/>
      <c r="O1328" s="6"/>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c r="BU1328" s="6"/>
      <c r="BV1328" s="6"/>
      <c r="BW1328" s="6"/>
      <c r="BX1328" s="6"/>
      <c r="BY1328" s="6"/>
      <c r="BZ1328" s="6"/>
      <c r="CA1328" s="6"/>
      <c r="CB1328" s="6"/>
      <c r="CC1328" s="6"/>
      <c r="CD1328" s="6"/>
      <c r="CE1328" s="6"/>
      <c r="CF1328" s="6"/>
      <c r="CG1328" s="6"/>
      <c r="CH1328" s="6"/>
      <c r="CI1328" s="6"/>
      <c r="CJ1328" s="6"/>
      <c r="CK1328" s="6"/>
      <c r="CL1328" s="6"/>
      <c r="CM1328" s="6"/>
      <c r="CN1328" s="6"/>
      <c r="CO1328" s="6"/>
      <c r="CP1328" s="6"/>
      <c r="CQ1328" s="6"/>
      <c r="CR1328" s="6"/>
      <c r="CS1328" s="6"/>
      <c r="CT1328" s="6"/>
      <c r="CU1328" s="6"/>
      <c r="CV1328" s="6"/>
      <c r="CW1328" s="6"/>
      <c r="CX1328" s="6"/>
      <c r="CY1328" s="6"/>
      <c r="CZ1328" s="6"/>
      <c r="DA1328" s="6"/>
      <c r="DB1328" s="6"/>
      <c r="DC1328" s="6"/>
      <c r="DD1328" s="6"/>
    </row>
    <row r="1329" spans="1:108" ht="12.75" hidden="1" customHeight="1" outlineLevel="5">
      <c r="A1329" s="104" t="s">
        <v>238</v>
      </c>
      <c r="B1329" s="28">
        <v>1E-3</v>
      </c>
      <c r="C1329" s="11"/>
      <c r="D1329" s="18" t="str">
        <f t="shared" ref="D1329:D1337" si="76">"&lt;" &amp; A1329 &amp; "&gt;" &amp; TEXT(B1329,"0.000000") &amp; "&lt;/" &amp; A1329 &amp; "&gt;"</f>
        <v>&lt;Cowl_Length&gt;0.001000&lt;/Cowl_Length&gt;</v>
      </c>
      <c r="E1329" s="175"/>
      <c r="F1329" s="6" t="s">
        <v>874</v>
      </c>
      <c r="G1329" s="6"/>
      <c r="H1329" s="6"/>
      <c r="I1329" s="6"/>
      <c r="J1329" s="6"/>
      <c r="K1329" s="6"/>
      <c r="L1329" s="6"/>
      <c r="M1329" s="6"/>
      <c r="N1329" s="6"/>
      <c r="O1329" s="6"/>
      <c r="P1329" s="6"/>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c r="BU1329" s="6"/>
      <c r="BV1329" s="6"/>
      <c r="BW1329" s="6"/>
      <c r="BX1329" s="6"/>
      <c r="BY1329" s="6"/>
      <c r="BZ1329" s="6"/>
      <c r="CA1329" s="6"/>
      <c r="CB1329" s="6"/>
      <c r="CC1329" s="6"/>
      <c r="CD1329" s="6"/>
      <c r="CE1329" s="6"/>
      <c r="CF1329" s="6"/>
      <c r="CG1329" s="6"/>
      <c r="CH1329" s="6"/>
      <c r="CI1329" s="6"/>
      <c r="CJ1329" s="6"/>
      <c r="CK1329" s="6"/>
      <c r="CL1329" s="6"/>
      <c r="CM1329" s="6"/>
      <c r="CN1329" s="6"/>
      <c r="CO1329" s="6"/>
      <c r="CP1329" s="6"/>
      <c r="CQ1329" s="6"/>
      <c r="CR1329" s="6"/>
      <c r="CS1329" s="6"/>
      <c r="CT1329" s="6"/>
      <c r="CU1329" s="6"/>
      <c r="CV1329" s="6"/>
      <c r="CW1329" s="6"/>
      <c r="CX1329" s="6"/>
      <c r="CY1329" s="6"/>
      <c r="CZ1329" s="6"/>
      <c r="DA1329" s="6"/>
      <c r="DB1329" s="6"/>
      <c r="DC1329" s="6"/>
      <c r="DD1329" s="6"/>
    </row>
    <row r="1330" spans="1:108" ht="12.75" hidden="1" customHeight="1" outlineLevel="5">
      <c r="A1330" s="104" t="s">
        <v>239</v>
      </c>
      <c r="B1330" s="28">
        <v>1.5</v>
      </c>
      <c r="C1330" s="11"/>
      <c r="D1330" s="18" t="str">
        <f t="shared" si="76"/>
        <v>&lt;Eng_Thrt_Ratio&gt;1.500000&lt;/Eng_Thrt_Ratio&gt;</v>
      </c>
      <c r="E1330" s="175"/>
      <c r="F1330" s="6" t="s">
        <v>875</v>
      </c>
      <c r="G1330" s="6"/>
      <c r="H1330" s="6"/>
      <c r="I1330" s="6"/>
      <c r="J1330" s="6"/>
      <c r="K1330" s="6"/>
      <c r="L1330" s="6"/>
      <c r="M1330" s="6"/>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c r="BU1330" s="6"/>
      <c r="BV1330" s="6"/>
      <c r="BW1330" s="6"/>
      <c r="BX1330" s="6"/>
      <c r="BY1330" s="6"/>
      <c r="BZ1330" s="6"/>
      <c r="CA1330" s="6"/>
      <c r="CB1330" s="6"/>
      <c r="CC1330" s="6"/>
      <c r="CD1330" s="6"/>
      <c r="CE1330" s="6"/>
      <c r="CF1330" s="6"/>
      <c r="CG1330" s="6"/>
      <c r="CH1330" s="6"/>
      <c r="CI1330" s="6"/>
      <c r="CJ1330" s="6"/>
      <c r="CK1330" s="6"/>
      <c r="CL1330" s="6"/>
      <c r="CM1330" s="6"/>
      <c r="CN1330" s="6"/>
      <c r="CO1330" s="6"/>
      <c r="CP1330" s="6"/>
      <c r="CQ1330" s="6"/>
      <c r="CR1330" s="6"/>
      <c r="CS1330" s="6"/>
      <c r="CT1330" s="6"/>
      <c r="CU1330" s="6"/>
      <c r="CV1330" s="6"/>
      <c r="CW1330" s="6"/>
      <c r="CX1330" s="6"/>
      <c r="CY1330" s="6"/>
      <c r="CZ1330" s="6"/>
      <c r="DA1330" s="6"/>
      <c r="DB1330" s="6"/>
      <c r="DC1330" s="6"/>
      <c r="DD1330" s="6"/>
    </row>
    <row r="1331" spans="1:108" ht="12.75" hidden="1" customHeight="1" outlineLevel="5">
      <c r="A1331" s="104" t="s">
        <v>240</v>
      </c>
      <c r="B1331" s="28">
        <v>1.3</v>
      </c>
      <c r="C1331" s="11"/>
      <c r="D1331" s="18" t="str">
        <f t="shared" si="76"/>
        <v>&lt;Hilight_Thrt_Ratio&gt;1.300000&lt;/Hilight_Thrt_Ratio&gt;</v>
      </c>
      <c r="E1331" s="175"/>
      <c r="F1331" s="6" t="s">
        <v>876</v>
      </c>
      <c r="G1331" s="6"/>
      <c r="H1331" s="6"/>
      <c r="I1331" s="6"/>
      <c r="J1331" s="6"/>
      <c r="K1331" s="6"/>
      <c r="L1331" s="6"/>
      <c r="M1331" s="6"/>
      <c r="N1331" s="6"/>
      <c r="O1331" s="6"/>
      <c r="P1331" s="6"/>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c r="BU1331" s="6"/>
      <c r="BV1331" s="6"/>
      <c r="BW1331" s="6"/>
      <c r="BX1331" s="6"/>
      <c r="BY1331" s="6"/>
      <c r="BZ1331" s="6"/>
      <c r="CA1331" s="6"/>
      <c r="CB1331" s="6"/>
      <c r="CC1331" s="6"/>
      <c r="CD1331" s="6"/>
      <c r="CE1331" s="6"/>
      <c r="CF1331" s="6"/>
      <c r="CG1331" s="6"/>
      <c r="CH1331" s="6"/>
      <c r="CI1331" s="6"/>
      <c r="CJ1331" s="6"/>
      <c r="CK1331" s="6"/>
      <c r="CL1331" s="6"/>
      <c r="CM1331" s="6"/>
      <c r="CN1331" s="6"/>
      <c r="CO1331" s="6"/>
      <c r="CP1331" s="6"/>
      <c r="CQ1331" s="6"/>
      <c r="CR1331" s="6"/>
      <c r="CS1331" s="6"/>
      <c r="CT1331" s="6"/>
      <c r="CU1331" s="6"/>
      <c r="CV1331" s="6"/>
      <c r="CW1331" s="6"/>
      <c r="CX1331" s="6"/>
      <c r="CY1331" s="6"/>
      <c r="CZ1331" s="6"/>
      <c r="DA1331" s="6"/>
      <c r="DB1331" s="6"/>
      <c r="DC1331" s="6"/>
      <c r="DD1331" s="6"/>
    </row>
    <row r="1332" spans="1:108" ht="12.75" hidden="1" customHeight="1" outlineLevel="5">
      <c r="A1332" s="104" t="s">
        <v>241</v>
      </c>
      <c r="B1332" s="28">
        <v>1.9</v>
      </c>
      <c r="C1332" s="11"/>
      <c r="D1332" s="18" t="str">
        <f t="shared" si="76"/>
        <v>&lt;Lip_Finess_Ratio&gt;1.900000&lt;/Lip_Finess_Ratio&gt;</v>
      </c>
      <c r="E1332" s="175"/>
      <c r="F1332" s="6" t="s">
        <v>877</v>
      </c>
      <c r="G1332" s="6"/>
      <c r="H1332" s="6"/>
      <c r="I1332" s="6"/>
      <c r="J1332" s="6"/>
      <c r="K1332" s="6"/>
      <c r="L1332" s="6"/>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c r="BU1332" s="6"/>
      <c r="BV1332" s="6"/>
      <c r="BW1332" s="6"/>
      <c r="BX1332" s="6"/>
      <c r="BY1332" s="6"/>
      <c r="BZ1332" s="6"/>
      <c r="CA1332" s="6"/>
      <c r="CB1332" s="6"/>
      <c r="CC1332" s="6"/>
      <c r="CD1332" s="6"/>
      <c r="CE1332" s="6"/>
      <c r="CF1332" s="6"/>
      <c r="CG1332" s="6"/>
      <c r="CH1332" s="6"/>
      <c r="CI1332" s="6"/>
      <c r="CJ1332" s="6"/>
      <c r="CK1332" s="6"/>
      <c r="CL1332" s="6"/>
      <c r="CM1332" s="6"/>
      <c r="CN1332" s="6"/>
      <c r="CO1332" s="6"/>
      <c r="CP1332" s="6"/>
      <c r="CQ1332" s="6"/>
      <c r="CR1332" s="6"/>
      <c r="CS1332" s="6"/>
      <c r="CT1332" s="6"/>
      <c r="CU1332" s="6"/>
      <c r="CV1332" s="6"/>
      <c r="CW1332" s="6"/>
      <c r="CX1332" s="6"/>
      <c r="CY1332" s="6"/>
      <c r="CZ1332" s="6"/>
      <c r="DA1332" s="6"/>
      <c r="DB1332" s="6"/>
      <c r="DC1332" s="6"/>
      <c r="DD1332" s="6"/>
    </row>
    <row r="1333" spans="1:108" ht="12.75" hidden="1" customHeight="1" outlineLevel="5">
      <c r="A1333" s="104" t="s">
        <v>242</v>
      </c>
      <c r="B1333" s="28">
        <v>1</v>
      </c>
      <c r="C1333" s="11"/>
      <c r="D1333" s="18" t="str">
        <f t="shared" si="76"/>
        <v>&lt;Height_Width_Ratio&gt;1.000000&lt;/Height_Width_Ratio&gt;</v>
      </c>
      <c r="E1333" s="175"/>
      <c r="F1333" s="6" t="s">
        <v>878</v>
      </c>
      <c r="G1333" s="6"/>
      <c r="H1333" s="6"/>
      <c r="I1333" s="6"/>
      <c r="J1333" s="6"/>
      <c r="K1333" s="6"/>
      <c r="L1333" s="6"/>
      <c r="M1333" s="6"/>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c r="BU1333" s="6"/>
      <c r="BV1333" s="6"/>
      <c r="BW1333" s="6"/>
      <c r="BX1333" s="6"/>
      <c r="BY1333" s="6"/>
      <c r="BZ1333" s="6"/>
      <c r="CA1333" s="6"/>
      <c r="CB1333" s="6"/>
      <c r="CC1333" s="6"/>
      <c r="CD1333" s="6"/>
      <c r="CE1333" s="6"/>
      <c r="CF1333" s="6"/>
      <c r="CG1333" s="6"/>
      <c r="CH1333" s="6"/>
      <c r="CI1333" s="6"/>
      <c r="CJ1333" s="6"/>
      <c r="CK1333" s="6"/>
      <c r="CL1333" s="6"/>
      <c r="CM1333" s="6"/>
      <c r="CN1333" s="6"/>
      <c r="CO1333" s="6"/>
      <c r="CP1333" s="6"/>
      <c r="CQ1333" s="6"/>
      <c r="CR1333" s="6"/>
      <c r="CS1333" s="6"/>
      <c r="CT1333" s="6"/>
      <c r="CU1333" s="6"/>
      <c r="CV1333" s="6"/>
      <c r="CW1333" s="6"/>
      <c r="CX1333" s="6"/>
      <c r="CY1333" s="6"/>
      <c r="CZ1333" s="6"/>
      <c r="DA1333" s="6"/>
      <c r="DB1333" s="6"/>
      <c r="DC1333" s="6"/>
      <c r="DD1333" s="6"/>
    </row>
    <row r="1334" spans="1:108" ht="12.75" hidden="1" customHeight="1" outlineLevel="5">
      <c r="A1334" s="104" t="s">
        <v>243</v>
      </c>
      <c r="B1334" s="28">
        <v>-1.3</v>
      </c>
      <c r="C1334" s="11"/>
      <c r="D1334" s="18" t="str">
        <f t="shared" si="76"/>
        <v>&lt;Upper_Surf_Shape_Factor&gt;-1.300000&lt;/Upper_Surf_Shape_Factor&gt;</v>
      </c>
      <c r="E1334" s="175"/>
      <c r="F1334" s="6" t="s">
        <v>879</v>
      </c>
      <c r="G1334" s="6"/>
      <c r="H1334" s="6"/>
      <c r="I1334" s="6"/>
      <c r="J1334" s="6"/>
      <c r="K1334" s="6"/>
      <c r="L1334" s="6"/>
      <c r="M1334" s="6"/>
      <c r="N1334" s="6"/>
      <c r="O1334" s="6"/>
      <c r="P1334" s="6"/>
      <c r="Q1334" s="6"/>
      <c r="R1334" s="6"/>
      <c r="S1334" s="6"/>
      <c r="T1334" s="6"/>
      <c r="U1334" s="6"/>
      <c r="V1334" s="6"/>
      <c r="W1334" s="6"/>
      <c r="X1334" s="6"/>
      <c r="Y1334" s="6"/>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c r="BU1334" s="6"/>
      <c r="BV1334" s="6"/>
      <c r="BW1334" s="6"/>
      <c r="BX1334" s="6"/>
      <c r="BY1334" s="6"/>
      <c r="BZ1334" s="6"/>
      <c r="CA1334" s="6"/>
      <c r="CB1334" s="6"/>
      <c r="CC1334" s="6"/>
      <c r="CD1334" s="6"/>
      <c r="CE1334" s="6"/>
      <c r="CF1334" s="6"/>
      <c r="CG1334" s="6"/>
      <c r="CH1334" s="6"/>
      <c r="CI1334" s="6"/>
      <c r="CJ1334" s="6"/>
      <c r="CK1334" s="6"/>
      <c r="CL1334" s="6"/>
      <c r="CM1334" s="6"/>
      <c r="CN1334" s="6"/>
      <c r="CO1334" s="6"/>
      <c r="CP1334" s="6"/>
      <c r="CQ1334" s="6"/>
      <c r="CR1334" s="6"/>
      <c r="CS1334" s="6"/>
      <c r="CT1334" s="6"/>
      <c r="CU1334" s="6"/>
      <c r="CV1334" s="6"/>
      <c r="CW1334" s="6"/>
      <c r="CX1334" s="6"/>
      <c r="CY1334" s="6"/>
      <c r="CZ1334" s="6"/>
      <c r="DA1334" s="6"/>
      <c r="DB1334" s="6"/>
      <c r="DC1334" s="6"/>
      <c r="DD1334" s="6"/>
    </row>
    <row r="1335" spans="1:108" ht="12.75" hidden="1" customHeight="1" outlineLevel="5">
      <c r="A1335" s="104" t="s">
        <v>244</v>
      </c>
      <c r="B1335" s="28">
        <v>0.7</v>
      </c>
      <c r="C1335" s="11"/>
      <c r="D1335" s="18" t="str">
        <f t="shared" si="76"/>
        <v>&lt;Lower_Surf_Shape_Factor&gt;0.700000&lt;/Lower_Surf_Shape_Factor&gt;</v>
      </c>
      <c r="E1335" s="175"/>
      <c r="F1335" s="6" t="s">
        <v>880</v>
      </c>
      <c r="G1335" s="6"/>
      <c r="H1335" s="6"/>
      <c r="I1335" s="6"/>
      <c r="J1335" s="6"/>
      <c r="K1335" s="6"/>
      <c r="L1335" s="6"/>
      <c r="M1335" s="6"/>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c r="BU1335" s="6"/>
      <c r="BV1335" s="6"/>
      <c r="BW1335" s="6"/>
      <c r="BX1335" s="6"/>
      <c r="BY1335" s="6"/>
      <c r="BZ1335" s="6"/>
      <c r="CA1335" s="6"/>
      <c r="CB1335" s="6"/>
      <c r="CC1335" s="6"/>
      <c r="CD1335" s="6"/>
      <c r="CE1335" s="6"/>
      <c r="CF1335" s="6"/>
      <c r="CG1335" s="6"/>
      <c r="CH1335" s="6"/>
      <c r="CI1335" s="6"/>
      <c r="CJ1335" s="6"/>
      <c r="CK1335" s="6"/>
      <c r="CL1335" s="6"/>
      <c r="CM1335" s="6"/>
      <c r="CN1335" s="6"/>
      <c r="CO1335" s="6"/>
      <c r="CP1335" s="6"/>
      <c r="CQ1335" s="6"/>
      <c r="CR1335" s="6"/>
      <c r="CS1335" s="6"/>
      <c r="CT1335" s="6"/>
      <c r="CU1335" s="6"/>
      <c r="CV1335" s="6"/>
      <c r="CW1335" s="6"/>
      <c r="CX1335" s="6"/>
      <c r="CY1335" s="6"/>
      <c r="CZ1335" s="6"/>
      <c r="DA1335" s="6"/>
      <c r="DB1335" s="6"/>
      <c r="DC1335" s="6"/>
      <c r="DD1335" s="6"/>
    </row>
    <row r="1336" spans="1:108" ht="12.75" hidden="1" customHeight="1" outlineLevel="5">
      <c r="A1336" s="104" t="s">
        <v>245</v>
      </c>
      <c r="B1336" s="28">
        <v>0</v>
      </c>
      <c r="C1336" s="11"/>
      <c r="D1336" s="18" t="str">
        <f t="shared" si="76"/>
        <v>&lt;Inlet_X_Axis_Rot&gt;0.000000&lt;/Inlet_X_Axis_Rot&gt;</v>
      </c>
      <c r="E1336" s="175"/>
      <c r="F1336" s="6" t="s">
        <v>881</v>
      </c>
      <c r="G1336" s="6"/>
      <c r="H1336" s="6"/>
      <c r="I1336" s="6"/>
      <c r="J1336" s="6"/>
      <c r="K1336" s="6"/>
      <c r="L1336" s="6"/>
      <c r="M1336" s="6"/>
      <c r="N1336" s="6"/>
      <c r="O1336" s="6"/>
      <c r="P1336" s="6"/>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c r="BU1336" s="6"/>
      <c r="BV1336" s="6"/>
      <c r="BW1336" s="6"/>
      <c r="BX1336" s="6"/>
      <c r="BY1336" s="6"/>
      <c r="BZ1336" s="6"/>
      <c r="CA1336" s="6"/>
      <c r="CB1336" s="6"/>
      <c r="CC1336" s="6"/>
      <c r="CD1336" s="6"/>
      <c r="CE1336" s="6"/>
      <c r="CF1336" s="6"/>
      <c r="CG1336" s="6"/>
      <c r="CH1336" s="6"/>
      <c r="CI1336" s="6"/>
      <c r="CJ1336" s="6"/>
      <c r="CK1336" s="6"/>
      <c r="CL1336" s="6"/>
      <c r="CM1336" s="6"/>
      <c r="CN1336" s="6"/>
      <c r="CO1336" s="6"/>
      <c r="CP1336" s="6"/>
      <c r="CQ1336" s="6"/>
      <c r="CR1336" s="6"/>
      <c r="CS1336" s="6"/>
      <c r="CT1336" s="6"/>
      <c r="CU1336" s="6"/>
      <c r="CV1336" s="6"/>
      <c r="CW1336" s="6"/>
      <c r="CX1336" s="6"/>
      <c r="CY1336" s="6"/>
      <c r="CZ1336" s="6"/>
      <c r="DA1336" s="6"/>
      <c r="DB1336" s="6"/>
      <c r="DC1336" s="6"/>
      <c r="DD1336" s="6"/>
    </row>
    <row r="1337" spans="1:108" ht="12.75" hidden="1" customHeight="1" outlineLevel="5">
      <c r="A1337" s="104" t="s">
        <v>246</v>
      </c>
      <c r="B1337" s="28">
        <v>0</v>
      </c>
      <c r="C1337" s="11"/>
      <c r="D1337" s="18" t="str">
        <f t="shared" si="76"/>
        <v>&lt;Inlet_Scarf_Angle&gt;0.000000&lt;/Inlet_Scarf_Angle&gt;</v>
      </c>
      <c r="E1337" s="175"/>
      <c r="F1337" s="6" t="s">
        <v>882</v>
      </c>
      <c r="G1337" s="6"/>
      <c r="H1337" s="6"/>
      <c r="I1337" s="6"/>
      <c r="J1337" s="6"/>
      <c r="K1337" s="6"/>
      <c r="L1337" s="6"/>
      <c r="M1337" s="6"/>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c r="BU1337" s="6"/>
      <c r="BV1337" s="6"/>
      <c r="BW1337" s="6"/>
      <c r="BX1337" s="6"/>
      <c r="BY1337" s="6"/>
      <c r="BZ1337" s="6"/>
      <c r="CA1337" s="6"/>
      <c r="CB1337" s="6"/>
      <c r="CC1337" s="6"/>
      <c r="CD1337" s="6"/>
      <c r="CE1337" s="6"/>
      <c r="CF1337" s="6"/>
      <c r="CG1337" s="6"/>
      <c r="CH1337" s="6"/>
      <c r="CI1337" s="6"/>
      <c r="CJ1337" s="6"/>
      <c r="CK1337" s="6"/>
      <c r="CL1337" s="6"/>
      <c r="CM1337" s="6"/>
      <c r="CN1337" s="6"/>
      <c r="CO1337" s="6"/>
      <c r="CP1337" s="6"/>
      <c r="CQ1337" s="6"/>
      <c r="CR1337" s="6"/>
      <c r="CS1337" s="6"/>
      <c r="CT1337" s="6"/>
      <c r="CU1337" s="6"/>
      <c r="CV1337" s="6"/>
      <c r="CW1337" s="6"/>
      <c r="CX1337" s="6"/>
      <c r="CY1337" s="6"/>
      <c r="CZ1337" s="6"/>
      <c r="DA1337" s="6"/>
      <c r="DB1337" s="6"/>
      <c r="DC1337" s="6"/>
      <c r="DD1337" s="6"/>
    </row>
    <row r="1338" spans="1:108" ht="12.75" hidden="1" customHeight="1" outlineLevel="5">
      <c r="A1338" s="104" t="s">
        <v>247</v>
      </c>
      <c r="B1338" s="28">
        <v>0</v>
      </c>
      <c r="C1338" s="11"/>
      <c r="D1338" s="18" t="str">
        <f>"&lt;" &amp; A1338 &amp; "&gt;" &amp; TEXT(B1338,0) &amp; "&lt;/" &amp; A1338 &amp; "&gt;"</f>
        <v>&lt;Inlet_Duct_On_Off&gt;0&lt;/Inlet_Duct_On_Off&gt;</v>
      </c>
      <c r="E1338" s="175"/>
      <c r="F1338" s="6" t="s">
        <v>883</v>
      </c>
      <c r="G1338" s="6"/>
      <c r="H1338" s="6"/>
      <c r="I1338" s="6"/>
      <c r="J1338" s="6"/>
      <c r="K1338" s="6"/>
      <c r="L1338" s="6"/>
      <c r="M1338" s="6"/>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c r="BU1338" s="6"/>
      <c r="BV1338" s="6"/>
      <c r="BW1338" s="6"/>
      <c r="BX1338" s="6"/>
      <c r="BY1338" s="6"/>
      <c r="BZ1338" s="6"/>
      <c r="CA1338" s="6"/>
      <c r="CB1338" s="6"/>
      <c r="CC1338" s="6"/>
      <c r="CD1338" s="6"/>
      <c r="CE1338" s="6"/>
      <c r="CF1338" s="6"/>
      <c r="CG1338" s="6"/>
      <c r="CH1338" s="6"/>
      <c r="CI1338" s="6"/>
      <c r="CJ1338" s="6"/>
      <c r="CK1338" s="6"/>
      <c r="CL1338" s="6"/>
      <c r="CM1338" s="6"/>
      <c r="CN1338" s="6"/>
      <c r="CO1338" s="6"/>
      <c r="CP1338" s="6"/>
      <c r="CQ1338" s="6"/>
      <c r="CR1338" s="6"/>
      <c r="CS1338" s="6"/>
      <c r="CT1338" s="6"/>
      <c r="CU1338" s="6"/>
      <c r="CV1338" s="6"/>
      <c r="CW1338" s="6"/>
      <c r="CX1338" s="6"/>
      <c r="CY1338" s="6"/>
      <c r="CZ1338" s="6"/>
      <c r="DA1338" s="6"/>
      <c r="DB1338" s="6"/>
      <c r="DC1338" s="6"/>
      <c r="DD1338" s="6"/>
    </row>
    <row r="1339" spans="1:108" ht="12.75" hidden="1" customHeight="1" outlineLevel="5">
      <c r="A1339" s="104" t="s">
        <v>248</v>
      </c>
      <c r="B1339" s="28">
        <v>3</v>
      </c>
      <c r="C1339" s="11"/>
      <c r="D1339" s="18" t="str">
        <f>"&lt;" &amp; A1339 &amp; "&gt;" &amp; TEXT(B1339,"0.000000") &amp; "&lt;/" &amp; A1339 &amp; "&gt;"</f>
        <v>&lt;Inlet_Duct_X_Offset&gt;3.000000&lt;/Inlet_Duct_X_Offset&gt;</v>
      </c>
      <c r="E1339" s="175"/>
      <c r="F1339" s="6" t="s">
        <v>884</v>
      </c>
      <c r="G1339" s="6"/>
      <c r="H1339" s="6"/>
      <c r="I1339" s="6"/>
      <c r="J1339" s="6"/>
      <c r="K1339" s="6"/>
      <c r="L1339" s="6"/>
      <c r="M1339" s="6"/>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c r="BU1339" s="6"/>
      <c r="BV1339" s="6"/>
      <c r="BW1339" s="6"/>
      <c r="BX1339" s="6"/>
      <c r="BY1339" s="6"/>
      <c r="BZ1339" s="6"/>
      <c r="CA1339" s="6"/>
      <c r="CB1339" s="6"/>
      <c r="CC1339" s="6"/>
      <c r="CD1339" s="6"/>
      <c r="CE1339" s="6"/>
      <c r="CF1339" s="6"/>
      <c r="CG1339" s="6"/>
      <c r="CH1339" s="6"/>
      <c r="CI1339" s="6"/>
      <c r="CJ1339" s="6"/>
      <c r="CK1339" s="6"/>
      <c r="CL1339" s="6"/>
      <c r="CM1339" s="6"/>
      <c r="CN1339" s="6"/>
      <c r="CO1339" s="6"/>
      <c r="CP1339" s="6"/>
      <c r="CQ1339" s="6"/>
      <c r="CR1339" s="6"/>
      <c r="CS1339" s="6"/>
      <c r="CT1339" s="6"/>
      <c r="CU1339" s="6"/>
      <c r="CV1339" s="6"/>
      <c r="CW1339" s="6"/>
      <c r="CX1339" s="6"/>
      <c r="CY1339" s="6"/>
      <c r="CZ1339" s="6"/>
      <c r="DA1339" s="6"/>
      <c r="DB1339" s="6"/>
      <c r="DC1339" s="6"/>
      <c r="DD1339" s="6"/>
    </row>
    <row r="1340" spans="1:108" ht="12.75" hidden="1" customHeight="1" outlineLevel="5">
      <c r="A1340" s="104" t="s">
        <v>249</v>
      </c>
      <c r="B1340" s="28">
        <v>1</v>
      </c>
      <c r="C1340" s="11"/>
      <c r="D1340" s="18" t="str">
        <f>"&lt;" &amp; A1340 &amp; "&gt;" &amp; TEXT(B1340,"0.000000") &amp; "&lt;/" &amp; A1340 &amp; "&gt;"</f>
        <v>&lt;Inlet_Duct_Y_Offset&gt;1.000000&lt;/Inlet_Duct_Y_Offset&gt;</v>
      </c>
      <c r="E1340" s="175"/>
      <c r="F1340" s="6" t="s">
        <v>885</v>
      </c>
      <c r="G1340" s="6"/>
      <c r="H1340" s="6"/>
      <c r="I1340" s="6"/>
      <c r="J1340" s="6"/>
      <c r="K1340" s="6"/>
      <c r="L1340" s="6"/>
      <c r="M1340" s="6"/>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c r="BU1340" s="6"/>
      <c r="BV1340" s="6"/>
      <c r="BW1340" s="6"/>
      <c r="BX1340" s="6"/>
      <c r="BY1340" s="6"/>
      <c r="BZ1340" s="6"/>
      <c r="CA1340" s="6"/>
      <c r="CB1340" s="6"/>
      <c r="CC1340" s="6"/>
      <c r="CD1340" s="6"/>
      <c r="CE1340" s="6"/>
      <c r="CF1340" s="6"/>
      <c r="CG1340" s="6"/>
      <c r="CH1340" s="6"/>
      <c r="CI1340" s="6"/>
      <c r="CJ1340" s="6"/>
      <c r="CK1340" s="6"/>
      <c r="CL1340" s="6"/>
      <c r="CM1340" s="6"/>
      <c r="CN1340" s="6"/>
      <c r="CO1340" s="6"/>
      <c r="CP1340" s="6"/>
      <c r="CQ1340" s="6"/>
      <c r="CR1340" s="6"/>
      <c r="CS1340" s="6"/>
      <c r="CT1340" s="6"/>
      <c r="CU1340" s="6"/>
      <c r="CV1340" s="6"/>
      <c r="CW1340" s="6"/>
      <c r="CX1340" s="6"/>
      <c r="CY1340" s="6"/>
      <c r="CZ1340" s="6"/>
      <c r="DA1340" s="6"/>
      <c r="DB1340" s="6"/>
      <c r="DC1340" s="6"/>
      <c r="DD1340" s="6"/>
    </row>
    <row r="1341" spans="1:108" ht="12.75" hidden="1" customHeight="1" outlineLevel="5">
      <c r="A1341" s="104" t="s">
        <v>250</v>
      </c>
      <c r="B1341" s="28">
        <v>0.5</v>
      </c>
      <c r="C1341" s="11"/>
      <c r="D1341" s="18" t="str">
        <f>"&lt;" &amp; A1341 &amp; "&gt;" &amp; TEXT(B1341,"0.000000") &amp; "&lt;/" &amp; A1341 &amp; "&gt;"</f>
        <v>&lt;Inlet_Duct_Shape_Factor&gt;0.500000&lt;/Inlet_Duct_Shape_Factor&gt;</v>
      </c>
      <c r="E1341" s="175"/>
      <c r="F1341" s="6" t="s">
        <v>886</v>
      </c>
      <c r="G1341" s="6"/>
      <c r="H1341" s="6"/>
      <c r="I1341" s="6"/>
      <c r="J1341" s="6"/>
      <c r="K1341" s="6"/>
      <c r="L1341" s="6"/>
      <c r="M1341" s="6"/>
      <c r="N1341" s="6"/>
      <c r="O1341" s="6"/>
      <c r="P1341" s="6"/>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c r="BU1341" s="6"/>
      <c r="BV1341" s="6"/>
      <c r="BW1341" s="6"/>
      <c r="BX1341" s="6"/>
      <c r="BY1341" s="6"/>
      <c r="BZ1341" s="6"/>
      <c r="CA1341" s="6"/>
      <c r="CB1341" s="6"/>
      <c r="CC1341" s="6"/>
      <c r="CD1341" s="6"/>
      <c r="CE1341" s="6"/>
      <c r="CF1341" s="6"/>
      <c r="CG1341" s="6"/>
      <c r="CH1341" s="6"/>
      <c r="CI1341" s="6"/>
      <c r="CJ1341" s="6"/>
      <c r="CK1341" s="6"/>
      <c r="CL1341" s="6"/>
      <c r="CM1341" s="6"/>
      <c r="CN1341" s="6"/>
      <c r="CO1341" s="6"/>
      <c r="CP1341" s="6"/>
      <c r="CQ1341" s="6"/>
      <c r="CR1341" s="6"/>
      <c r="CS1341" s="6"/>
      <c r="CT1341" s="6"/>
      <c r="CU1341" s="6"/>
      <c r="CV1341" s="6"/>
      <c r="CW1341" s="6"/>
      <c r="CX1341" s="6"/>
      <c r="CY1341" s="6"/>
      <c r="CZ1341" s="6"/>
      <c r="DA1341" s="6"/>
      <c r="DB1341" s="6"/>
      <c r="DC1341" s="6"/>
      <c r="DD1341" s="6"/>
    </row>
    <row r="1342" spans="1:108" ht="12.75" hidden="1" customHeight="1" outlineLevel="5">
      <c r="A1342" s="104" t="s">
        <v>251</v>
      </c>
      <c r="B1342" s="28">
        <v>0</v>
      </c>
      <c r="C1342" s="11"/>
      <c r="D1342" s="18" t="str">
        <f>"&lt;" &amp; A1342 &amp; "&gt;" &amp; TEXT(B1342,0) &amp; "&lt;/" &amp; A1342 &amp; "&gt;"</f>
        <v>&lt;Divertor_On_Off&gt;0&lt;/Divertor_On_Off&gt;</v>
      </c>
      <c r="E1342" s="175"/>
      <c r="F1342" s="6" t="s">
        <v>887</v>
      </c>
      <c r="G1342" s="6"/>
      <c r="H1342" s="6"/>
      <c r="I1342" s="6"/>
      <c r="J1342" s="6"/>
      <c r="K1342" s="6"/>
      <c r="L1342" s="6"/>
      <c r="M1342" s="6"/>
      <c r="N1342" s="6"/>
      <c r="O1342" s="6"/>
      <c r="P1342" s="6"/>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c r="BU1342" s="6"/>
      <c r="BV1342" s="6"/>
      <c r="BW1342" s="6"/>
      <c r="BX1342" s="6"/>
      <c r="BY1342" s="6"/>
      <c r="BZ1342" s="6"/>
      <c r="CA1342" s="6"/>
      <c r="CB1342" s="6"/>
      <c r="CC1342" s="6"/>
      <c r="CD1342" s="6"/>
      <c r="CE1342" s="6"/>
      <c r="CF1342" s="6"/>
      <c r="CG1342" s="6"/>
      <c r="CH1342" s="6"/>
      <c r="CI1342" s="6"/>
      <c r="CJ1342" s="6"/>
      <c r="CK1342" s="6"/>
      <c r="CL1342" s="6"/>
      <c r="CM1342" s="6"/>
      <c r="CN1342" s="6"/>
      <c r="CO1342" s="6"/>
      <c r="CP1342" s="6"/>
      <c r="CQ1342" s="6"/>
      <c r="CR1342" s="6"/>
      <c r="CS1342" s="6"/>
      <c r="CT1342" s="6"/>
      <c r="CU1342" s="6"/>
      <c r="CV1342" s="6"/>
      <c r="CW1342" s="6"/>
      <c r="CX1342" s="6"/>
      <c r="CY1342" s="6"/>
      <c r="CZ1342" s="6"/>
      <c r="DA1342" s="6"/>
      <c r="DB1342" s="6"/>
      <c r="DC1342" s="6"/>
      <c r="DD1342" s="6"/>
    </row>
    <row r="1343" spans="1:108" ht="12.75" hidden="1" customHeight="1" outlineLevel="5">
      <c r="A1343" s="104" t="s">
        <v>252</v>
      </c>
      <c r="B1343" s="28">
        <v>0.5</v>
      </c>
      <c r="C1343" s="11"/>
      <c r="D1343" s="18" t="str">
        <f>"&lt;" &amp; A1343 &amp; "&gt;" &amp; TEXT(B1343,"0.000000") &amp; "&lt;/" &amp; A1343 &amp; "&gt;"</f>
        <v>&lt;Divertor_Height&gt;0.500000&lt;/Divertor_Height&gt;</v>
      </c>
      <c r="E1343" s="175"/>
      <c r="F1343" s="6" t="s">
        <v>888</v>
      </c>
      <c r="G1343" s="6"/>
      <c r="H1343" s="6"/>
      <c r="I1343" s="6"/>
      <c r="J1343" s="6"/>
      <c r="K1343" s="6"/>
      <c r="L1343" s="6"/>
      <c r="M1343" s="6"/>
      <c r="N1343" s="6"/>
      <c r="O1343" s="6"/>
      <c r="P1343" s="6"/>
      <c r="Q1343" s="6"/>
      <c r="R1343" s="6"/>
      <c r="S1343" s="6"/>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c r="BU1343" s="6"/>
      <c r="BV1343" s="6"/>
      <c r="BW1343" s="6"/>
      <c r="BX1343" s="6"/>
      <c r="BY1343" s="6"/>
      <c r="BZ1343" s="6"/>
      <c r="CA1343" s="6"/>
      <c r="CB1343" s="6"/>
      <c r="CC1343" s="6"/>
      <c r="CD1343" s="6"/>
      <c r="CE1343" s="6"/>
      <c r="CF1343" s="6"/>
      <c r="CG1343" s="6"/>
      <c r="CH1343" s="6"/>
      <c r="CI1343" s="6"/>
      <c r="CJ1343" s="6"/>
      <c r="CK1343" s="6"/>
      <c r="CL1343" s="6"/>
      <c r="CM1343" s="6"/>
      <c r="CN1343" s="6"/>
      <c r="CO1343" s="6"/>
      <c r="CP1343" s="6"/>
      <c r="CQ1343" s="6"/>
      <c r="CR1343" s="6"/>
      <c r="CS1343" s="6"/>
      <c r="CT1343" s="6"/>
      <c r="CU1343" s="6"/>
      <c r="CV1343" s="6"/>
      <c r="CW1343" s="6"/>
      <c r="CX1343" s="6"/>
      <c r="CY1343" s="6"/>
      <c r="CZ1343" s="6"/>
      <c r="DA1343" s="6"/>
      <c r="DB1343" s="6"/>
      <c r="DC1343" s="6"/>
      <c r="DD1343" s="6"/>
    </row>
    <row r="1344" spans="1:108" ht="12.75" hidden="1" customHeight="1" outlineLevel="5">
      <c r="A1344" s="104" t="s">
        <v>253</v>
      </c>
      <c r="B1344" s="28">
        <v>1</v>
      </c>
      <c r="C1344" s="11"/>
      <c r="D1344" s="18" t="str">
        <f>"&lt;" &amp; A1344 &amp; "&gt;" &amp; TEXT(B1344,"0.000000") &amp; "&lt;/" &amp; A1344 &amp; "&gt;"</f>
        <v>&lt;Divertor_Length&gt;1.000000&lt;/Divertor_Length&gt;</v>
      </c>
      <c r="E1344" s="175"/>
      <c r="F1344" s="6" t="s">
        <v>889</v>
      </c>
      <c r="G1344" s="6"/>
      <c r="H1344" s="6"/>
      <c r="I1344" s="6"/>
      <c r="J1344" s="6"/>
      <c r="K1344" s="6"/>
      <c r="L1344" s="6"/>
      <c r="M1344" s="6"/>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c r="BU1344" s="6"/>
      <c r="BV1344" s="6"/>
      <c r="BW1344" s="6"/>
      <c r="BX1344" s="6"/>
      <c r="BY1344" s="6"/>
      <c r="BZ1344" s="6"/>
      <c r="CA1344" s="6"/>
      <c r="CB1344" s="6"/>
      <c r="CC1344" s="6"/>
      <c r="CD1344" s="6"/>
      <c r="CE1344" s="6"/>
      <c r="CF1344" s="6"/>
      <c r="CG1344" s="6"/>
      <c r="CH1344" s="6"/>
      <c r="CI1344" s="6"/>
      <c r="CJ1344" s="6"/>
      <c r="CK1344" s="6"/>
      <c r="CL1344" s="6"/>
      <c r="CM1344" s="6"/>
      <c r="CN1344" s="6"/>
      <c r="CO1344" s="6"/>
      <c r="CP1344" s="6"/>
      <c r="CQ1344" s="6"/>
      <c r="CR1344" s="6"/>
      <c r="CS1344" s="6"/>
      <c r="CT1344" s="6"/>
      <c r="CU1344" s="6"/>
      <c r="CV1344" s="6"/>
      <c r="CW1344" s="6"/>
      <c r="CX1344" s="6"/>
      <c r="CY1344" s="6"/>
      <c r="CZ1344" s="6"/>
      <c r="DA1344" s="6"/>
      <c r="DB1344" s="6"/>
      <c r="DC1344" s="6"/>
      <c r="DD1344" s="6"/>
    </row>
    <row r="1345" spans="1:108" ht="12.75" hidden="1" customHeight="1" outlineLevel="5">
      <c r="A1345" s="104" t="s">
        <v>254</v>
      </c>
      <c r="B1345" s="28">
        <v>0</v>
      </c>
      <c r="C1345" s="11"/>
      <c r="D1345" s="18" t="str">
        <f>"&lt;" &amp; A1345 &amp; "&gt;" &amp; TEXT(B1345,0) &amp; "&lt;/" &amp; A1345 &amp; "&gt;"</f>
        <v>&lt;Nozzle_Type&gt;0&lt;/Nozzle_Type&gt;</v>
      </c>
      <c r="E1345" s="175"/>
      <c r="F1345" s="6" t="s">
        <v>890</v>
      </c>
      <c r="G1345" s="6"/>
      <c r="H1345" s="6"/>
      <c r="I1345" s="6"/>
      <c r="J1345" s="6"/>
      <c r="K1345" s="6"/>
      <c r="L1345" s="6"/>
      <c r="M1345" s="6"/>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c r="BU1345" s="6"/>
      <c r="BV1345" s="6"/>
      <c r="BW1345" s="6"/>
      <c r="BX1345" s="6"/>
      <c r="BY1345" s="6"/>
      <c r="BZ1345" s="6"/>
      <c r="CA1345" s="6"/>
      <c r="CB1345" s="6"/>
      <c r="CC1345" s="6"/>
      <c r="CD1345" s="6"/>
      <c r="CE1345" s="6"/>
      <c r="CF1345" s="6"/>
      <c r="CG1345" s="6"/>
      <c r="CH1345" s="6"/>
      <c r="CI1345" s="6"/>
      <c r="CJ1345" s="6"/>
      <c r="CK1345" s="6"/>
      <c r="CL1345" s="6"/>
      <c r="CM1345" s="6"/>
      <c r="CN1345" s="6"/>
      <c r="CO1345" s="6"/>
      <c r="CP1345" s="6"/>
      <c r="CQ1345" s="6"/>
      <c r="CR1345" s="6"/>
      <c r="CS1345" s="6"/>
      <c r="CT1345" s="6"/>
      <c r="CU1345" s="6"/>
      <c r="CV1345" s="6"/>
      <c r="CW1345" s="6"/>
      <c r="CX1345" s="6"/>
      <c r="CY1345" s="6"/>
      <c r="CZ1345" s="6"/>
      <c r="DA1345" s="6"/>
      <c r="DB1345" s="6"/>
      <c r="DC1345" s="6"/>
      <c r="DD1345" s="6"/>
    </row>
    <row r="1346" spans="1:108" ht="12.75" hidden="1" customHeight="1" outlineLevel="5">
      <c r="A1346" s="104" t="s">
        <v>255</v>
      </c>
      <c r="B1346" s="94">
        <f>IF(Type_e="Jet",l_e.j/B1321,l_e.p/B1321)</f>
        <v>7.2987836711348555</v>
      </c>
      <c r="C1346" s="11"/>
      <c r="D1346" s="18" t="str">
        <f>"&lt;" &amp; A1346 &amp; "&gt;" &amp; TEXT(B1346,"0.000000") &amp; "&lt;/" &amp; A1346 &amp; "&gt;"</f>
        <v>&lt;Nozzle_Length&gt;7.298784&lt;/Nozzle_Length&gt;</v>
      </c>
      <c r="E1346" s="175"/>
      <c r="F1346" s="6" t="s">
        <v>1003</v>
      </c>
      <c r="G1346" s="6"/>
      <c r="H1346" s="6"/>
      <c r="I1346" s="6"/>
      <c r="J1346" s="6"/>
      <c r="K1346" s="6"/>
      <c r="L1346" s="6"/>
      <c r="M1346" s="6"/>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c r="BU1346" s="6"/>
      <c r="BV1346" s="6"/>
      <c r="BW1346" s="6"/>
      <c r="BX1346" s="6"/>
      <c r="BY1346" s="6"/>
      <c r="BZ1346" s="6"/>
      <c r="CA1346" s="6"/>
      <c r="CB1346" s="6"/>
      <c r="CC1346" s="6"/>
      <c r="CD1346" s="6"/>
      <c r="CE1346" s="6"/>
      <c r="CF1346" s="6"/>
      <c r="CG1346" s="6"/>
      <c r="CH1346" s="6"/>
      <c r="CI1346" s="6"/>
      <c r="CJ1346" s="6"/>
      <c r="CK1346" s="6"/>
      <c r="CL1346" s="6"/>
      <c r="CM1346" s="6"/>
      <c r="CN1346" s="6"/>
      <c r="CO1346" s="6"/>
      <c r="CP1346" s="6"/>
      <c r="CQ1346" s="6"/>
      <c r="CR1346" s="6"/>
      <c r="CS1346" s="6"/>
      <c r="CT1346" s="6"/>
      <c r="CU1346" s="6"/>
      <c r="CV1346" s="6"/>
      <c r="CW1346" s="6"/>
      <c r="CX1346" s="6"/>
      <c r="CY1346" s="6"/>
      <c r="CZ1346" s="6"/>
      <c r="DA1346" s="6"/>
      <c r="DB1346" s="6"/>
      <c r="DC1346" s="6"/>
      <c r="DD1346" s="6"/>
    </row>
    <row r="1347" spans="1:108" ht="12.75" hidden="1" customHeight="1" outlineLevel="5">
      <c r="A1347" s="104" t="s">
        <v>256</v>
      </c>
      <c r="B1347" s="28">
        <v>3</v>
      </c>
      <c r="C1347" s="11"/>
      <c r="D1347" s="18" t="str">
        <f>"&lt;" &amp; A1347 &amp; "&gt;" &amp; TEXT(B1347,"0.000000") &amp; "&lt;/" &amp; A1347 &amp; "&gt;"</f>
        <v>&lt;Exit_Area_Ratio&gt;3.000000&lt;/Exit_Area_Ratio&gt;</v>
      </c>
      <c r="E1347" s="175"/>
      <c r="F1347" s="6" t="s">
        <v>891</v>
      </c>
      <c r="G1347" s="6"/>
      <c r="H1347" s="6"/>
      <c r="I1347" s="6"/>
      <c r="J1347" s="6"/>
      <c r="K1347" s="6"/>
      <c r="L1347" s="6"/>
      <c r="M1347" s="6"/>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c r="BU1347" s="6"/>
      <c r="BV1347" s="6"/>
      <c r="BW1347" s="6"/>
      <c r="BX1347" s="6"/>
      <c r="BY1347" s="6"/>
      <c r="BZ1347" s="6"/>
      <c r="CA1347" s="6"/>
      <c r="CB1347" s="6"/>
      <c r="CC1347" s="6"/>
      <c r="CD1347" s="6"/>
      <c r="CE1347" s="6"/>
      <c r="CF1347" s="6"/>
      <c r="CG1347" s="6"/>
      <c r="CH1347" s="6"/>
      <c r="CI1347" s="6"/>
      <c r="CJ1347" s="6"/>
      <c r="CK1347" s="6"/>
      <c r="CL1347" s="6"/>
      <c r="CM1347" s="6"/>
      <c r="CN1347" s="6"/>
      <c r="CO1347" s="6"/>
      <c r="CP1347" s="6"/>
      <c r="CQ1347" s="6"/>
      <c r="CR1347" s="6"/>
      <c r="CS1347" s="6"/>
      <c r="CT1347" s="6"/>
      <c r="CU1347" s="6"/>
      <c r="CV1347" s="6"/>
      <c r="CW1347" s="6"/>
      <c r="CX1347" s="6"/>
      <c r="CY1347" s="6"/>
      <c r="CZ1347" s="6"/>
      <c r="DA1347" s="6"/>
      <c r="DB1347" s="6"/>
      <c r="DC1347" s="6"/>
      <c r="DD1347" s="6"/>
    </row>
    <row r="1348" spans="1:108" ht="12.75" hidden="1" customHeight="1" outlineLevel="5">
      <c r="A1348" s="104" t="s">
        <v>257</v>
      </c>
      <c r="B1348" s="28">
        <v>1</v>
      </c>
      <c r="C1348" s="11"/>
      <c r="D1348" s="18" t="str">
        <f>"&lt;" &amp; A1348 &amp; "&gt;" &amp; TEXT(B1348,"0.000000") &amp; "&lt;/" &amp; A1348 &amp; "&gt;"</f>
        <v>&lt;Nozzle_Height_Width_Ratio&gt;1.000000&lt;/Nozzle_Height_Width_Ratio&gt;</v>
      </c>
      <c r="E1348" s="175"/>
      <c r="F1348" s="6" t="s">
        <v>892</v>
      </c>
      <c r="G1348" s="6"/>
      <c r="H1348" s="6"/>
      <c r="I1348" s="6"/>
      <c r="J1348" s="6"/>
      <c r="K1348" s="6"/>
      <c r="L1348" s="6"/>
      <c r="M1348" s="6"/>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c r="BU1348" s="6"/>
      <c r="BV1348" s="6"/>
      <c r="BW1348" s="6"/>
      <c r="BX1348" s="6"/>
      <c r="BY1348" s="6"/>
      <c r="BZ1348" s="6"/>
      <c r="CA1348" s="6"/>
      <c r="CB1348" s="6"/>
      <c r="CC1348" s="6"/>
      <c r="CD1348" s="6"/>
      <c r="CE1348" s="6"/>
      <c r="CF1348" s="6"/>
      <c r="CG1348" s="6"/>
      <c r="CH1348" s="6"/>
      <c r="CI1348" s="6"/>
      <c r="CJ1348" s="6"/>
      <c r="CK1348" s="6"/>
      <c r="CL1348" s="6"/>
      <c r="CM1348" s="6"/>
      <c r="CN1348" s="6"/>
      <c r="CO1348" s="6"/>
      <c r="CP1348" s="6"/>
      <c r="CQ1348" s="6"/>
      <c r="CR1348" s="6"/>
      <c r="CS1348" s="6"/>
      <c r="CT1348" s="6"/>
      <c r="CU1348" s="6"/>
      <c r="CV1348" s="6"/>
      <c r="CW1348" s="6"/>
      <c r="CX1348" s="6"/>
      <c r="CY1348" s="6"/>
      <c r="CZ1348" s="6"/>
      <c r="DA1348" s="6"/>
      <c r="DB1348" s="6"/>
      <c r="DC1348" s="6"/>
      <c r="DD1348" s="6"/>
    </row>
    <row r="1349" spans="1:108" ht="12.75" hidden="1" customHeight="1" outlineLevel="5">
      <c r="A1349" s="104" t="s">
        <v>258</v>
      </c>
      <c r="B1349" s="28">
        <v>1.5</v>
      </c>
      <c r="C1349" s="11"/>
      <c r="D1349" s="18" t="str">
        <f>"&lt;" &amp; A1349 &amp; "&gt;" &amp; TEXT(B1349,"0.000000") &amp; "&lt;/" &amp; A1349 &amp; "&gt;"</f>
        <v>&lt;Exit_Throat_Ratio&gt;1.500000&lt;/Exit_Throat_Ratio&gt;</v>
      </c>
      <c r="E1349" s="175"/>
      <c r="F1349" s="6" t="s">
        <v>893</v>
      </c>
      <c r="G1349" s="6"/>
      <c r="H1349" s="6"/>
      <c r="I1349" s="6"/>
      <c r="J1349" s="6"/>
      <c r="K1349" s="6"/>
      <c r="L1349" s="6"/>
      <c r="M1349" s="6"/>
      <c r="N1349" s="6"/>
      <c r="O1349" s="6"/>
      <c r="P1349" s="6"/>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c r="BU1349" s="6"/>
      <c r="BV1349" s="6"/>
      <c r="BW1349" s="6"/>
      <c r="BX1349" s="6"/>
      <c r="BY1349" s="6"/>
      <c r="BZ1349" s="6"/>
      <c r="CA1349" s="6"/>
      <c r="CB1349" s="6"/>
      <c r="CC1349" s="6"/>
      <c r="CD1349" s="6"/>
      <c r="CE1349" s="6"/>
      <c r="CF1349" s="6"/>
      <c r="CG1349" s="6"/>
      <c r="CH1349" s="6"/>
      <c r="CI1349" s="6"/>
      <c r="CJ1349" s="6"/>
      <c r="CK1349" s="6"/>
      <c r="CL1349" s="6"/>
      <c r="CM1349" s="6"/>
      <c r="CN1349" s="6"/>
      <c r="CO1349" s="6"/>
      <c r="CP1349" s="6"/>
      <c r="CQ1349" s="6"/>
      <c r="CR1349" s="6"/>
      <c r="CS1349" s="6"/>
      <c r="CT1349" s="6"/>
      <c r="CU1349" s="6"/>
      <c r="CV1349" s="6"/>
      <c r="CW1349" s="6"/>
      <c r="CX1349" s="6"/>
      <c r="CY1349" s="6"/>
      <c r="CZ1349" s="6"/>
      <c r="DA1349" s="6"/>
      <c r="DB1349" s="6"/>
      <c r="DC1349" s="6"/>
      <c r="DD1349" s="6"/>
    </row>
    <row r="1350" spans="1:108" ht="12.75" hidden="1" customHeight="1" outlineLevel="5">
      <c r="A1350" s="104" t="s">
        <v>259</v>
      </c>
      <c r="B1350" s="28">
        <v>1</v>
      </c>
      <c r="C1350" s="11"/>
      <c r="D1350" s="18" t="str">
        <f>"&lt;" &amp; A1350 &amp; "&gt;" &amp; TEXT(B1350,"0.000000") &amp; "&lt;/" &amp; A1350 &amp; "&gt;"</f>
        <v>&lt;Dive_Flap_Ratio&gt;1.000000&lt;/Dive_Flap_Ratio&gt;</v>
      </c>
      <c r="E1350" s="175"/>
      <c r="F1350" s="6" t="s">
        <v>894</v>
      </c>
      <c r="G1350" s="6"/>
      <c r="H1350" s="6"/>
      <c r="I1350" s="6"/>
      <c r="J1350" s="6"/>
      <c r="K1350" s="6"/>
      <c r="L1350" s="6"/>
      <c r="M1350" s="6"/>
      <c r="N1350" s="6"/>
      <c r="O1350" s="6"/>
      <c r="P1350" s="6"/>
      <c r="Q1350" s="6"/>
      <c r="R1350" s="6"/>
      <c r="S1350" s="6"/>
      <c r="T1350" s="6"/>
      <c r="U1350" s="6"/>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c r="BU1350" s="6"/>
      <c r="BV1350" s="6"/>
      <c r="BW1350" s="6"/>
      <c r="BX1350" s="6"/>
      <c r="BY1350" s="6"/>
      <c r="BZ1350" s="6"/>
      <c r="CA1350" s="6"/>
      <c r="CB1350" s="6"/>
      <c r="CC1350" s="6"/>
      <c r="CD1350" s="6"/>
      <c r="CE1350" s="6"/>
      <c r="CF1350" s="6"/>
      <c r="CG1350" s="6"/>
      <c r="CH1350" s="6"/>
      <c r="CI1350" s="6"/>
      <c r="CJ1350" s="6"/>
      <c r="CK1350" s="6"/>
      <c r="CL1350" s="6"/>
      <c r="CM1350" s="6"/>
      <c r="CN1350" s="6"/>
      <c r="CO1350" s="6"/>
      <c r="CP1350" s="6"/>
      <c r="CQ1350" s="6"/>
      <c r="CR1350" s="6"/>
      <c r="CS1350" s="6"/>
      <c r="CT1350" s="6"/>
      <c r="CU1350" s="6"/>
      <c r="CV1350" s="6"/>
      <c r="CW1350" s="6"/>
      <c r="CX1350" s="6"/>
      <c r="CY1350" s="6"/>
      <c r="CZ1350" s="6"/>
      <c r="DA1350" s="6"/>
      <c r="DB1350" s="6"/>
      <c r="DC1350" s="6"/>
      <c r="DD1350" s="6"/>
    </row>
    <row r="1351" spans="1:108" ht="12.75" hidden="1" customHeight="1" outlineLevel="5">
      <c r="A1351" s="104" t="s">
        <v>260</v>
      </c>
      <c r="B1351" s="28">
        <v>0</v>
      </c>
      <c r="C1351" s="11"/>
      <c r="D1351" s="18" t="str">
        <f>"&lt;" &amp; A1351 &amp; "&gt;" &amp; TEXT(B1351,0) &amp; "&lt;/" &amp; A1351 &amp; "&gt;"</f>
        <v>&lt;Nozzle_Duct_On_Off&gt;0&lt;/Nozzle_Duct_On_Off&gt;</v>
      </c>
      <c r="E1351" s="175"/>
      <c r="F1351" s="6" t="s">
        <v>895</v>
      </c>
      <c r="G1351" s="6"/>
      <c r="H1351" s="6"/>
      <c r="I1351" s="6"/>
      <c r="J1351" s="6"/>
      <c r="K1351" s="6"/>
      <c r="L1351" s="6"/>
      <c r="M1351" s="6"/>
      <c r="N1351" s="6"/>
      <c r="O1351" s="6"/>
      <c r="P1351" s="6"/>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c r="BU1351" s="6"/>
      <c r="BV1351" s="6"/>
      <c r="BW1351" s="6"/>
      <c r="BX1351" s="6"/>
      <c r="BY1351" s="6"/>
      <c r="BZ1351" s="6"/>
      <c r="CA1351" s="6"/>
      <c r="CB1351" s="6"/>
      <c r="CC1351" s="6"/>
      <c r="CD1351" s="6"/>
      <c r="CE1351" s="6"/>
      <c r="CF1351" s="6"/>
      <c r="CG1351" s="6"/>
      <c r="CH1351" s="6"/>
      <c r="CI1351" s="6"/>
      <c r="CJ1351" s="6"/>
      <c r="CK1351" s="6"/>
      <c r="CL1351" s="6"/>
      <c r="CM1351" s="6"/>
      <c r="CN1351" s="6"/>
      <c r="CO1351" s="6"/>
      <c r="CP1351" s="6"/>
      <c r="CQ1351" s="6"/>
      <c r="CR1351" s="6"/>
      <c r="CS1351" s="6"/>
      <c r="CT1351" s="6"/>
      <c r="CU1351" s="6"/>
      <c r="CV1351" s="6"/>
      <c r="CW1351" s="6"/>
      <c r="CX1351" s="6"/>
      <c r="CY1351" s="6"/>
      <c r="CZ1351" s="6"/>
      <c r="DA1351" s="6"/>
      <c r="DB1351" s="6"/>
      <c r="DC1351" s="6"/>
      <c r="DD1351" s="6"/>
    </row>
    <row r="1352" spans="1:108" ht="12.75" hidden="1" customHeight="1" outlineLevel="5">
      <c r="A1352" s="104" t="s">
        <v>261</v>
      </c>
      <c r="B1352" s="28">
        <v>1</v>
      </c>
      <c r="C1352" s="11"/>
      <c r="D1352" s="18" t="str">
        <f>"&lt;" &amp; A1352 &amp; "&gt;" &amp; TEXT(B1352,"0.000000") &amp; "&lt;/" &amp; A1352 &amp; "&gt;"</f>
        <v>&lt;Nozzle_Duct_X_Offset&gt;1.000000&lt;/Nozzle_Duct_X_Offset&gt;</v>
      </c>
      <c r="E1352" s="175"/>
      <c r="F1352" s="6" t="s">
        <v>896</v>
      </c>
      <c r="G1352" s="6"/>
      <c r="H1352" s="6"/>
      <c r="I1352" s="6"/>
      <c r="J1352" s="6"/>
      <c r="K1352" s="6"/>
      <c r="L1352" s="6"/>
      <c r="M1352" s="6"/>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c r="BU1352" s="6"/>
      <c r="BV1352" s="6"/>
      <c r="BW1352" s="6"/>
      <c r="BX1352" s="6"/>
      <c r="BY1352" s="6"/>
      <c r="BZ1352" s="6"/>
      <c r="CA1352" s="6"/>
      <c r="CB1352" s="6"/>
      <c r="CC1352" s="6"/>
      <c r="CD1352" s="6"/>
      <c r="CE1352" s="6"/>
      <c r="CF1352" s="6"/>
      <c r="CG1352" s="6"/>
      <c r="CH1352" s="6"/>
      <c r="CI1352" s="6"/>
      <c r="CJ1352" s="6"/>
      <c r="CK1352" s="6"/>
      <c r="CL1352" s="6"/>
      <c r="CM1352" s="6"/>
      <c r="CN1352" s="6"/>
      <c r="CO1352" s="6"/>
      <c r="CP1352" s="6"/>
      <c r="CQ1352" s="6"/>
      <c r="CR1352" s="6"/>
      <c r="CS1352" s="6"/>
      <c r="CT1352" s="6"/>
      <c r="CU1352" s="6"/>
      <c r="CV1352" s="6"/>
      <c r="CW1352" s="6"/>
      <c r="CX1352" s="6"/>
      <c r="CY1352" s="6"/>
      <c r="CZ1352" s="6"/>
      <c r="DA1352" s="6"/>
      <c r="DB1352" s="6"/>
      <c r="DC1352" s="6"/>
      <c r="DD1352" s="6"/>
    </row>
    <row r="1353" spans="1:108" ht="12.75" hidden="1" customHeight="1" outlineLevel="5">
      <c r="A1353" s="104" t="s">
        <v>262</v>
      </c>
      <c r="B1353" s="28">
        <v>0</v>
      </c>
      <c r="C1353" s="11"/>
      <c r="D1353" s="18" t="str">
        <f>"&lt;" &amp; A1353 &amp; "&gt;" &amp; TEXT(B1353,"0.000000") &amp; "&lt;/" &amp; A1353 &amp; "&gt;"</f>
        <v>&lt;Nozzle_Duct_Y_Offset&gt;0.000000&lt;/Nozzle_Duct_Y_Offset&gt;</v>
      </c>
      <c r="E1353" s="175"/>
      <c r="F1353" s="6" t="s">
        <v>897</v>
      </c>
      <c r="G1353" s="6"/>
      <c r="H1353" s="6"/>
      <c r="I1353" s="6"/>
      <c r="J1353" s="6"/>
      <c r="K1353" s="6"/>
      <c r="L1353" s="6"/>
      <c r="M1353" s="6"/>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c r="BU1353" s="6"/>
      <c r="BV1353" s="6"/>
      <c r="BW1353" s="6"/>
      <c r="BX1353" s="6"/>
      <c r="BY1353" s="6"/>
      <c r="BZ1353" s="6"/>
      <c r="CA1353" s="6"/>
      <c r="CB1353" s="6"/>
      <c r="CC1353" s="6"/>
      <c r="CD1353" s="6"/>
      <c r="CE1353" s="6"/>
      <c r="CF1353" s="6"/>
      <c r="CG1353" s="6"/>
      <c r="CH1353" s="6"/>
      <c r="CI1353" s="6"/>
      <c r="CJ1353" s="6"/>
      <c r="CK1353" s="6"/>
      <c r="CL1353" s="6"/>
      <c r="CM1353" s="6"/>
      <c r="CN1353" s="6"/>
      <c r="CO1353" s="6"/>
      <c r="CP1353" s="6"/>
      <c r="CQ1353" s="6"/>
      <c r="CR1353" s="6"/>
      <c r="CS1353" s="6"/>
      <c r="CT1353" s="6"/>
      <c r="CU1353" s="6"/>
      <c r="CV1353" s="6"/>
      <c r="CW1353" s="6"/>
      <c r="CX1353" s="6"/>
      <c r="CY1353" s="6"/>
      <c r="CZ1353" s="6"/>
      <c r="DA1353" s="6"/>
      <c r="DB1353" s="6"/>
      <c r="DC1353" s="6"/>
      <c r="DD1353" s="6"/>
    </row>
    <row r="1354" spans="1:108" ht="12.75" hidden="1" customHeight="1" outlineLevel="5">
      <c r="A1354" s="104" t="s">
        <v>263</v>
      </c>
      <c r="B1354" s="28">
        <v>0</v>
      </c>
      <c r="C1354" s="11"/>
      <c r="D1354" s="18" t="str">
        <f>"&lt;" &amp; A1354 &amp; "&gt;" &amp; TEXT(B1354,"0.000000") &amp; "&lt;/" &amp; A1354 &amp; "&gt;"</f>
        <v>&lt;Nozzle_Duct_Shape_Factor&gt;0.000000&lt;/Nozzle_Duct_Shape_Factor&gt;</v>
      </c>
      <c r="E1354" s="175"/>
      <c r="F1354" s="6" t="s">
        <v>898</v>
      </c>
      <c r="G1354" s="6"/>
      <c r="H1354" s="6"/>
      <c r="I1354" s="6"/>
      <c r="J1354" s="6"/>
      <c r="K1354" s="6"/>
      <c r="L1354" s="6"/>
      <c r="M1354" s="6"/>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c r="BU1354" s="6"/>
      <c r="BV1354" s="6"/>
      <c r="BW1354" s="6"/>
      <c r="BX1354" s="6"/>
      <c r="BY1354" s="6"/>
      <c r="BZ1354" s="6"/>
      <c r="CA1354" s="6"/>
      <c r="CB1354" s="6"/>
      <c r="CC1354" s="6"/>
      <c r="CD1354" s="6"/>
      <c r="CE1354" s="6"/>
      <c r="CF1354" s="6"/>
      <c r="CG1354" s="6"/>
      <c r="CH1354" s="6"/>
      <c r="CI1354" s="6"/>
      <c r="CJ1354" s="6"/>
      <c r="CK1354" s="6"/>
      <c r="CL1354" s="6"/>
      <c r="CM1354" s="6"/>
      <c r="CN1354" s="6"/>
      <c r="CO1354" s="6"/>
      <c r="CP1354" s="6"/>
      <c r="CQ1354" s="6"/>
      <c r="CR1354" s="6"/>
      <c r="CS1354" s="6"/>
      <c r="CT1354" s="6"/>
      <c r="CU1354" s="6"/>
      <c r="CV1354" s="6"/>
      <c r="CW1354" s="6"/>
      <c r="CX1354" s="6"/>
      <c r="CY1354" s="6"/>
      <c r="CZ1354" s="6"/>
      <c r="DA1354" s="6"/>
      <c r="DB1354" s="6"/>
      <c r="DC1354" s="6"/>
      <c r="DD1354" s="6"/>
    </row>
    <row r="1355" spans="1:108" ht="12.75" hidden="1" customHeight="1" outlineLevel="5">
      <c r="A1355" s="104" t="s">
        <v>264</v>
      </c>
      <c r="B1355" s="100"/>
      <c r="C1355" s="11"/>
      <c r="D1355" s="6" t="str">
        <f>"&lt;" &amp; A1355 &amp; "&gt;"</f>
        <v>&lt;/Engine_Parms&gt;</v>
      </c>
      <c r="E1355" s="175"/>
      <c r="F1355" s="6" t="s">
        <v>899</v>
      </c>
      <c r="G1355" s="6"/>
      <c r="H1355" s="6"/>
      <c r="I1355" s="6"/>
      <c r="J1355" s="6"/>
      <c r="K1355" s="6"/>
      <c r="L1355" s="6"/>
      <c r="M1355" s="6"/>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c r="BU1355" s="6"/>
      <c r="BV1355" s="6"/>
      <c r="BW1355" s="6"/>
      <c r="BX1355" s="6"/>
      <c r="BY1355" s="6"/>
      <c r="BZ1355" s="6"/>
      <c r="CA1355" s="6"/>
      <c r="CB1355" s="6"/>
      <c r="CC1355" s="6"/>
      <c r="CD1355" s="6"/>
      <c r="CE1355" s="6"/>
      <c r="CF1355" s="6"/>
      <c r="CG1355" s="6"/>
      <c r="CH1355" s="6"/>
      <c r="CI1355" s="6"/>
      <c r="CJ1355" s="6"/>
      <c r="CK1355" s="6"/>
      <c r="CL1355" s="6"/>
      <c r="CM1355" s="6"/>
      <c r="CN1355" s="6"/>
      <c r="CO1355" s="6"/>
      <c r="CP1355" s="6"/>
      <c r="CQ1355" s="6"/>
      <c r="CR1355" s="6"/>
      <c r="CS1355" s="6"/>
      <c r="CT1355" s="6"/>
      <c r="CU1355" s="6"/>
      <c r="CV1355" s="6"/>
      <c r="CW1355" s="6"/>
      <c r="CX1355" s="6"/>
      <c r="CY1355" s="6"/>
      <c r="CZ1355" s="6"/>
      <c r="DA1355" s="6"/>
      <c r="DB1355" s="6"/>
      <c r="DC1355" s="6"/>
      <c r="DD1355" s="6"/>
    </row>
    <row r="1356" spans="1:108" ht="12.75" hidden="1" customHeight="1" outlineLevel="4">
      <c r="A1356" s="104" t="s">
        <v>138</v>
      </c>
      <c r="B1356" s="100"/>
      <c r="C1356" s="11"/>
      <c r="D1356" s="6" t="str">
        <f>"&lt;" &amp; A1356 &amp; "&gt;"</f>
        <v>&lt;/Component&gt;</v>
      </c>
      <c r="E1356" s="175"/>
      <c r="F1356" s="6" t="s">
        <v>27</v>
      </c>
      <c r="G1356" s="6"/>
      <c r="H1356" s="6"/>
      <c r="I1356" s="6"/>
      <c r="J1356" s="6"/>
      <c r="K1356" s="6"/>
      <c r="L1356" s="6"/>
      <c r="M1356" s="6"/>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c r="BU1356" s="6"/>
      <c r="BV1356" s="6"/>
      <c r="BW1356" s="6"/>
      <c r="BX1356" s="6"/>
      <c r="BY1356" s="6"/>
      <c r="BZ1356" s="6"/>
      <c r="CA1356" s="6"/>
      <c r="CB1356" s="6"/>
      <c r="CC1356" s="6"/>
      <c r="CD1356" s="6"/>
      <c r="CE1356" s="6"/>
      <c r="CF1356" s="6"/>
      <c r="CG1356" s="6"/>
      <c r="CH1356" s="6"/>
      <c r="CI1356" s="6"/>
      <c r="CJ1356" s="6"/>
      <c r="CK1356" s="6"/>
      <c r="CL1356" s="6"/>
      <c r="CM1356" s="6"/>
      <c r="CN1356" s="6"/>
      <c r="CO1356" s="6"/>
      <c r="CP1356" s="6"/>
      <c r="CQ1356" s="6"/>
      <c r="CR1356" s="6"/>
      <c r="CS1356" s="6"/>
      <c r="CT1356" s="6"/>
      <c r="CU1356" s="6"/>
      <c r="CV1356" s="6"/>
      <c r="CW1356" s="6"/>
      <c r="CX1356" s="6"/>
      <c r="CY1356" s="6"/>
      <c r="CZ1356" s="6"/>
      <c r="DA1356" s="6"/>
      <c r="DB1356" s="6"/>
      <c r="DC1356" s="6"/>
      <c r="DD1356" s="6"/>
    </row>
    <row r="1357" spans="1:108" ht="12.75" hidden="1" customHeight="1" outlineLevel="3" collapsed="1">
      <c r="A1357" s="104" t="s">
        <v>40</v>
      </c>
      <c r="B1357" s="110" t="s">
        <v>367</v>
      </c>
      <c r="C1357" s="27" t="str">
        <f>IF(Input!$D$26="Jet","No","Yes")</f>
        <v>No</v>
      </c>
      <c r="D1357" s="6" t="str">
        <f>IF(C1357="Yes",("&lt;"&amp;A1357&amp;"&gt;"),("&lt;!--"&amp;A1357&amp;"&gt;"))</f>
        <v>&lt;!--Component&gt;</v>
      </c>
      <c r="E1357" s="175"/>
      <c r="F1357" s="6" t="s">
        <v>900</v>
      </c>
      <c r="G1357" s="6"/>
      <c r="H1357" s="6"/>
      <c r="I1357" s="6"/>
      <c r="J1357" s="6"/>
      <c r="K1357" s="6"/>
      <c r="L1357" s="6"/>
      <c r="M1357" s="6"/>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c r="BU1357" s="6"/>
      <c r="BV1357" s="6"/>
      <c r="BW1357" s="6"/>
      <c r="BX1357" s="6"/>
      <c r="BY1357" s="6"/>
      <c r="BZ1357" s="6"/>
      <c r="CA1357" s="6"/>
      <c r="CB1357" s="6"/>
      <c r="CC1357" s="6"/>
      <c r="CD1357" s="6"/>
      <c r="CE1357" s="6"/>
      <c r="CF1357" s="6"/>
      <c r="CG1357" s="6"/>
      <c r="CH1357" s="6"/>
      <c r="CI1357" s="6"/>
      <c r="CJ1357" s="6"/>
      <c r="CK1357" s="6"/>
      <c r="CL1357" s="6"/>
      <c r="CM1357" s="6"/>
      <c r="CN1357" s="6"/>
      <c r="CO1357" s="6"/>
      <c r="CP1357" s="6"/>
      <c r="CQ1357" s="6"/>
      <c r="CR1357" s="6"/>
      <c r="CS1357" s="6"/>
      <c r="CT1357" s="6"/>
      <c r="CU1357" s="6"/>
      <c r="CV1357" s="6"/>
      <c r="CW1357" s="6"/>
      <c r="CX1357" s="6"/>
      <c r="CY1357" s="6"/>
      <c r="CZ1357" s="6"/>
      <c r="DA1357" s="6"/>
      <c r="DB1357" s="6"/>
      <c r="DC1357" s="6"/>
      <c r="DD1357" s="6"/>
    </row>
    <row r="1358" spans="1:108" ht="12.75" hidden="1" customHeight="1" outlineLevel="4">
      <c r="A1358" s="104" t="s">
        <v>14</v>
      </c>
      <c r="B1358" s="104" t="s">
        <v>294</v>
      </c>
      <c r="C1358" s="11"/>
      <c r="D1358" s="18" t="str">
        <f>"&lt;" &amp; A1358 &amp; "&gt;" &amp; TEXT(B1358,"0.000000") &amp; "&lt;/" &amp; A1358 &amp; "&gt;"</f>
        <v>&lt;Type&gt;Prop&lt;/Type&gt;</v>
      </c>
      <c r="E1358" s="175"/>
      <c r="F1358" s="6" t="s">
        <v>901</v>
      </c>
      <c r="G1358" s="6"/>
      <c r="H1358" s="6"/>
      <c r="I1358" s="6"/>
      <c r="J1358" s="6"/>
      <c r="K1358" s="6"/>
      <c r="L1358" s="6"/>
      <c r="M1358" s="6"/>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c r="BU1358" s="6"/>
      <c r="BV1358" s="6"/>
      <c r="BW1358" s="6"/>
      <c r="BX1358" s="6"/>
      <c r="BY1358" s="6"/>
      <c r="BZ1358" s="6"/>
      <c r="CA1358" s="6"/>
      <c r="CB1358" s="6"/>
      <c r="CC1358" s="6"/>
      <c r="CD1358" s="6"/>
      <c r="CE1358" s="6"/>
      <c r="CF1358" s="6"/>
      <c r="CG1358" s="6"/>
      <c r="CH1358" s="6"/>
      <c r="CI1358" s="6"/>
      <c r="CJ1358" s="6"/>
      <c r="CK1358" s="6"/>
      <c r="CL1358" s="6"/>
      <c r="CM1358" s="6"/>
      <c r="CN1358" s="6"/>
      <c r="CO1358" s="6"/>
      <c r="CP1358" s="6"/>
      <c r="CQ1358" s="6"/>
      <c r="CR1358" s="6"/>
      <c r="CS1358" s="6"/>
      <c r="CT1358" s="6"/>
      <c r="CU1358" s="6"/>
      <c r="CV1358" s="6"/>
      <c r="CW1358" s="6"/>
      <c r="CX1358" s="6"/>
      <c r="CY1358" s="6"/>
      <c r="CZ1358" s="6"/>
      <c r="DA1358" s="6"/>
      <c r="DB1358" s="6"/>
      <c r="DC1358" s="6"/>
      <c r="DD1358" s="6"/>
    </row>
    <row r="1359" spans="1:108" ht="12.75" hidden="1" customHeight="1" outlineLevel="4" collapsed="1">
      <c r="A1359" s="104" t="s">
        <v>42</v>
      </c>
      <c r="B1359" s="104"/>
      <c r="C1359" s="11"/>
      <c r="D1359" s="6" t="str">
        <f>"&lt;" &amp; A1359 &amp; "&gt;"</f>
        <v>&lt;General_Parms&gt;</v>
      </c>
      <c r="E1359" s="175"/>
      <c r="F1359" s="6" t="s">
        <v>622</v>
      </c>
      <c r="G1359" s="6"/>
      <c r="H1359" s="6"/>
      <c r="I1359" s="6"/>
      <c r="J1359" s="6"/>
      <c r="K1359" s="6"/>
      <c r="L1359" s="6"/>
      <c r="M1359" s="6"/>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c r="BU1359" s="6"/>
      <c r="BV1359" s="6"/>
      <c r="BW1359" s="6"/>
      <c r="BX1359" s="6"/>
      <c r="BY1359" s="6"/>
      <c r="BZ1359" s="6"/>
      <c r="CA1359" s="6"/>
      <c r="CB1359" s="6"/>
      <c r="CC1359" s="6"/>
      <c r="CD1359" s="6"/>
      <c r="CE1359" s="6"/>
      <c r="CF1359" s="6"/>
      <c r="CG1359" s="6"/>
      <c r="CH1359" s="6"/>
      <c r="CI1359" s="6"/>
      <c r="CJ1359" s="6"/>
      <c r="CK1359" s="6"/>
      <c r="CL1359" s="6"/>
      <c r="CM1359" s="6"/>
      <c r="CN1359" s="6"/>
      <c r="CO1359" s="6"/>
      <c r="CP1359" s="6"/>
      <c r="CQ1359" s="6"/>
      <c r="CR1359" s="6"/>
      <c r="CS1359" s="6"/>
      <c r="CT1359" s="6"/>
      <c r="CU1359" s="6"/>
      <c r="CV1359" s="6"/>
      <c r="CW1359" s="6"/>
      <c r="CX1359" s="6"/>
      <c r="CY1359" s="6"/>
      <c r="CZ1359" s="6"/>
      <c r="DA1359" s="6"/>
      <c r="DB1359" s="6"/>
      <c r="DC1359" s="6"/>
      <c r="DD1359" s="6"/>
    </row>
    <row r="1360" spans="1:108" ht="12.75" hidden="1" customHeight="1" outlineLevel="5">
      <c r="A1360" s="104" t="s">
        <v>1</v>
      </c>
      <c r="B1360" s="104" t="s">
        <v>296</v>
      </c>
      <c r="C1360" s="11"/>
      <c r="D1360" s="18" t="str">
        <f>"&lt;" &amp; A1360 &amp; "&gt;" &amp; TEXT(B1360,"0.000000") &amp; "&lt;/" &amp; A1360 &amp; "&gt;"</f>
        <v>&lt;Name&gt;Rotor&lt;/Name&gt;</v>
      </c>
      <c r="E1360" s="175"/>
      <c r="F1360" s="6" t="s">
        <v>902</v>
      </c>
      <c r="G1360" s="6"/>
      <c r="H1360" s="6"/>
      <c r="I1360" s="6"/>
      <c r="J1360" s="6"/>
      <c r="K1360" s="6"/>
      <c r="L1360" s="6"/>
      <c r="M1360" s="6"/>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c r="BU1360" s="6"/>
      <c r="BV1360" s="6"/>
      <c r="BW1360" s="6"/>
      <c r="BX1360" s="6"/>
      <c r="BY1360" s="6"/>
      <c r="BZ1360" s="6"/>
      <c r="CA1360" s="6"/>
      <c r="CB1360" s="6"/>
      <c r="CC1360" s="6"/>
      <c r="CD1360" s="6"/>
      <c r="CE1360" s="6"/>
      <c r="CF1360" s="6"/>
      <c r="CG1360" s="6"/>
      <c r="CH1360" s="6"/>
      <c r="CI1360" s="6"/>
      <c r="CJ1360" s="6"/>
      <c r="CK1360" s="6"/>
      <c r="CL1360" s="6"/>
      <c r="CM1360" s="6"/>
      <c r="CN1360" s="6"/>
      <c r="CO1360" s="6"/>
      <c r="CP1360" s="6"/>
      <c r="CQ1360" s="6"/>
      <c r="CR1360" s="6"/>
      <c r="CS1360" s="6"/>
      <c r="CT1360" s="6"/>
      <c r="CU1360" s="6"/>
      <c r="CV1360" s="6"/>
      <c r="CW1360" s="6"/>
      <c r="CX1360" s="6"/>
      <c r="CY1360" s="6"/>
      <c r="CZ1360" s="6"/>
      <c r="DA1360" s="6"/>
      <c r="DB1360" s="6"/>
      <c r="DC1360" s="6"/>
      <c r="DD1360" s="6"/>
    </row>
    <row r="1361" spans="1:108" ht="12.75" hidden="1" customHeight="1" outlineLevel="5">
      <c r="A1361" s="104" t="s">
        <v>43</v>
      </c>
      <c r="B1361" s="95">
        <v>127</v>
      </c>
      <c r="C1361" s="11"/>
      <c r="D1361" s="18" t="str">
        <f>"&lt;" &amp; A1361 &amp; "&gt;" &amp; TEXT(B1361,"0.000000") &amp; "&lt;/" &amp; A1361 &amp; "&gt;"</f>
        <v>&lt;ColorR&gt;127.000000&lt;/ColorR&gt;</v>
      </c>
      <c r="E1361" s="175"/>
      <c r="F1361" s="6" t="s">
        <v>754</v>
      </c>
      <c r="G1361" s="6"/>
      <c r="H1361" s="6"/>
      <c r="I1361" s="6"/>
      <c r="J1361" s="6"/>
      <c r="K1361" s="6"/>
      <c r="L1361" s="6"/>
      <c r="M1361" s="6"/>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c r="BU1361" s="6"/>
      <c r="BV1361" s="6"/>
      <c r="BW1361" s="6"/>
      <c r="BX1361" s="6"/>
      <c r="BY1361" s="6"/>
      <c r="BZ1361" s="6"/>
      <c r="CA1361" s="6"/>
      <c r="CB1361" s="6"/>
      <c r="CC1361" s="6"/>
      <c r="CD1361" s="6"/>
      <c r="CE1361" s="6"/>
      <c r="CF1361" s="6"/>
      <c r="CG1361" s="6"/>
      <c r="CH1361" s="6"/>
      <c r="CI1361" s="6"/>
      <c r="CJ1361" s="6"/>
      <c r="CK1361" s="6"/>
      <c r="CL1361" s="6"/>
      <c r="CM1361" s="6"/>
      <c r="CN1361" s="6"/>
      <c r="CO1361" s="6"/>
      <c r="CP1361" s="6"/>
      <c r="CQ1361" s="6"/>
      <c r="CR1361" s="6"/>
      <c r="CS1361" s="6"/>
      <c r="CT1361" s="6"/>
      <c r="CU1361" s="6"/>
      <c r="CV1361" s="6"/>
      <c r="CW1361" s="6"/>
      <c r="CX1361" s="6"/>
      <c r="CY1361" s="6"/>
      <c r="CZ1361" s="6"/>
      <c r="DA1361" s="6"/>
      <c r="DB1361" s="6"/>
      <c r="DC1361" s="6"/>
      <c r="DD1361" s="6"/>
    </row>
    <row r="1362" spans="1:108" ht="12.75" hidden="1" customHeight="1" outlineLevel="5">
      <c r="A1362" s="104" t="s">
        <v>44</v>
      </c>
      <c r="B1362" s="95">
        <v>127</v>
      </c>
      <c r="C1362" s="11"/>
      <c r="D1362" s="18" t="str">
        <f>"&lt;" &amp; A1362 &amp; "&gt;" &amp; TEXT(B1362,"0.000000") &amp; "&lt;/" &amp; A1362 &amp; "&gt;"</f>
        <v>&lt;ColorG&gt;127.000000&lt;/ColorG&gt;</v>
      </c>
      <c r="E1362" s="175"/>
      <c r="F1362" s="6" t="s">
        <v>755</v>
      </c>
      <c r="G1362" s="6"/>
      <c r="H1362" s="6"/>
      <c r="I1362" s="6"/>
      <c r="J1362" s="6"/>
      <c r="K1362" s="6"/>
      <c r="L1362" s="6"/>
      <c r="M1362" s="6"/>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c r="BU1362" s="6"/>
      <c r="BV1362" s="6"/>
      <c r="BW1362" s="6"/>
      <c r="BX1362" s="6"/>
      <c r="BY1362" s="6"/>
      <c r="BZ1362" s="6"/>
      <c r="CA1362" s="6"/>
      <c r="CB1362" s="6"/>
      <c r="CC1362" s="6"/>
      <c r="CD1362" s="6"/>
      <c r="CE1362" s="6"/>
      <c r="CF1362" s="6"/>
      <c r="CG1362" s="6"/>
      <c r="CH1362" s="6"/>
      <c r="CI1362" s="6"/>
      <c r="CJ1362" s="6"/>
      <c r="CK1362" s="6"/>
      <c r="CL1362" s="6"/>
      <c r="CM1362" s="6"/>
      <c r="CN1362" s="6"/>
      <c r="CO1362" s="6"/>
      <c r="CP1362" s="6"/>
      <c r="CQ1362" s="6"/>
      <c r="CR1362" s="6"/>
      <c r="CS1362" s="6"/>
      <c r="CT1362" s="6"/>
      <c r="CU1362" s="6"/>
      <c r="CV1362" s="6"/>
      <c r="CW1362" s="6"/>
      <c r="CX1362" s="6"/>
      <c r="CY1362" s="6"/>
      <c r="CZ1362" s="6"/>
      <c r="DA1362" s="6"/>
      <c r="DB1362" s="6"/>
      <c r="DC1362" s="6"/>
      <c r="DD1362" s="6"/>
    </row>
    <row r="1363" spans="1:108" ht="12.75" hidden="1" customHeight="1" outlineLevel="5">
      <c r="A1363" s="104" t="s">
        <v>45</v>
      </c>
      <c r="B1363" s="95">
        <v>127</v>
      </c>
      <c r="C1363" s="11"/>
      <c r="D1363" s="18" t="str">
        <f>"&lt;" &amp; A1363 &amp; "&gt;" &amp; TEXT(B1363,"0.000000") &amp; "&lt;/" &amp; A1363 &amp; "&gt;"</f>
        <v>&lt;ColorB&gt;127.000000&lt;/ColorB&gt;</v>
      </c>
      <c r="E1363" s="175"/>
      <c r="F1363" s="6" t="s">
        <v>756</v>
      </c>
      <c r="G1363" s="6"/>
      <c r="H1363" s="6"/>
      <c r="I1363" s="6"/>
      <c r="J1363" s="6"/>
      <c r="K1363" s="6"/>
      <c r="L1363" s="6"/>
      <c r="M1363" s="6"/>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c r="BU1363" s="6"/>
      <c r="BV1363" s="6"/>
      <c r="BW1363" s="6"/>
      <c r="BX1363" s="6"/>
      <c r="BY1363" s="6"/>
      <c r="BZ1363" s="6"/>
      <c r="CA1363" s="6"/>
      <c r="CB1363" s="6"/>
      <c r="CC1363" s="6"/>
      <c r="CD1363" s="6"/>
      <c r="CE1363" s="6"/>
      <c r="CF1363" s="6"/>
      <c r="CG1363" s="6"/>
      <c r="CH1363" s="6"/>
      <c r="CI1363" s="6"/>
      <c r="CJ1363" s="6"/>
      <c r="CK1363" s="6"/>
      <c r="CL1363" s="6"/>
      <c r="CM1363" s="6"/>
      <c r="CN1363" s="6"/>
      <c r="CO1363" s="6"/>
      <c r="CP1363" s="6"/>
      <c r="CQ1363" s="6"/>
      <c r="CR1363" s="6"/>
      <c r="CS1363" s="6"/>
      <c r="CT1363" s="6"/>
      <c r="CU1363" s="6"/>
      <c r="CV1363" s="6"/>
      <c r="CW1363" s="6"/>
      <c r="CX1363" s="6"/>
      <c r="CY1363" s="6"/>
      <c r="CZ1363" s="6"/>
      <c r="DA1363" s="6"/>
      <c r="DB1363" s="6"/>
      <c r="DC1363" s="6"/>
      <c r="DD1363" s="6"/>
    </row>
    <row r="1364" spans="1:108" ht="12.75" hidden="1" customHeight="1" outlineLevel="5">
      <c r="A1364" s="104" t="s">
        <v>46</v>
      </c>
      <c r="B1364" s="95">
        <v>0</v>
      </c>
      <c r="C1364" s="11"/>
      <c r="D1364" s="18" t="str">
        <f t="shared" ref="D1364:D1373" si="77">"&lt;" &amp; A1364 &amp; "&gt;" &amp; TEXT(B1364,0) &amp; "&lt;/" &amp; A1364 &amp; "&gt;"</f>
        <v>&lt;Symmetry&gt;0&lt;/Symmetry&gt;</v>
      </c>
      <c r="E1364" s="175"/>
      <c r="F1364" s="6" t="s">
        <v>720</v>
      </c>
      <c r="G1364" s="6"/>
      <c r="H1364" s="6"/>
      <c r="I1364" s="6"/>
      <c r="J1364" s="6"/>
      <c r="K1364" s="6"/>
      <c r="L1364" s="6"/>
      <c r="M1364" s="6"/>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c r="BU1364" s="6"/>
      <c r="BV1364" s="6"/>
      <c r="BW1364" s="6"/>
      <c r="BX1364" s="6"/>
      <c r="BY1364" s="6"/>
      <c r="BZ1364" s="6"/>
      <c r="CA1364" s="6"/>
      <c r="CB1364" s="6"/>
      <c r="CC1364" s="6"/>
      <c r="CD1364" s="6"/>
      <c r="CE1364" s="6"/>
      <c r="CF1364" s="6"/>
      <c r="CG1364" s="6"/>
      <c r="CH1364" s="6"/>
      <c r="CI1364" s="6"/>
      <c r="CJ1364" s="6"/>
      <c r="CK1364" s="6"/>
      <c r="CL1364" s="6"/>
      <c r="CM1364" s="6"/>
      <c r="CN1364" s="6"/>
      <c r="CO1364" s="6"/>
      <c r="CP1364" s="6"/>
      <c r="CQ1364" s="6"/>
      <c r="CR1364" s="6"/>
      <c r="CS1364" s="6"/>
      <c r="CT1364" s="6"/>
      <c r="CU1364" s="6"/>
      <c r="CV1364" s="6"/>
      <c r="CW1364" s="6"/>
      <c r="CX1364" s="6"/>
      <c r="CY1364" s="6"/>
      <c r="CZ1364" s="6"/>
      <c r="DA1364" s="6"/>
      <c r="DB1364" s="6"/>
      <c r="DC1364" s="6"/>
      <c r="DD1364" s="6"/>
    </row>
    <row r="1365" spans="1:108" ht="12.75" hidden="1" customHeight="1" outlineLevel="5">
      <c r="A1365" s="104" t="s">
        <v>47</v>
      </c>
      <c r="B1365" s="95">
        <v>0</v>
      </c>
      <c r="C1365" s="11"/>
      <c r="D1365" s="18" t="str">
        <f t="shared" si="77"/>
        <v>&lt;RelXFormFlag&gt;0&lt;/RelXFormFlag&gt;</v>
      </c>
      <c r="E1365" s="175"/>
      <c r="F1365" s="6" t="s">
        <v>628</v>
      </c>
      <c r="G1365" s="6"/>
      <c r="H1365" s="6"/>
      <c r="I1365" s="6"/>
      <c r="J1365" s="6"/>
      <c r="K1365" s="6"/>
      <c r="L1365" s="6"/>
      <c r="M1365" s="6"/>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c r="BU1365" s="6"/>
      <c r="BV1365" s="6"/>
      <c r="BW1365" s="6"/>
      <c r="BX1365" s="6"/>
      <c r="BY1365" s="6"/>
      <c r="BZ1365" s="6"/>
      <c r="CA1365" s="6"/>
      <c r="CB1365" s="6"/>
      <c r="CC1365" s="6"/>
      <c r="CD1365" s="6"/>
      <c r="CE1365" s="6"/>
      <c r="CF1365" s="6"/>
      <c r="CG1365" s="6"/>
      <c r="CH1365" s="6"/>
      <c r="CI1365" s="6"/>
      <c r="CJ1365" s="6"/>
      <c r="CK1365" s="6"/>
      <c r="CL1365" s="6"/>
      <c r="CM1365" s="6"/>
      <c r="CN1365" s="6"/>
      <c r="CO1365" s="6"/>
      <c r="CP1365" s="6"/>
      <c r="CQ1365" s="6"/>
      <c r="CR1365" s="6"/>
      <c r="CS1365" s="6"/>
      <c r="CT1365" s="6"/>
      <c r="CU1365" s="6"/>
      <c r="CV1365" s="6"/>
      <c r="CW1365" s="6"/>
      <c r="CX1365" s="6"/>
      <c r="CY1365" s="6"/>
      <c r="CZ1365" s="6"/>
      <c r="DA1365" s="6"/>
      <c r="DB1365" s="6"/>
      <c r="DC1365" s="6"/>
      <c r="DD1365" s="6"/>
    </row>
    <row r="1366" spans="1:108" ht="12.75" hidden="1" customHeight="1" outlineLevel="5">
      <c r="A1366" s="104" t="s">
        <v>48</v>
      </c>
      <c r="B1366" s="95">
        <v>0</v>
      </c>
      <c r="C1366" s="11"/>
      <c r="D1366" s="18" t="str">
        <f t="shared" si="77"/>
        <v>&lt;MaterialID&gt;0&lt;/MaterialID&gt;</v>
      </c>
      <c r="E1366" s="175"/>
      <c r="F1366" s="6" t="s">
        <v>847</v>
      </c>
      <c r="G1366" s="6"/>
      <c r="H1366" s="6"/>
      <c r="I1366" s="6"/>
      <c r="J1366" s="6"/>
      <c r="K1366" s="6"/>
      <c r="L1366" s="6"/>
      <c r="M1366" s="6"/>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c r="BU1366" s="6"/>
      <c r="BV1366" s="6"/>
      <c r="BW1366" s="6"/>
      <c r="BX1366" s="6"/>
      <c r="BY1366" s="6"/>
      <c r="BZ1366" s="6"/>
      <c r="CA1366" s="6"/>
      <c r="CB1366" s="6"/>
      <c r="CC1366" s="6"/>
      <c r="CD1366" s="6"/>
      <c r="CE1366" s="6"/>
      <c r="CF1366" s="6"/>
      <c r="CG1366" s="6"/>
      <c r="CH1366" s="6"/>
      <c r="CI1366" s="6"/>
      <c r="CJ1366" s="6"/>
      <c r="CK1366" s="6"/>
      <c r="CL1366" s="6"/>
      <c r="CM1366" s="6"/>
      <c r="CN1366" s="6"/>
      <c r="CO1366" s="6"/>
      <c r="CP1366" s="6"/>
      <c r="CQ1366" s="6"/>
      <c r="CR1366" s="6"/>
      <c r="CS1366" s="6"/>
      <c r="CT1366" s="6"/>
      <c r="CU1366" s="6"/>
      <c r="CV1366" s="6"/>
      <c r="CW1366" s="6"/>
      <c r="CX1366" s="6"/>
      <c r="CY1366" s="6"/>
      <c r="CZ1366" s="6"/>
      <c r="DA1366" s="6"/>
      <c r="DB1366" s="6"/>
      <c r="DC1366" s="6"/>
      <c r="DD1366" s="6"/>
    </row>
    <row r="1367" spans="1:108" ht="12.75" hidden="1" customHeight="1" outlineLevel="5">
      <c r="A1367" s="104" t="s">
        <v>49</v>
      </c>
      <c r="B1367" s="95">
        <v>1</v>
      </c>
      <c r="C1367" s="11"/>
      <c r="D1367" s="18" t="str">
        <f t="shared" si="77"/>
        <v>&lt;OutputFlag&gt;1&lt;/OutputFlag&gt;</v>
      </c>
      <c r="E1367" s="175"/>
      <c r="F1367" s="6" t="s">
        <v>630</v>
      </c>
      <c r="G1367" s="6"/>
      <c r="H1367" s="6"/>
      <c r="I1367" s="6"/>
      <c r="J1367" s="6"/>
      <c r="K1367" s="6"/>
      <c r="L1367" s="6"/>
      <c r="M1367" s="6"/>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c r="BU1367" s="6"/>
      <c r="BV1367" s="6"/>
      <c r="BW1367" s="6"/>
      <c r="BX1367" s="6"/>
      <c r="BY1367" s="6"/>
      <c r="BZ1367" s="6"/>
      <c r="CA1367" s="6"/>
      <c r="CB1367" s="6"/>
      <c r="CC1367" s="6"/>
      <c r="CD1367" s="6"/>
      <c r="CE1367" s="6"/>
      <c r="CF1367" s="6"/>
      <c r="CG1367" s="6"/>
      <c r="CH1367" s="6"/>
      <c r="CI1367" s="6"/>
      <c r="CJ1367" s="6"/>
      <c r="CK1367" s="6"/>
      <c r="CL1367" s="6"/>
      <c r="CM1367" s="6"/>
      <c r="CN1367" s="6"/>
      <c r="CO1367" s="6"/>
      <c r="CP1367" s="6"/>
      <c r="CQ1367" s="6"/>
      <c r="CR1367" s="6"/>
      <c r="CS1367" s="6"/>
      <c r="CT1367" s="6"/>
      <c r="CU1367" s="6"/>
      <c r="CV1367" s="6"/>
      <c r="CW1367" s="6"/>
      <c r="CX1367" s="6"/>
      <c r="CY1367" s="6"/>
      <c r="CZ1367" s="6"/>
      <c r="DA1367" s="6"/>
      <c r="DB1367" s="6"/>
      <c r="DC1367" s="6"/>
      <c r="DD1367" s="6"/>
    </row>
    <row r="1368" spans="1:108" ht="12.75" hidden="1" customHeight="1" outlineLevel="5">
      <c r="A1368" s="104" t="s">
        <v>50</v>
      </c>
      <c r="B1368" s="95">
        <v>0</v>
      </c>
      <c r="C1368" s="11"/>
      <c r="D1368" s="18" t="str">
        <f t="shared" si="77"/>
        <v>&lt;OutputNameID&gt;0&lt;/OutputNameID&gt;</v>
      </c>
      <c r="E1368" s="175"/>
      <c r="F1368" s="6" t="s">
        <v>631</v>
      </c>
      <c r="G1368" s="6"/>
      <c r="H1368" s="6"/>
      <c r="I1368" s="6"/>
      <c r="J1368" s="6"/>
      <c r="K1368" s="6"/>
      <c r="L1368" s="6"/>
      <c r="M1368" s="6"/>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c r="BU1368" s="6"/>
      <c r="BV1368" s="6"/>
      <c r="BW1368" s="6"/>
      <c r="BX1368" s="6"/>
      <c r="BY1368" s="6"/>
      <c r="BZ1368" s="6"/>
      <c r="CA1368" s="6"/>
      <c r="CB1368" s="6"/>
      <c r="CC1368" s="6"/>
      <c r="CD1368" s="6"/>
      <c r="CE1368" s="6"/>
      <c r="CF1368" s="6"/>
      <c r="CG1368" s="6"/>
      <c r="CH1368" s="6"/>
      <c r="CI1368" s="6"/>
      <c r="CJ1368" s="6"/>
      <c r="CK1368" s="6"/>
      <c r="CL1368" s="6"/>
      <c r="CM1368" s="6"/>
      <c r="CN1368" s="6"/>
      <c r="CO1368" s="6"/>
      <c r="CP1368" s="6"/>
      <c r="CQ1368" s="6"/>
      <c r="CR1368" s="6"/>
      <c r="CS1368" s="6"/>
      <c r="CT1368" s="6"/>
      <c r="CU1368" s="6"/>
      <c r="CV1368" s="6"/>
      <c r="CW1368" s="6"/>
      <c r="CX1368" s="6"/>
      <c r="CY1368" s="6"/>
      <c r="CZ1368" s="6"/>
      <c r="DA1368" s="6"/>
      <c r="DB1368" s="6"/>
      <c r="DC1368" s="6"/>
      <c r="DD1368" s="6"/>
    </row>
    <row r="1369" spans="1:108" ht="12.75" hidden="1" customHeight="1" outlineLevel="5">
      <c r="A1369" s="104" t="s">
        <v>51</v>
      </c>
      <c r="B1369" s="95">
        <v>1</v>
      </c>
      <c r="C1369" s="11"/>
      <c r="D1369" s="18" t="str">
        <f t="shared" si="77"/>
        <v>&lt;DisplayChildrenFlag&gt;1&lt;/DisplayChildrenFlag&gt;</v>
      </c>
      <c r="E1369" s="175"/>
      <c r="F1369" s="6" t="s">
        <v>632</v>
      </c>
      <c r="G1369" s="6"/>
      <c r="H1369" s="6"/>
      <c r="I1369" s="6"/>
      <c r="J1369" s="6"/>
      <c r="K1369" s="6"/>
      <c r="L1369" s="6"/>
      <c r="M1369" s="6"/>
      <c r="N1369" s="6"/>
      <c r="O1369" s="6"/>
      <c r="P1369" s="6"/>
      <c r="Q1369" s="6"/>
      <c r="R1369" s="6"/>
      <c r="S1369" s="6"/>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c r="BU1369" s="6"/>
      <c r="BV1369" s="6"/>
      <c r="BW1369" s="6"/>
      <c r="BX1369" s="6"/>
      <c r="BY1369" s="6"/>
      <c r="BZ1369" s="6"/>
      <c r="CA1369" s="6"/>
      <c r="CB1369" s="6"/>
      <c r="CC1369" s="6"/>
      <c r="CD1369" s="6"/>
      <c r="CE1369" s="6"/>
      <c r="CF1369" s="6"/>
      <c r="CG1369" s="6"/>
      <c r="CH1369" s="6"/>
      <c r="CI1369" s="6"/>
      <c r="CJ1369" s="6"/>
      <c r="CK1369" s="6"/>
      <c r="CL1369" s="6"/>
      <c r="CM1369" s="6"/>
      <c r="CN1369" s="6"/>
      <c r="CO1369" s="6"/>
      <c r="CP1369" s="6"/>
      <c r="CQ1369" s="6"/>
      <c r="CR1369" s="6"/>
      <c r="CS1369" s="6"/>
      <c r="CT1369" s="6"/>
      <c r="CU1369" s="6"/>
      <c r="CV1369" s="6"/>
      <c r="CW1369" s="6"/>
      <c r="CX1369" s="6"/>
      <c r="CY1369" s="6"/>
      <c r="CZ1369" s="6"/>
      <c r="DA1369" s="6"/>
      <c r="DB1369" s="6"/>
      <c r="DC1369" s="6"/>
      <c r="DD1369" s="6"/>
    </row>
    <row r="1370" spans="1:108" ht="12.75" hidden="1" customHeight="1" outlineLevel="5">
      <c r="A1370" s="104" t="s">
        <v>52</v>
      </c>
      <c r="B1370" s="95">
        <v>21</v>
      </c>
      <c r="C1370" s="11"/>
      <c r="D1370" s="18" t="str">
        <f t="shared" si="77"/>
        <v>&lt;NumPnts&gt;21&lt;/NumPnts&gt;</v>
      </c>
      <c r="E1370" s="175"/>
      <c r="F1370" s="6" t="s">
        <v>633</v>
      </c>
      <c r="G1370" s="6"/>
      <c r="H1370" s="6"/>
      <c r="I1370" s="6"/>
      <c r="J1370" s="6"/>
      <c r="K1370" s="6"/>
      <c r="L1370" s="6"/>
      <c r="M1370" s="6"/>
      <c r="N1370" s="6"/>
      <c r="O1370" s="6"/>
      <c r="P1370" s="6"/>
      <c r="Q1370" s="6"/>
      <c r="R1370" s="6"/>
      <c r="S1370" s="6"/>
      <c r="T1370" s="6"/>
      <c r="U1370" s="6"/>
      <c r="V1370" s="6"/>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c r="BU1370" s="6"/>
      <c r="BV1370" s="6"/>
      <c r="BW1370" s="6"/>
      <c r="BX1370" s="6"/>
      <c r="BY1370" s="6"/>
      <c r="BZ1370" s="6"/>
      <c r="CA1370" s="6"/>
      <c r="CB1370" s="6"/>
      <c r="CC1370" s="6"/>
      <c r="CD1370" s="6"/>
      <c r="CE1370" s="6"/>
      <c r="CF1370" s="6"/>
      <c r="CG1370" s="6"/>
      <c r="CH1370" s="6"/>
      <c r="CI1370" s="6"/>
      <c r="CJ1370" s="6"/>
      <c r="CK1370" s="6"/>
      <c r="CL1370" s="6"/>
      <c r="CM1370" s="6"/>
      <c r="CN1370" s="6"/>
      <c r="CO1370" s="6"/>
      <c r="CP1370" s="6"/>
      <c r="CQ1370" s="6"/>
      <c r="CR1370" s="6"/>
      <c r="CS1370" s="6"/>
      <c r="CT1370" s="6"/>
      <c r="CU1370" s="6"/>
      <c r="CV1370" s="6"/>
      <c r="CW1370" s="6"/>
      <c r="CX1370" s="6"/>
      <c r="CY1370" s="6"/>
      <c r="CZ1370" s="6"/>
      <c r="DA1370" s="6"/>
      <c r="DB1370" s="6"/>
      <c r="DC1370" s="6"/>
      <c r="DD1370" s="6"/>
    </row>
    <row r="1371" spans="1:108" ht="12.75" hidden="1" customHeight="1" outlineLevel="5">
      <c r="A1371" s="104" t="s">
        <v>53</v>
      </c>
      <c r="B1371" s="95">
        <v>11</v>
      </c>
      <c r="C1371" s="11"/>
      <c r="D1371" s="18" t="str">
        <f t="shared" si="77"/>
        <v>&lt;NumXsecs&gt;11&lt;/NumXsecs&gt;</v>
      </c>
      <c r="E1371" s="175"/>
      <c r="F1371" s="6" t="s">
        <v>732</v>
      </c>
      <c r="G1371" s="6"/>
      <c r="H1371" s="6"/>
      <c r="I1371" s="6"/>
      <c r="J1371" s="6"/>
      <c r="K1371" s="6"/>
      <c r="L1371" s="6"/>
      <c r="M1371" s="6"/>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c r="BU1371" s="6"/>
      <c r="BV1371" s="6"/>
      <c r="BW1371" s="6"/>
      <c r="BX1371" s="6"/>
      <c r="BY1371" s="6"/>
      <c r="BZ1371" s="6"/>
      <c r="CA1371" s="6"/>
      <c r="CB1371" s="6"/>
      <c r="CC1371" s="6"/>
      <c r="CD1371" s="6"/>
      <c r="CE1371" s="6"/>
      <c r="CF1371" s="6"/>
      <c r="CG1371" s="6"/>
      <c r="CH1371" s="6"/>
      <c r="CI1371" s="6"/>
      <c r="CJ1371" s="6"/>
      <c r="CK1371" s="6"/>
      <c r="CL1371" s="6"/>
      <c r="CM1371" s="6"/>
      <c r="CN1371" s="6"/>
      <c r="CO1371" s="6"/>
      <c r="CP1371" s="6"/>
      <c r="CQ1371" s="6"/>
      <c r="CR1371" s="6"/>
      <c r="CS1371" s="6"/>
      <c r="CT1371" s="6"/>
      <c r="CU1371" s="6"/>
      <c r="CV1371" s="6"/>
      <c r="CW1371" s="6"/>
      <c r="CX1371" s="6"/>
      <c r="CY1371" s="6"/>
      <c r="CZ1371" s="6"/>
      <c r="DA1371" s="6"/>
      <c r="DB1371" s="6"/>
      <c r="DC1371" s="6"/>
      <c r="DD1371" s="6"/>
    </row>
    <row r="1372" spans="1:108" ht="12.75" hidden="1" customHeight="1" outlineLevel="5">
      <c r="A1372" s="104" t="s">
        <v>54</v>
      </c>
      <c r="B1372" s="95">
        <v>0</v>
      </c>
      <c r="C1372" s="11"/>
      <c r="D1372" s="18" t="str">
        <f t="shared" si="77"/>
        <v>&lt;MassPrior&gt;0&lt;/MassPrior&gt;</v>
      </c>
      <c r="E1372" s="175"/>
      <c r="F1372" s="6" t="s">
        <v>635</v>
      </c>
      <c r="G1372" s="6"/>
      <c r="H1372" s="6"/>
      <c r="I1372" s="6"/>
      <c r="J1372" s="6"/>
      <c r="K1372" s="6"/>
      <c r="L1372" s="6"/>
      <c r="M1372" s="6"/>
      <c r="N1372" s="6"/>
      <c r="O1372" s="6"/>
      <c r="P1372" s="6"/>
      <c r="Q1372" s="6"/>
      <c r="R1372" s="6"/>
      <c r="S1372" s="6"/>
      <c r="T1372" s="6"/>
      <c r="U1372" s="6"/>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c r="BU1372" s="6"/>
      <c r="BV1372" s="6"/>
      <c r="BW1372" s="6"/>
      <c r="BX1372" s="6"/>
      <c r="BY1372" s="6"/>
      <c r="BZ1372" s="6"/>
      <c r="CA1372" s="6"/>
      <c r="CB1372" s="6"/>
      <c r="CC1372" s="6"/>
      <c r="CD1372" s="6"/>
      <c r="CE1372" s="6"/>
      <c r="CF1372" s="6"/>
      <c r="CG1372" s="6"/>
      <c r="CH1372" s="6"/>
      <c r="CI1372" s="6"/>
      <c r="CJ1372" s="6"/>
      <c r="CK1372" s="6"/>
      <c r="CL1372" s="6"/>
      <c r="CM1372" s="6"/>
      <c r="CN1372" s="6"/>
      <c r="CO1372" s="6"/>
      <c r="CP1372" s="6"/>
      <c r="CQ1372" s="6"/>
      <c r="CR1372" s="6"/>
      <c r="CS1372" s="6"/>
      <c r="CT1372" s="6"/>
      <c r="CU1372" s="6"/>
      <c r="CV1372" s="6"/>
      <c r="CW1372" s="6"/>
      <c r="CX1372" s="6"/>
      <c r="CY1372" s="6"/>
      <c r="CZ1372" s="6"/>
      <c r="DA1372" s="6"/>
      <c r="DB1372" s="6"/>
      <c r="DC1372" s="6"/>
      <c r="DD1372" s="6"/>
    </row>
    <row r="1373" spans="1:108" ht="12.75" hidden="1" customHeight="1" outlineLevel="5">
      <c r="A1373" s="104" t="s">
        <v>55</v>
      </c>
      <c r="B1373" s="95">
        <v>0</v>
      </c>
      <c r="C1373" s="11"/>
      <c r="D1373" s="18" t="str">
        <f t="shared" si="77"/>
        <v>&lt;ShellFlag&gt;0&lt;/ShellFlag&gt;</v>
      </c>
      <c r="E1373" s="175"/>
      <c r="F1373" s="6" t="s">
        <v>636</v>
      </c>
      <c r="G1373" s="6"/>
      <c r="H1373" s="6"/>
      <c r="I1373" s="6"/>
      <c r="J1373" s="6"/>
      <c r="K1373" s="6"/>
      <c r="L1373" s="6"/>
      <c r="M1373" s="6"/>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c r="BU1373" s="6"/>
      <c r="BV1373" s="6"/>
      <c r="BW1373" s="6"/>
      <c r="BX1373" s="6"/>
      <c r="BY1373" s="6"/>
      <c r="BZ1373" s="6"/>
      <c r="CA1373" s="6"/>
      <c r="CB1373" s="6"/>
      <c r="CC1373" s="6"/>
      <c r="CD1373" s="6"/>
      <c r="CE1373" s="6"/>
      <c r="CF1373" s="6"/>
      <c r="CG1373" s="6"/>
      <c r="CH1373" s="6"/>
      <c r="CI1373" s="6"/>
      <c r="CJ1373" s="6"/>
      <c r="CK1373" s="6"/>
      <c r="CL1373" s="6"/>
      <c r="CM1373" s="6"/>
      <c r="CN1373" s="6"/>
      <c r="CO1373" s="6"/>
      <c r="CP1373" s="6"/>
      <c r="CQ1373" s="6"/>
      <c r="CR1373" s="6"/>
      <c r="CS1373" s="6"/>
      <c r="CT1373" s="6"/>
      <c r="CU1373" s="6"/>
      <c r="CV1373" s="6"/>
      <c r="CW1373" s="6"/>
      <c r="CX1373" s="6"/>
      <c r="CY1373" s="6"/>
      <c r="CZ1373" s="6"/>
      <c r="DA1373" s="6"/>
      <c r="DB1373" s="6"/>
      <c r="DC1373" s="6"/>
      <c r="DD1373" s="6"/>
    </row>
    <row r="1374" spans="1:108" ht="12.75" hidden="1" customHeight="1" outlineLevel="5">
      <c r="A1374" s="104" t="s">
        <v>56</v>
      </c>
      <c r="B1374" s="38">
        <v>0</v>
      </c>
      <c r="C1374" s="11"/>
      <c r="D1374" s="18" t="str">
        <f t="shared" ref="D1374:D1388" si="78">"&lt;" &amp; A1374 &amp; "&gt;" &amp; TEXT(B1374,"0.000000") &amp; "&lt;/" &amp; A1374 &amp; "&gt;"</f>
        <v>&lt;Tran_X&gt;0.000000&lt;/Tran_X&gt;</v>
      </c>
      <c r="E1374" s="175"/>
      <c r="F1374" s="6" t="s">
        <v>759</v>
      </c>
      <c r="G1374" s="6"/>
      <c r="H1374" s="6"/>
      <c r="I1374" s="6"/>
      <c r="J1374" s="6"/>
      <c r="K1374" s="6"/>
      <c r="L1374" s="6"/>
      <c r="M1374" s="6"/>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c r="BU1374" s="6"/>
      <c r="BV1374" s="6"/>
      <c r="BW1374" s="6"/>
      <c r="BX1374" s="6"/>
      <c r="BY1374" s="6"/>
      <c r="BZ1374" s="6"/>
      <c r="CA1374" s="6"/>
      <c r="CB1374" s="6"/>
      <c r="CC1374" s="6"/>
      <c r="CD1374" s="6"/>
      <c r="CE1374" s="6"/>
      <c r="CF1374" s="6"/>
      <c r="CG1374" s="6"/>
      <c r="CH1374" s="6"/>
      <c r="CI1374" s="6"/>
      <c r="CJ1374" s="6"/>
      <c r="CK1374" s="6"/>
      <c r="CL1374" s="6"/>
      <c r="CM1374" s="6"/>
      <c r="CN1374" s="6"/>
      <c r="CO1374" s="6"/>
      <c r="CP1374" s="6"/>
      <c r="CQ1374" s="6"/>
      <c r="CR1374" s="6"/>
      <c r="CS1374" s="6"/>
      <c r="CT1374" s="6"/>
      <c r="CU1374" s="6"/>
      <c r="CV1374" s="6"/>
      <c r="CW1374" s="6"/>
      <c r="CX1374" s="6"/>
      <c r="CY1374" s="6"/>
      <c r="CZ1374" s="6"/>
      <c r="DA1374" s="6"/>
      <c r="DB1374" s="6"/>
      <c r="DC1374" s="6"/>
      <c r="DD1374" s="6"/>
    </row>
    <row r="1375" spans="1:108" ht="12.75" hidden="1" customHeight="1" outlineLevel="5">
      <c r="A1375" s="104" t="s">
        <v>57</v>
      </c>
      <c r="B1375" s="38">
        <v>0</v>
      </c>
      <c r="C1375" s="11"/>
      <c r="D1375" s="18" t="str">
        <f t="shared" si="78"/>
        <v>&lt;Tran_Y&gt;0.000000&lt;/Tran_Y&gt;</v>
      </c>
      <c r="E1375" s="175"/>
      <c r="F1375" s="6" t="s">
        <v>638</v>
      </c>
      <c r="G1375" s="6"/>
      <c r="H1375" s="6"/>
      <c r="I1375" s="6"/>
      <c r="J1375" s="6"/>
      <c r="K1375" s="6"/>
      <c r="L1375" s="6"/>
      <c r="M1375" s="6"/>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c r="BU1375" s="6"/>
      <c r="BV1375" s="6"/>
      <c r="BW1375" s="6"/>
      <c r="BX1375" s="6"/>
      <c r="BY1375" s="6"/>
      <c r="BZ1375" s="6"/>
      <c r="CA1375" s="6"/>
      <c r="CB1375" s="6"/>
      <c r="CC1375" s="6"/>
      <c r="CD1375" s="6"/>
      <c r="CE1375" s="6"/>
      <c r="CF1375" s="6"/>
      <c r="CG1375" s="6"/>
      <c r="CH1375" s="6"/>
      <c r="CI1375" s="6"/>
      <c r="CJ1375" s="6"/>
      <c r="CK1375" s="6"/>
      <c r="CL1375" s="6"/>
      <c r="CM1375" s="6"/>
      <c r="CN1375" s="6"/>
      <c r="CO1375" s="6"/>
      <c r="CP1375" s="6"/>
      <c r="CQ1375" s="6"/>
      <c r="CR1375" s="6"/>
      <c r="CS1375" s="6"/>
      <c r="CT1375" s="6"/>
      <c r="CU1375" s="6"/>
      <c r="CV1375" s="6"/>
      <c r="CW1375" s="6"/>
      <c r="CX1375" s="6"/>
      <c r="CY1375" s="6"/>
      <c r="CZ1375" s="6"/>
      <c r="DA1375" s="6"/>
      <c r="DB1375" s="6"/>
      <c r="DC1375" s="6"/>
      <c r="DD1375" s="6"/>
    </row>
    <row r="1376" spans="1:108" ht="12.75" hidden="1" customHeight="1" outlineLevel="5">
      <c r="A1376" s="104" t="s">
        <v>58</v>
      </c>
      <c r="B1376" s="38">
        <v>0</v>
      </c>
      <c r="C1376" s="11"/>
      <c r="D1376" s="18" t="str">
        <f t="shared" si="78"/>
        <v>&lt;Tran_Z&gt;0.000000&lt;/Tran_Z&gt;</v>
      </c>
      <c r="E1376" s="175"/>
      <c r="F1376" s="6" t="s">
        <v>760</v>
      </c>
      <c r="G1376" s="6"/>
      <c r="H1376" s="6"/>
      <c r="I1376" s="6"/>
      <c r="J1376" s="6"/>
      <c r="K1376" s="6"/>
      <c r="L1376" s="6"/>
      <c r="M1376" s="6"/>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c r="BU1376" s="6"/>
      <c r="BV1376" s="6"/>
      <c r="BW1376" s="6"/>
      <c r="BX1376" s="6"/>
      <c r="BY1376" s="6"/>
      <c r="BZ1376" s="6"/>
      <c r="CA1376" s="6"/>
      <c r="CB1376" s="6"/>
      <c r="CC1376" s="6"/>
      <c r="CD1376" s="6"/>
      <c r="CE1376" s="6"/>
      <c r="CF1376" s="6"/>
      <c r="CG1376" s="6"/>
      <c r="CH1376" s="6"/>
      <c r="CI1376" s="6"/>
      <c r="CJ1376" s="6"/>
      <c r="CK1376" s="6"/>
      <c r="CL1376" s="6"/>
      <c r="CM1376" s="6"/>
      <c r="CN1376" s="6"/>
      <c r="CO1376" s="6"/>
      <c r="CP1376" s="6"/>
      <c r="CQ1376" s="6"/>
      <c r="CR1376" s="6"/>
      <c r="CS1376" s="6"/>
      <c r="CT1376" s="6"/>
      <c r="CU1376" s="6"/>
      <c r="CV1376" s="6"/>
      <c r="CW1376" s="6"/>
      <c r="CX1376" s="6"/>
      <c r="CY1376" s="6"/>
      <c r="CZ1376" s="6"/>
      <c r="DA1376" s="6"/>
      <c r="DB1376" s="6"/>
      <c r="DC1376" s="6"/>
      <c r="DD1376" s="6"/>
    </row>
    <row r="1377" spans="1:108" ht="12.75" hidden="1" customHeight="1" outlineLevel="5">
      <c r="A1377" s="104" t="s">
        <v>59</v>
      </c>
      <c r="B1377" s="95">
        <v>0</v>
      </c>
      <c r="C1377" s="11"/>
      <c r="D1377" s="18" t="str">
        <f t="shared" si="78"/>
        <v>&lt;TranRel_X&gt;0.000000&lt;/TranRel_X&gt;</v>
      </c>
      <c r="E1377" s="175"/>
      <c r="F1377" s="6" t="s">
        <v>639</v>
      </c>
      <c r="G1377" s="6"/>
      <c r="H1377" s="6"/>
      <c r="I1377" s="6"/>
      <c r="J1377" s="6"/>
      <c r="K1377" s="6"/>
      <c r="L1377" s="6"/>
      <c r="M1377" s="6"/>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c r="BU1377" s="6"/>
      <c r="BV1377" s="6"/>
      <c r="BW1377" s="6"/>
      <c r="BX1377" s="6"/>
      <c r="BY1377" s="6"/>
      <c r="BZ1377" s="6"/>
      <c r="CA1377" s="6"/>
      <c r="CB1377" s="6"/>
      <c r="CC1377" s="6"/>
      <c r="CD1377" s="6"/>
      <c r="CE1377" s="6"/>
      <c r="CF1377" s="6"/>
      <c r="CG1377" s="6"/>
      <c r="CH1377" s="6"/>
      <c r="CI1377" s="6"/>
      <c r="CJ1377" s="6"/>
      <c r="CK1377" s="6"/>
      <c r="CL1377" s="6"/>
      <c r="CM1377" s="6"/>
      <c r="CN1377" s="6"/>
      <c r="CO1377" s="6"/>
      <c r="CP1377" s="6"/>
      <c r="CQ1377" s="6"/>
      <c r="CR1377" s="6"/>
      <c r="CS1377" s="6"/>
      <c r="CT1377" s="6"/>
      <c r="CU1377" s="6"/>
      <c r="CV1377" s="6"/>
      <c r="CW1377" s="6"/>
      <c r="CX1377" s="6"/>
      <c r="CY1377" s="6"/>
      <c r="CZ1377" s="6"/>
      <c r="DA1377" s="6"/>
      <c r="DB1377" s="6"/>
      <c r="DC1377" s="6"/>
      <c r="DD1377" s="6"/>
    </row>
    <row r="1378" spans="1:108" ht="12.75" hidden="1" customHeight="1" outlineLevel="5">
      <c r="A1378" s="104" t="s">
        <v>60</v>
      </c>
      <c r="B1378" s="95">
        <v>0</v>
      </c>
      <c r="C1378" s="11"/>
      <c r="D1378" s="18" t="str">
        <f t="shared" si="78"/>
        <v>&lt;TranRel_Y&gt;0.000000&lt;/TranRel_Y&gt;</v>
      </c>
      <c r="E1378" s="175"/>
      <c r="F1378" s="6" t="s">
        <v>640</v>
      </c>
      <c r="G1378" s="6"/>
      <c r="H1378" s="6"/>
      <c r="I1378" s="6"/>
      <c r="J1378" s="6"/>
      <c r="K1378" s="6"/>
      <c r="L1378" s="6"/>
      <c r="M1378" s="6"/>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c r="BU1378" s="6"/>
      <c r="BV1378" s="6"/>
      <c r="BW1378" s="6"/>
      <c r="BX1378" s="6"/>
      <c r="BY1378" s="6"/>
      <c r="BZ1378" s="6"/>
      <c r="CA1378" s="6"/>
      <c r="CB1378" s="6"/>
      <c r="CC1378" s="6"/>
      <c r="CD1378" s="6"/>
      <c r="CE1378" s="6"/>
      <c r="CF1378" s="6"/>
      <c r="CG1378" s="6"/>
      <c r="CH1378" s="6"/>
      <c r="CI1378" s="6"/>
      <c r="CJ1378" s="6"/>
      <c r="CK1378" s="6"/>
      <c r="CL1378" s="6"/>
      <c r="CM1378" s="6"/>
      <c r="CN1378" s="6"/>
      <c r="CO1378" s="6"/>
      <c r="CP1378" s="6"/>
      <c r="CQ1378" s="6"/>
      <c r="CR1378" s="6"/>
      <c r="CS1378" s="6"/>
      <c r="CT1378" s="6"/>
      <c r="CU1378" s="6"/>
      <c r="CV1378" s="6"/>
      <c r="CW1378" s="6"/>
      <c r="CX1378" s="6"/>
      <c r="CY1378" s="6"/>
      <c r="CZ1378" s="6"/>
      <c r="DA1378" s="6"/>
      <c r="DB1378" s="6"/>
      <c r="DC1378" s="6"/>
      <c r="DD1378" s="6"/>
    </row>
    <row r="1379" spans="1:108" ht="12.75" hidden="1" customHeight="1" outlineLevel="5">
      <c r="A1379" s="104" t="s">
        <v>61</v>
      </c>
      <c r="B1379" s="95">
        <v>0</v>
      </c>
      <c r="C1379" s="11"/>
      <c r="D1379" s="18" t="str">
        <f t="shared" si="78"/>
        <v>&lt;TranRel_Z&gt;0.000000&lt;/TranRel_Z&gt;</v>
      </c>
      <c r="E1379" s="175"/>
      <c r="F1379" s="6" t="s">
        <v>641</v>
      </c>
      <c r="G1379" s="6"/>
      <c r="H1379" s="6"/>
      <c r="I1379" s="6"/>
      <c r="J1379" s="6"/>
      <c r="K1379" s="6"/>
      <c r="L1379" s="6"/>
      <c r="M1379" s="6"/>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c r="BU1379" s="6"/>
      <c r="BV1379" s="6"/>
      <c r="BW1379" s="6"/>
      <c r="BX1379" s="6"/>
      <c r="BY1379" s="6"/>
      <c r="BZ1379" s="6"/>
      <c r="CA1379" s="6"/>
      <c r="CB1379" s="6"/>
      <c r="CC1379" s="6"/>
      <c r="CD1379" s="6"/>
      <c r="CE1379" s="6"/>
      <c r="CF1379" s="6"/>
      <c r="CG1379" s="6"/>
      <c r="CH1379" s="6"/>
      <c r="CI1379" s="6"/>
      <c r="CJ1379" s="6"/>
      <c r="CK1379" s="6"/>
      <c r="CL1379" s="6"/>
      <c r="CM1379" s="6"/>
      <c r="CN1379" s="6"/>
      <c r="CO1379" s="6"/>
      <c r="CP1379" s="6"/>
      <c r="CQ1379" s="6"/>
      <c r="CR1379" s="6"/>
      <c r="CS1379" s="6"/>
      <c r="CT1379" s="6"/>
      <c r="CU1379" s="6"/>
      <c r="CV1379" s="6"/>
      <c r="CW1379" s="6"/>
      <c r="CX1379" s="6"/>
      <c r="CY1379" s="6"/>
      <c r="CZ1379" s="6"/>
      <c r="DA1379" s="6"/>
      <c r="DB1379" s="6"/>
      <c r="DC1379" s="6"/>
      <c r="DD1379" s="6"/>
    </row>
    <row r="1380" spans="1:108" ht="12.75" hidden="1" customHeight="1" outlineLevel="5">
      <c r="A1380" s="104" t="s">
        <v>62</v>
      </c>
      <c r="B1380" s="95">
        <v>0</v>
      </c>
      <c r="C1380" s="11"/>
      <c r="D1380" s="18" t="str">
        <f t="shared" si="78"/>
        <v>&lt;Rot_X&gt;0.000000&lt;/Rot_X&gt;</v>
      </c>
      <c r="E1380" s="175"/>
      <c r="F1380" s="6" t="s">
        <v>642</v>
      </c>
      <c r="G1380" s="6"/>
      <c r="H1380" s="6"/>
      <c r="I1380" s="6"/>
      <c r="J1380" s="6"/>
      <c r="K1380" s="6"/>
      <c r="L1380" s="6"/>
      <c r="M1380" s="6"/>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c r="BU1380" s="6"/>
      <c r="BV1380" s="6"/>
      <c r="BW1380" s="6"/>
      <c r="BX1380" s="6"/>
      <c r="BY1380" s="6"/>
      <c r="BZ1380" s="6"/>
      <c r="CA1380" s="6"/>
      <c r="CB1380" s="6"/>
      <c r="CC1380" s="6"/>
      <c r="CD1380" s="6"/>
      <c r="CE1380" s="6"/>
      <c r="CF1380" s="6"/>
      <c r="CG1380" s="6"/>
      <c r="CH1380" s="6"/>
      <c r="CI1380" s="6"/>
      <c r="CJ1380" s="6"/>
      <c r="CK1380" s="6"/>
      <c r="CL1380" s="6"/>
      <c r="CM1380" s="6"/>
      <c r="CN1380" s="6"/>
      <c r="CO1380" s="6"/>
      <c r="CP1380" s="6"/>
      <c r="CQ1380" s="6"/>
      <c r="CR1380" s="6"/>
      <c r="CS1380" s="6"/>
      <c r="CT1380" s="6"/>
      <c r="CU1380" s="6"/>
      <c r="CV1380" s="6"/>
      <c r="CW1380" s="6"/>
      <c r="CX1380" s="6"/>
      <c r="CY1380" s="6"/>
      <c r="CZ1380" s="6"/>
      <c r="DA1380" s="6"/>
      <c r="DB1380" s="6"/>
      <c r="DC1380" s="6"/>
      <c r="DD1380" s="6"/>
    </row>
    <row r="1381" spans="1:108" ht="12.75" hidden="1" customHeight="1" outlineLevel="5">
      <c r="A1381" s="104" t="s">
        <v>63</v>
      </c>
      <c r="B1381" s="95">
        <v>0</v>
      </c>
      <c r="C1381" s="11"/>
      <c r="D1381" s="18" t="str">
        <f t="shared" si="78"/>
        <v>&lt;Rot_Y&gt;0.000000&lt;/Rot_Y&gt;</v>
      </c>
      <c r="E1381" s="175"/>
      <c r="F1381" s="6" t="s">
        <v>643</v>
      </c>
      <c r="G1381" s="6"/>
      <c r="H1381" s="6"/>
      <c r="I1381" s="6"/>
      <c r="J1381" s="6"/>
      <c r="K1381" s="6"/>
      <c r="L1381" s="6"/>
      <c r="M1381" s="6"/>
      <c r="N1381" s="6"/>
      <c r="O1381" s="6"/>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c r="BU1381" s="6"/>
      <c r="BV1381" s="6"/>
      <c r="BW1381" s="6"/>
      <c r="BX1381" s="6"/>
      <c r="BY1381" s="6"/>
      <c r="BZ1381" s="6"/>
      <c r="CA1381" s="6"/>
      <c r="CB1381" s="6"/>
      <c r="CC1381" s="6"/>
      <c r="CD1381" s="6"/>
      <c r="CE1381" s="6"/>
      <c r="CF1381" s="6"/>
      <c r="CG1381" s="6"/>
      <c r="CH1381" s="6"/>
      <c r="CI1381" s="6"/>
      <c r="CJ1381" s="6"/>
      <c r="CK1381" s="6"/>
      <c r="CL1381" s="6"/>
      <c r="CM1381" s="6"/>
      <c r="CN1381" s="6"/>
      <c r="CO1381" s="6"/>
      <c r="CP1381" s="6"/>
      <c r="CQ1381" s="6"/>
      <c r="CR1381" s="6"/>
      <c r="CS1381" s="6"/>
      <c r="CT1381" s="6"/>
      <c r="CU1381" s="6"/>
      <c r="CV1381" s="6"/>
      <c r="CW1381" s="6"/>
      <c r="CX1381" s="6"/>
      <c r="CY1381" s="6"/>
      <c r="CZ1381" s="6"/>
      <c r="DA1381" s="6"/>
      <c r="DB1381" s="6"/>
      <c r="DC1381" s="6"/>
      <c r="DD1381" s="6"/>
    </row>
    <row r="1382" spans="1:108" ht="12.75" hidden="1" customHeight="1" outlineLevel="5">
      <c r="A1382" s="104" t="s">
        <v>64</v>
      </c>
      <c r="B1382" s="95">
        <v>0</v>
      </c>
      <c r="C1382" s="11"/>
      <c r="D1382" s="18" t="str">
        <f t="shared" si="78"/>
        <v>&lt;Rot_Z&gt;0.000000&lt;/Rot_Z&gt;</v>
      </c>
      <c r="E1382" s="175"/>
      <c r="F1382" s="6" t="s">
        <v>644</v>
      </c>
      <c r="G1382" s="6"/>
      <c r="H1382" s="6"/>
      <c r="I1382" s="6"/>
      <c r="J1382" s="6"/>
      <c r="K1382" s="6"/>
      <c r="L1382" s="6"/>
      <c r="M1382" s="6"/>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c r="BU1382" s="6"/>
      <c r="BV1382" s="6"/>
      <c r="BW1382" s="6"/>
      <c r="BX1382" s="6"/>
      <c r="BY1382" s="6"/>
      <c r="BZ1382" s="6"/>
      <c r="CA1382" s="6"/>
      <c r="CB1382" s="6"/>
      <c r="CC1382" s="6"/>
      <c r="CD1382" s="6"/>
      <c r="CE1382" s="6"/>
      <c r="CF1382" s="6"/>
      <c r="CG1382" s="6"/>
      <c r="CH1382" s="6"/>
      <c r="CI1382" s="6"/>
      <c r="CJ1382" s="6"/>
      <c r="CK1382" s="6"/>
      <c r="CL1382" s="6"/>
      <c r="CM1382" s="6"/>
      <c r="CN1382" s="6"/>
      <c r="CO1382" s="6"/>
      <c r="CP1382" s="6"/>
      <c r="CQ1382" s="6"/>
      <c r="CR1382" s="6"/>
      <c r="CS1382" s="6"/>
      <c r="CT1382" s="6"/>
      <c r="CU1382" s="6"/>
      <c r="CV1382" s="6"/>
      <c r="CW1382" s="6"/>
      <c r="CX1382" s="6"/>
      <c r="CY1382" s="6"/>
      <c r="CZ1382" s="6"/>
      <c r="DA1382" s="6"/>
      <c r="DB1382" s="6"/>
      <c r="DC1382" s="6"/>
      <c r="DD1382" s="6"/>
    </row>
    <row r="1383" spans="1:108" ht="12.75" hidden="1" customHeight="1" outlineLevel="5">
      <c r="A1383" s="104" t="s">
        <v>65</v>
      </c>
      <c r="B1383" s="95">
        <v>0</v>
      </c>
      <c r="C1383" s="11"/>
      <c r="D1383" s="18" t="str">
        <f t="shared" si="78"/>
        <v>&lt;RotRel_X&gt;0.000000&lt;/RotRel_X&gt;</v>
      </c>
      <c r="E1383" s="175"/>
      <c r="F1383" s="6" t="s">
        <v>645</v>
      </c>
      <c r="G1383" s="6"/>
      <c r="H1383" s="6"/>
      <c r="I1383" s="6"/>
      <c r="J1383" s="6"/>
      <c r="K1383" s="6"/>
      <c r="L1383" s="6"/>
      <c r="M1383" s="6"/>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c r="BU1383" s="6"/>
      <c r="BV1383" s="6"/>
      <c r="BW1383" s="6"/>
      <c r="BX1383" s="6"/>
      <c r="BY1383" s="6"/>
      <c r="BZ1383" s="6"/>
      <c r="CA1383" s="6"/>
      <c r="CB1383" s="6"/>
      <c r="CC1383" s="6"/>
      <c r="CD1383" s="6"/>
      <c r="CE1383" s="6"/>
      <c r="CF1383" s="6"/>
      <c r="CG1383" s="6"/>
      <c r="CH1383" s="6"/>
      <c r="CI1383" s="6"/>
      <c r="CJ1383" s="6"/>
      <c r="CK1383" s="6"/>
      <c r="CL1383" s="6"/>
      <c r="CM1383" s="6"/>
      <c r="CN1383" s="6"/>
      <c r="CO1383" s="6"/>
      <c r="CP1383" s="6"/>
      <c r="CQ1383" s="6"/>
      <c r="CR1383" s="6"/>
      <c r="CS1383" s="6"/>
      <c r="CT1383" s="6"/>
      <c r="CU1383" s="6"/>
      <c r="CV1383" s="6"/>
      <c r="CW1383" s="6"/>
      <c r="CX1383" s="6"/>
      <c r="CY1383" s="6"/>
      <c r="CZ1383" s="6"/>
      <c r="DA1383" s="6"/>
      <c r="DB1383" s="6"/>
      <c r="DC1383" s="6"/>
      <c r="DD1383" s="6"/>
    </row>
    <row r="1384" spans="1:108" ht="12.75" hidden="1" customHeight="1" outlineLevel="5">
      <c r="A1384" s="104" t="s">
        <v>66</v>
      </c>
      <c r="B1384" s="95">
        <v>0</v>
      </c>
      <c r="C1384" s="11"/>
      <c r="D1384" s="18" t="str">
        <f t="shared" si="78"/>
        <v>&lt;RotRel_Y&gt;0.000000&lt;/RotRel_Y&gt;</v>
      </c>
      <c r="E1384" s="175"/>
      <c r="F1384" s="6" t="s">
        <v>646</v>
      </c>
      <c r="G1384" s="6"/>
      <c r="H1384" s="6"/>
      <c r="I1384" s="6"/>
      <c r="J1384" s="6"/>
      <c r="K1384" s="6"/>
      <c r="L1384" s="6"/>
      <c r="M1384" s="6"/>
      <c r="N1384" s="6"/>
      <c r="O1384" s="6"/>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c r="BU1384" s="6"/>
      <c r="BV1384" s="6"/>
      <c r="BW1384" s="6"/>
      <c r="BX1384" s="6"/>
      <c r="BY1384" s="6"/>
      <c r="BZ1384" s="6"/>
      <c r="CA1384" s="6"/>
      <c r="CB1384" s="6"/>
      <c r="CC1384" s="6"/>
      <c r="CD1384" s="6"/>
      <c r="CE1384" s="6"/>
      <c r="CF1384" s="6"/>
      <c r="CG1384" s="6"/>
      <c r="CH1384" s="6"/>
      <c r="CI1384" s="6"/>
      <c r="CJ1384" s="6"/>
      <c r="CK1384" s="6"/>
      <c r="CL1384" s="6"/>
      <c r="CM1384" s="6"/>
      <c r="CN1384" s="6"/>
      <c r="CO1384" s="6"/>
      <c r="CP1384" s="6"/>
      <c r="CQ1384" s="6"/>
      <c r="CR1384" s="6"/>
      <c r="CS1384" s="6"/>
      <c r="CT1384" s="6"/>
      <c r="CU1384" s="6"/>
      <c r="CV1384" s="6"/>
      <c r="CW1384" s="6"/>
      <c r="CX1384" s="6"/>
      <c r="CY1384" s="6"/>
      <c r="CZ1384" s="6"/>
      <c r="DA1384" s="6"/>
      <c r="DB1384" s="6"/>
      <c r="DC1384" s="6"/>
      <c r="DD1384" s="6"/>
    </row>
    <row r="1385" spans="1:108" ht="12.75" hidden="1" customHeight="1" outlineLevel="5">
      <c r="A1385" s="104" t="s">
        <v>67</v>
      </c>
      <c r="B1385" s="95">
        <v>0</v>
      </c>
      <c r="C1385" s="11"/>
      <c r="D1385" s="18" t="str">
        <f t="shared" si="78"/>
        <v>&lt;RotRel_Z&gt;0.000000&lt;/RotRel_Z&gt;</v>
      </c>
      <c r="E1385" s="175"/>
      <c r="F1385" s="6" t="s">
        <v>647</v>
      </c>
      <c r="G1385" s="6"/>
      <c r="H1385" s="6"/>
      <c r="I1385" s="6"/>
      <c r="J1385" s="6"/>
      <c r="K1385" s="6"/>
      <c r="L1385" s="6"/>
      <c r="M1385" s="6"/>
      <c r="N1385" s="6"/>
      <c r="O1385" s="6"/>
      <c r="P1385" s="6"/>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c r="BU1385" s="6"/>
      <c r="BV1385" s="6"/>
      <c r="BW1385" s="6"/>
      <c r="BX1385" s="6"/>
      <c r="BY1385" s="6"/>
      <c r="BZ1385" s="6"/>
      <c r="CA1385" s="6"/>
      <c r="CB1385" s="6"/>
      <c r="CC1385" s="6"/>
      <c r="CD1385" s="6"/>
      <c r="CE1385" s="6"/>
      <c r="CF1385" s="6"/>
      <c r="CG1385" s="6"/>
      <c r="CH1385" s="6"/>
      <c r="CI1385" s="6"/>
      <c r="CJ1385" s="6"/>
      <c r="CK1385" s="6"/>
      <c r="CL1385" s="6"/>
      <c r="CM1385" s="6"/>
      <c r="CN1385" s="6"/>
      <c r="CO1385" s="6"/>
      <c r="CP1385" s="6"/>
      <c r="CQ1385" s="6"/>
      <c r="CR1385" s="6"/>
      <c r="CS1385" s="6"/>
      <c r="CT1385" s="6"/>
      <c r="CU1385" s="6"/>
      <c r="CV1385" s="6"/>
      <c r="CW1385" s="6"/>
      <c r="CX1385" s="6"/>
      <c r="CY1385" s="6"/>
      <c r="CZ1385" s="6"/>
      <c r="DA1385" s="6"/>
      <c r="DB1385" s="6"/>
      <c r="DC1385" s="6"/>
      <c r="DD1385" s="6"/>
    </row>
    <row r="1386" spans="1:108" ht="12.75" hidden="1" customHeight="1" outlineLevel="5">
      <c r="A1386" s="104" t="s">
        <v>68</v>
      </c>
      <c r="B1386" s="95">
        <v>0</v>
      </c>
      <c r="C1386" s="11"/>
      <c r="D1386" s="18" t="str">
        <f t="shared" si="78"/>
        <v>&lt;Origin&gt;0.000000&lt;/Origin&gt;</v>
      </c>
      <c r="E1386" s="175"/>
      <c r="F1386" s="6" t="s">
        <v>648</v>
      </c>
      <c r="G1386" s="6"/>
      <c r="H1386" s="6"/>
      <c r="I1386" s="6"/>
      <c r="J1386" s="6"/>
      <c r="K1386" s="6"/>
      <c r="L1386" s="6"/>
      <c r="M1386" s="6"/>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c r="BU1386" s="6"/>
      <c r="BV1386" s="6"/>
      <c r="BW1386" s="6"/>
      <c r="BX1386" s="6"/>
      <c r="BY1386" s="6"/>
      <c r="BZ1386" s="6"/>
      <c r="CA1386" s="6"/>
      <c r="CB1386" s="6"/>
      <c r="CC1386" s="6"/>
      <c r="CD1386" s="6"/>
      <c r="CE1386" s="6"/>
      <c r="CF1386" s="6"/>
      <c r="CG1386" s="6"/>
      <c r="CH1386" s="6"/>
      <c r="CI1386" s="6"/>
      <c r="CJ1386" s="6"/>
      <c r="CK1386" s="6"/>
      <c r="CL1386" s="6"/>
      <c r="CM1386" s="6"/>
      <c r="CN1386" s="6"/>
      <c r="CO1386" s="6"/>
      <c r="CP1386" s="6"/>
      <c r="CQ1386" s="6"/>
      <c r="CR1386" s="6"/>
      <c r="CS1386" s="6"/>
      <c r="CT1386" s="6"/>
      <c r="CU1386" s="6"/>
      <c r="CV1386" s="6"/>
      <c r="CW1386" s="6"/>
      <c r="CX1386" s="6"/>
      <c r="CY1386" s="6"/>
      <c r="CZ1386" s="6"/>
      <c r="DA1386" s="6"/>
      <c r="DB1386" s="6"/>
      <c r="DC1386" s="6"/>
      <c r="DD1386" s="6"/>
    </row>
    <row r="1387" spans="1:108" ht="12.75" hidden="1" customHeight="1" outlineLevel="5">
      <c r="A1387" s="104" t="s">
        <v>69</v>
      </c>
      <c r="B1387" s="95">
        <v>1</v>
      </c>
      <c r="C1387" s="11"/>
      <c r="D1387" s="18" t="str">
        <f t="shared" si="78"/>
        <v>&lt;Density&gt;1.000000&lt;/Density&gt;</v>
      </c>
      <c r="E1387" s="175"/>
      <c r="F1387" s="6" t="s">
        <v>649</v>
      </c>
      <c r="G1387" s="6"/>
      <c r="H1387" s="6"/>
      <c r="I1387" s="6"/>
      <c r="J1387" s="6"/>
      <c r="K1387" s="6"/>
      <c r="L1387" s="6"/>
      <c r="M1387" s="6"/>
      <c r="N1387" s="6"/>
      <c r="O1387" s="6"/>
      <c r="P1387" s="6"/>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c r="BU1387" s="6"/>
      <c r="BV1387" s="6"/>
      <c r="BW1387" s="6"/>
      <c r="BX1387" s="6"/>
      <c r="BY1387" s="6"/>
      <c r="BZ1387" s="6"/>
      <c r="CA1387" s="6"/>
      <c r="CB1387" s="6"/>
      <c r="CC1387" s="6"/>
      <c r="CD1387" s="6"/>
      <c r="CE1387" s="6"/>
      <c r="CF1387" s="6"/>
      <c r="CG1387" s="6"/>
      <c r="CH1387" s="6"/>
      <c r="CI1387" s="6"/>
      <c r="CJ1387" s="6"/>
      <c r="CK1387" s="6"/>
      <c r="CL1387" s="6"/>
      <c r="CM1387" s="6"/>
      <c r="CN1387" s="6"/>
      <c r="CO1387" s="6"/>
      <c r="CP1387" s="6"/>
      <c r="CQ1387" s="6"/>
      <c r="CR1387" s="6"/>
      <c r="CS1387" s="6"/>
      <c r="CT1387" s="6"/>
      <c r="CU1387" s="6"/>
      <c r="CV1387" s="6"/>
      <c r="CW1387" s="6"/>
      <c r="CX1387" s="6"/>
      <c r="CY1387" s="6"/>
      <c r="CZ1387" s="6"/>
      <c r="DA1387" s="6"/>
      <c r="DB1387" s="6"/>
      <c r="DC1387" s="6"/>
      <c r="DD1387" s="6"/>
    </row>
    <row r="1388" spans="1:108" ht="12.75" hidden="1" customHeight="1" outlineLevel="5">
      <c r="A1388" s="104" t="s">
        <v>70</v>
      </c>
      <c r="B1388" s="95">
        <v>1</v>
      </c>
      <c r="C1388" s="11"/>
      <c r="D1388" s="18" t="str">
        <f t="shared" si="78"/>
        <v>&lt;ShellMassArea&gt;1.000000&lt;/ShellMassArea&gt;</v>
      </c>
      <c r="E1388" s="175"/>
      <c r="F1388" s="6" t="s">
        <v>650</v>
      </c>
      <c r="G1388" s="6"/>
      <c r="H1388" s="6"/>
      <c r="I1388" s="6"/>
      <c r="J1388" s="6"/>
      <c r="K1388" s="6"/>
      <c r="L1388" s="6"/>
      <c r="M1388" s="6"/>
      <c r="N1388" s="6"/>
      <c r="O1388" s="6"/>
      <c r="P1388" s="6"/>
      <c r="Q1388" s="6"/>
      <c r="R1388" s="6"/>
      <c r="S1388" s="6"/>
      <c r="T1388" s="6"/>
      <c r="U1388" s="6"/>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c r="BU1388" s="6"/>
      <c r="BV1388" s="6"/>
      <c r="BW1388" s="6"/>
      <c r="BX1388" s="6"/>
      <c r="BY1388" s="6"/>
      <c r="BZ1388" s="6"/>
      <c r="CA1388" s="6"/>
      <c r="CB1388" s="6"/>
      <c r="CC1388" s="6"/>
      <c r="CD1388" s="6"/>
      <c r="CE1388" s="6"/>
      <c r="CF1388" s="6"/>
      <c r="CG1388" s="6"/>
      <c r="CH1388" s="6"/>
      <c r="CI1388" s="6"/>
      <c r="CJ1388" s="6"/>
      <c r="CK1388" s="6"/>
      <c r="CL1388" s="6"/>
      <c r="CM1388" s="6"/>
      <c r="CN1388" s="6"/>
      <c r="CO1388" s="6"/>
      <c r="CP1388" s="6"/>
      <c r="CQ1388" s="6"/>
      <c r="CR1388" s="6"/>
      <c r="CS1388" s="6"/>
      <c r="CT1388" s="6"/>
      <c r="CU1388" s="6"/>
      <c r="CV1388" s="6"/>
      <c r="CW1388" s="6"/>
      <c r="CX1388" s="6"/>
      <c r="CY1388" s="6"/>
      <c r="CZ1388" s="6"/>
      <c r="DA1388" s="6"/>
      <c r="DB1388" s="6"/>
      <c r="DC1388" s="6"/>
      <c r="DD1388" s="6"/>
    </row>
    <row r="1389" spans="1:108" ht="12.75" hidden="1" customHeight="1" outlineLevel="5">
      <c r="A1389" s="104" t="s">
        <v>71</v>
      </c>
      <c r="B1389" s="95">
        <v>0</v>
      </c>
      <c r="C1389" s="11"/>
      <c r="D1389" s="18" t="str">
        <f>"&lt;" &amp; A1389 &amp; "&gt;" &amp; TEXT(B1389,0) &amp; "&lt;/" &amp; A1389 &amp; "&gt;"</f>
        <v>&lt;RefFlag&gt;0&lt;/RefFlag&gt;</v>
      </c>
      <c r="E1389" s="175"/>
      <c r="F1389" s="6" t="s">
        <v>651</v>
      </c>
      <c r="G1389" s="6"/>
      <c r="H1389" s="6"/>
      <c r="I1389" s="6"/>
      <c r="J1389" s="6"/>
      <c r="K1389" s="6"/>
      <c r="L1389" s="6"/>
      <c r="M1389" s="6"/>
      <c r="N1389" s="6"/>
      <c r="O1389" s="6"/>
      <c r="P1389" s="6"/>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c r="BU1389" s="6"/>
      <c r="BV1389" s="6"/>
      <c r="BW1389" s="6"/>
      <c r="BX1389" s="6"/>
      <c r="BY1389" s="6"/>
      <c r="BZ1389" s="6"/>
      <c r="CA1389" s="6"/>
      <c r="CB1389" s="6"/>
      <c r="CC1389" s="6"/>
      <c r="CD1389" s="6"/>
      <c r="CE1389" s="6"/>
      <c r="CF1389" s="6"/>
      <c r="CG1389" s="6"/>
      <c r="CH1389" s="6"/>
      <c r="CI1389" s="6"/>
      <c r="CJ1389" s="6"/>
      <c r="CK1389" s="6"/>
      <c r="CL1389" s="6"/>
      <c r="CM1389" s="6"/>
      <c r="CN1389" s="6"/>
      <c r="CO1389" s="6"/>
      <c r="CP1389" s="6"/>
      <c r="CQ1389" s="6"/>
      <c r="CR1389" s="6"/>
      <c r="CS1389" s="6"/>
      <c r="CT1389" s="6"/>
      <c r="CU1389" s="6"/>
      <c r="CV1389" s="6"/>
      <c r="CW1389" s="6"/>
      <c r="CX1389" s="6"/>
      <c r="CY1389" s="6"/>
      <c r="CZ1389" s="6"/>
      <c r="DA1389" s="6"/>
      <c r="DB1389" s="6"/>
      <c r="DC1389" s="6"/>
      <c r="DD1389" s="6"/>
    </row>
    <row r="1390" spans="1:108" ht="12.75" hidden="1" customHeight="1" outlineLevel="5">
      <c r="A1390" s="104" t="s">
        <v>72</v>
      </c>
      <c r="B1390" s="95">
        <v>100</v>
      </c>
      <c r="C1390" s="11"/>
      <c r="D1390" s="18" t="str">
        <f>"&lt;" &amp; A1390 &amp; "&gt;" &amp; TEXT(B1390,"0.000000") &amp; "&lt;/" &amp; A1390 &amp; "&gt;"</f>
        <v>&lt;RefArea&gt;100.000000&lt;/RefArea&gt;</v>
      </c>
      <c r="E1390" s="175"/>
      <c r="F1390" s="6" t="s">
        <v>724</v>
      </c>
      <c r="G1390" s="6"/>
      <c r="H1390" s="6"/>
      <c r="I1390" s="6"/>
      <c r="J1390" s="6"/>
      <c r="K1390" s="6"/>
      <c r="L1390" s="6"/>
      <c r="M1390" s="6"/>
      <c r="N1390" s="6"/>
      <c r="O1390" s="6"/>
      <c r="P1390" s="6"/>
      <c r="Q1390" s="6"/>
      <c r="R1390" s="6"/>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c r="BU1390" s="6"/>
      <c r="BV1390" s="6"/>
      <c r="BW1390" s="6"/>
      <c r="BX1390" s="6"/>
      <c r="BY1390" s="6"/>
      <c r="BZ1390" s="6"/>
      <c r="CA1390" s="6"/>
      <c r="CB1390" s="6"/>
      <c r="CC1390" s="6"/>
      <c r="CD1390" s="6"/>
      <c r="CE1390" s="6"/>
      <c r="CF1390" s="6"/>
      <c r="CG1390" s="6"/>
      <c r="CH1390" s="6"/>
      <c r="CI1390" s="6"/>
      <c r="CJ1390" s="6"/>
      <c r="CK1390" s="6"/>
      <c r="CL1390" s="6"/>
      <c r="CM1390" s="6"/>
      <c r="CN1390" s="6"/>
      <c r="CO1390" s="6"/>
      <c r="CP1390" s="6"/>
      <c r="CQ1390" s="6"/>
      <c r="CR1390" s="6"/>
      <c r="CS1390" s="6"/>
      <c r="CT1390" s="6"/>
      <c r="CU1390" s="6"/>
      <c r="CV1390" s="6"/>
      <c r="CW1390" s="6"/>
      <c r="CX1390" s="6"/>
      <c r="CY1390" s="6"/>
      <c r="CZ1390" s="6"/>
      <c r="DA1390" s="6"/>
      <c r="DB1390" s="6"/>
      <c r="DC1390" s="6"/>
      <c r="DD1390" s="6"/>
    </row>
    <row r="1391" spans="1:108" ht="12.75" hidden="1" customHeight="1" outlineLevel="5">
      <c r="A1391" s="104" t="s">
        <v>73</v>
      </c>
      <c r="B1391" s="95">
        <v>10</v>
      </c>
      <c r="C1391" s="11"/>
      <c r="D1391" s="18" t="str">
        <f>"&lt;" &amp; A1391 &amp; "&gt;" &amp; TEXT(B1391,"0.000000") &amp; "&lt;/" &amp; A1391 &amp; "&gt;"</f>
        <v>&lt;RefSpan&gt;10.000000&lt;/RefSpan&gt;</v>
      </c>
      <c r="E1391" s="175"/>
      <c r="F1391" s="6" t="s">
        <v>653</v>
      </c>
      <c r="G1391" s="6"/>
      <c r="H1391" s="6"/>
      <c r="I1391" s="6"/>
      <c r="J1391" s="6"/>
      <c r="K1391" s="6"/>
      <c r="L1391" s="6"/>
      <c r="M1391" s="6"/>
      <c r="N1391" s="6"/>
      <c r="O1391" s="6"/>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c r="BU1391" s="6"/>
      <c r="BV1391" s="6"/>
      <c r="BW1391" s="6"/>
      <c r="BX1391" s="6"/>
      <c r="BY1391" s="6"/>
      <c r="BZ1391" s="6"/>
      <c r="CA1391" s="6"/>
      <c r="CB1391" s="6"/>
      <c r="CC1391" s="6"/>
      <c r="CD1391" s="6"/>
      <c r="CE1391" s="6"/>
      <c r="CF1391" s="6"/>
      <c r="CG1391" s="6"/>
      <c r="CH1391" s="6"/>
      <c r="CI1391" s="6"/>
      <c r="CJ1391" s="6"/>
      <c r="CK1391" s="6"/>
      <c r="CL1391" s="6"/>
      <c r="CM1391" s="6"/>
      <c r="CN1391" s="6"/>
      <c r="CO1391" s="6"/>
      <c r="CP1391" s="6"/>
      <c r="CQ1391" s="6"/>
      <c r="CR1391" s="6"/>
      <c r="CS1391" s="6"/>
      <c r="CT1391" s="6"/>
      <c r="CU1391" s="6"/>
      <c r="CV1391" s="6"/>
      <c r="CW1391" s="6"/>
      <c r="CX1391" s="6"/>
      <c r="CY1391" s="6"/>
      <c r="CZ1391" s="6"/>
      <c r="DA1391" s="6"/>
      <c r="DB1391" s="6"/>
      <c r="DC1391" s="6"/>
      <c r="DD1391" s="6"/>
    </row>
    <row r="1392" spans="1:108" ht="12.75" hidden="1" customHeight="1" outlineLevel="5">
      <c r="A1392" s="104" t="s">
        <v>74</v>
      </c>
      <c r="B1392" s="95">
        <v>1</v>
      </c>
      <c r="C1392" s="11"/>
      <c r="D1392" s="18" t="str">
        <f>"&lt;" &amp; A1392 &amp; "&gt;" &amp; TEXT(B1392,"0.000000") &amp; "&lt;/" &amp; A1392 &amp; "&gt;"</f>
        <v>&lt;RefCbar&gt;1.000000&lt;/RefCbar&gt;</v>
      </c>
      <c r="E1392" s="175"/>
      <c r="F1392" s="6" t="s">
        <v>654</v>
      </c>
      <c r="G1392" s="6"/>
      <c r="H1392" s="6"/>
      <c r="I1392" s="6"/>
      <c r="J1392" s="6"/>
      <c r="K1392" s="6"/>
      <c r="L1392" s="6"/>
      <c r="M1392" s="6"/>
      <c r="N1392" s="6"/>
      <c r="O1392" s="6"/>
      <c r="P1392" s="6"/>
      <c r="Q1392" s="6"/>
      <c r="R1392" s="6"/>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c r="BU1392" s="6"/>
      <c r="BV1392" s="6"/>
      <c r="BW1392" s="6"/>
      <c r="BX1392" s="6"/>
      <c r="BY1392" s="6"/>
      <c r="BZ1392" s="6"/>
      <c r="CA1392" s="6"/>
      <c r="CB1392" s="6"/>
      <c r="CC1392" s="6"/>
      <c r="CD1392" s="6"/>
      <c r="CE1392" s="6"/>
      <c r="CF1392" s="6"/>
      <c r="CG1392" s="6"/>
      <c r="CH1392" s="6"/>
      <c r="CI1392" s="6"/>
      <c r="CJ1392" s="6"/>
      <c r="CK1392" s="6"/>
      <c r="CL1392" s="6"/>
      <c r="CM1392" s="6"/>
      <c r="CN1392" s="6"/>
      <c r="CO1392" s="6"/>
      <c r="CP1392" s="6"/>
      <c r="CQ1392" s="6"/>
      <c r="CR1392" s="6"/>
      <c r="CS1392" s="6"/>
      <c r="CT1392" s="6"/>
      <c r="CU1392" s="6"/>
      <c r="CV1392" s="6"/>
      <c r="CW1392" s="6"/>
      <c r="CX1392" s="6"/>
      <c r="CY1392" s="6"/>
      <c r="CZ1392" s="6"/>
      <c r="DA1392" s="6"/>
      <c r="DB1392" s="6"/>
      <c r="DC1392" s="6"/>
      <c r="DD1392" s="6"/>
    </row>
    <row r="1393" spans="1:108" ht="12.75" hidden="1" customHeight="1" outlineLevel="5">
      <c r="A1393" s="104" t="s">
        <v>75</v>
      </c>
      <c r="B1393" s="95">
        <v>1</v>
      </c>
      <c r="C1393" s="11"/>
      <c r="D1393" s="18" t="str">
        <f>"&lt;" &amp; A1393 &amp; "&gt;" &amp; TEXT(B1393,0) &amp; "&lt;/" &amp; A1393 &amp; "&gt;"</f>
        <v>&lt;AutoRefAreaFlag&gt;1&lt;/AutoRefAreaFlag&gt;</v>
      </c>
      <c r="E1393" s="175"/>
      <c r="F1393" s="6" t="s">
        <v>655</v>
      </c>
      <c r="G1393" s="6"/>
      <c r="H1393" s="6"/>
      <c r="I1393" s="6"/>
      <c r="J1393" s="6"/>
      <c r="K1393" s="6"/>
      <c r="L1393" s="6"/>
      <c r="M1393" s="6"/>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c r="BU1393" s="6"/>
      <c r="BV1393" s="6"/>
      <c r="BW1393" s="6"/>
      <c r="BX1393" s="6"/>
      <c r="BY1393" s="6"/>
      <c r="BZ1393" s="6"/>
      <c r="CA1393" s="6"/>
      <c r="CB1393" s="6"/>
      <c r="CC1393" s="6"/>
      <c r="CD1393" s="6"/>
      <c r="CE1393" s="6"/>
      <c r="CF1393" s="6"/>
      <c r="CG1393" s="6"/>
      <c r="CH1393" s="6"/>
      <c r="CI1393" s="6"/>
      <c r="CJ1393" s="6"/>
      <c r="CK1393" s="6"/>
      <c r="CL1393" s="6"/>
      <c r="CM1393" s="6"/>
      <c r="CN1393" s="6"/>
      <c r="CO1393" s="6"/>
      <c r="CP1393" s="6"/>
      <c r="CQ1393" s="6"/>
      <c r="CR1393" s="6"/>
      <c r="CS1393" s="6"/>
      <c r="CT1393" s="6"/>
      <c r="CU1393" s="6"/>
      <c r="CV1393" s="6"/>
      <c r="CW1393" s="6"/>
      <c r="CX1393" s="6"/>
      <c r="CY1393" s="6"/>
      <c r="CZ1393" s="6"/>
      <c r="DA1393" s="6"/>
      <c r="DB1393" s="6"/>
      <c r="DC1393" s="6"/>
      <c r="DD1393" s="6"/>
    </row>
    <row r="1394" spans="1:108" ht="12.75" hidden="1" customHeight="1" outlineLevel="5">
      <c r="A1394" s="104" t="s">
        <v>76</v>
      </c>
      <c r="B1394" s="95">
        <v>1</v>
      </c>
      <c r="C1394" s="11"/>
      <c r="D1394" s="18" t="str">
        <f>"&lt;" &amp; A1394 &amp; "&gt;" &amp; TEXT(B1394,0) &amp; "&lt;/" &amp; A1394 &amp; "&gt;"</f>
        <v>&lt;AutoRefSpanFlag&gt;1&lt;/AutoRefSpanFlag&gt;</v>
      </c>
      <c r="E1394" s="175"/>
      <c r="F1394" s="6" t="s">
        <v>656</v>
      </c>
      <c r="G1394" s="6"/>
      <c r="H1394" s="6"/>
      <c r="I1394" s="6"/>
      <c r="J1394" s="6"/>
      <c r="K1394" s="6"/>
      <c r="L1394" s="6"/>
      <c r="M1394" s="6"/>
      <c r="N1394" s="6"/>
      <c r="O1394" s="6"/>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c r="BU1394" s="6"/>
      <c r="BV1394" s="6"/>
      <c r="BW1394" s="6"/>
      <c r="BX1394" s="6"/>
      <c r="BY1394" s="6"/>
      <c r="BZ1394" s="6"/>
      <c r="CA1394" s="6"/>
      <c r="CB1394" s="6"/>
      <c r="CC1394" s="6"/>
      <c r="CD1394" s="6"/>
      <c r="CE1394" s="6"/>
      <c r="CF1394" s="6"/>
      <c r="CG1394" s="6"/>
      <c r="CH1394" s="6"/>
      <c r="CI1394" s="6"/>
      <c r="CJ1394" s="6"/>
      <c r="CK1394" s="6"/>
      <c r="CL1394" s="6"/>
      <c r="CM1394" s="6"/>
      <c r="CN1394" s="6"/>
      <c r="CO1394" s="6"/>
      <c r="CP1394" s="6"/>
      <c r="CQ1394" s="6"/>
      <c r="CR1394" s="6"/>
      <c r="CS1394" s="6"/>
      <c r="CT1394" s="6"/>
      <c r="CU1394" s="6"/>
      <c r="CV1394" s="6"/>
      <c r="CW1394" s="6"/>
      <c r="CX1394" s="6"/>
      <c r="CY1394" s="6"/>
      <c r="CZ1394" s="6"/>
      <c r="DA1394" s="6"/>
      <c r="DB1394" s="6"/>
      <c r="DC1394" s="6"/>
      <c r="DD1394" s="6"/>
    </row>
    <row r="1395" spans="1:108" ht="12.75" hidden="1" customHeight="1" outlineLevel="5">
      <c r="A1395" s="104" t="s">
        <v>77</v>
      </c>
      <c r="B1395" s="95">
        <v>1</v>
      </c>
      <c r="C1395" s="11"/>
      <c r="D1395" s="18" t="str">
        <f>"&lt;" &amp; A1395 &amp; "&gt;" &amp; TEXT(B1395,0) &amp; "&lt;/" &amp; A1395 &amp; "&gt;"</f>
        <v>&lt;AutoRefCbarFlag&gt;1&lt;/AutoRefCbarFlag&gt;</v>
      </c>
      <c r="E1395" s="175"/>
      <c r="F1395" s="6" t="s">
        <v>657</v>
      </c>
      <c r="G1395" s="6"/>
      <c r="H1395" s="6"/>
      <c r="I1395" s="6"/>
      <c r="J1395" s="6"/>
      <c r="K1395" s="6"/>
      <c r="L1395" s="6"/>
      <c r="M1395" s="6"/>
      <c r="N1395" s="6"/>
      <c r="O1395" s="6"/>
      <c r="P1395" s="6"/>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c r="BU1395" s="6"/>
      <c r="BV1395" s="6"/>
      <c r="BW1395" s="6"/>
      <c r="BX1395" s="6"/>
      <c r="BY1395" s="6"/>
      <c r="BZ1395" s="6"/>
      <c r="CA1395" s="6"/>
      <c r="CB1395" s="6"/>
      <c r="CC1395" s="6"/>
      <c r="CD1395" s="6"/>
      <c r="CE1395" s="6"/>
      <c r="CF1395" s="6"/>
      <c r="CG1395" s="6"/>
      <c r="CH1395" s="6"/>
      <c r="CI1395" s="6"/>
      <c r="CJ1395" s="6"/>
      <c r="CK1395" s="6"/>
      <c r="CL1395" s="6"/>
      <c r="CM1395" s="6"/>
      <c r="CN1395" s="6"/>
      <c r="CO1395" s="6"/>
      <c r="CP1395" s="6"/>
      <c r="CQ1395" s="6"/>
      <c r="CR1395" s="6"/>
      <c r="CS1395" s="6"/>
      <c r="CT1395" s="6"/>
      <c r="CU1395" s="6"/>
      <c r="CV1395" s="6"/>
      <c r="CW1395" s="6"/>
      <c r="CX1395" s="6"/>
      <c r="CY1395" s="6"/>
      <c r="CZ1395" s="6"/>
      <c r="DA1395" s="6"/>
      <c r="DB1395" s="6"/>
      <c r="DC1395" s="6"/>
      <c r="DD1395" s="6"/>
    </row>
    <row r="1396" spans="1:108" ht="12.75" hidden="1" customHeight="1" outlineLevel="5">
      <c r="A1396" s="104" t="s">
        <v>78</v>
      </c>
      <c r="B1396" s="95">
        <v>0</v>
      </c>
      <c r="C1396" s="11"/>
      <c r="D1396" s="18" t="str">
        <f>"&lt;" &amp; A1396 &amp; "&gt;" &amp; TEXT(B1396,"0.000000") &amp; "&lt;/" &amp; A1396 &amp; "&gt;"</f>
        <v>&lt;AeroCenter_X&gt;0.000000&lt;/AeroCenter_X&gt;</v>
      </c>
      <c r="E1396" s="175"/>
      <c r="F1396" s="6" t="s">
        <v>658</v>
      </c>
      <c r="G1396" s="6"/>
      <c r="H1396" s="6"/>
      <c r="I1396" s="6"/>
      <c r="J1396" s="6"/>
      <c r="K1396" s="6"/>
      <c r="L1396" s="6"/>
      <c r="M1396" s="6"/>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c r="BU1396" s="6"/>
      <c r="BV1396" s="6"/>
      <c r="BW1396" s="6"/>
      <c r="BX1396" s="6"/>
      <c r="BY1396" s="6"/>
      <c r="BZ1396" s="6"/>
      <c r="CA1396" s="6"/>
      <c r="CB1396" s="6"/>
      <c r="CC1396" s="6"/>
      <c r="CD1396" s="6"/>
      <c r="CE1396" s="6"/>
      <c r="CF1396" s="6"/>
      <c r="CG1396" s="6"/>
      <c r="CH1396" s="6"/>
      <c r="CI1396" s="6"/>
      <c r="CJ1396" s="6"/>
      <c r="CK1396" s="6"/>
      <c r="CL1396" s="6"/>
      <c r="CM1396" s="6"/>
      <c r="CN1396" s="6"/>
      <c r="CO1396" s="6"/>
      <c r="CP1396" s="6"/>
      <c r="CQ1396" s="6"/>
      <c r="CR1396" s="6"/>
      <c r="CS1396" s="6"/>
      <c r="CT1396" s="6"/>
      <c r="CU1396" s="6"/>
      <c r="CV1396" s="6"/>
      <c r="CW1396" s="6"/>
      <c r="CX1396" s="6"/>
      <c r="CY1396" s="6"/>
      <c r="CZ1396" s="6"/>
      <c r="DA1396" s="6"/>
      <c r="DB1396" s="6"/>
      <c r="DC1396" s="6"/>
      <c r="DD1396" s="6"/>
    </row>
    <row r="1397" spans="1:108" ht="12.75" hidden="1" customHeight="1" outlineLevel="5">
      <c r="A1397" s="104" t="s">
        <v>79</v>
      </c>
      <c r="B1397" s="95">
        <v>0</v>
      </c>
      <c r="C1397" s="11"/>
      <c r="D1397" s="18" t="str">
        <f>"&lt;" &amp; A1397 &amp; "&gt;" &amp; TEXT(B1397,"0.000000") &amp; "&lt;/" &amp; A1397 &amp; "&gt;"</f>
        <v>&lt;AeroCenter_Y&gt;0.000000&lt;/AeroCenter_Y&gt;</v>
      </c>
      <c r="E1397" s="175"/>
      <c r="F1397" s="6" t="s">
        <v>659</v>
      </c>
      <c r="G1397" s="6"/>
      <c r="H1397" s="6"/>
      <c r="I1397" s="6"/>
      <c r="J1397" s="6"/>
      <c r="K1397" s="6"/>
      <c r="L1397" s="6"/>
      <c r="M1397" s="6"/>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c r="BU1397" s="6"/>
      <c r="BV1397" s="6"/>
      <c r="BW1397" s="6"/>
      <c r="BX1397" s="6"/>
      <c r="BY1397" s="6"/>
      <c r="BZ1397" s="6"/>
      <c r="CA1397" s="6"/>
      <c r="CB1397" s="6"/>
      <c r="CC1397" s="6"/>
      <c r="CD1397" s="6"/>
      <c r="CE1397" s="6"/>
      <c r="CF1397" s="6"/>
      <c r="CG1397" s="6"/>
      <c r="CH1397" s="6"/>
      <c r="CI1397" s="6"/>
      <c r="CJ1397" s="6"/>
      <c r="CK1397" s="6"/>
      <c r="CL1397" s="6"/>
      <c r="CM1397" s="6"/>
      <c r="CN1397" s="6"/>
      <c r="CO1397" s="6"/>
      <c r="CP1397" s="6"/>
      <c r="CQ1397" s="6"/>
      <c r="CR1397" s="6"/>
      <c r="CS1397" s="6"/>
      <c r="CT1397" s="6"/>
      <c r="CU1397" s="6"/>
      <c r="CV1397" s="6"/>
      <c r="CW1397" s="6"/>
      <c r="CX1397" s="6"/>
      <c r="CY1397" s="6"/>
      <c r="CZ1397" s="6"/>
      <c r="DA1397" s="6"/>
      <c r="DB1397" s="6"/>
      <c r="DC1397" s="6"/>
      <c r="DD1397" s="6"/>
    </row>
    <row r="1398" spans="1:108" ht="12.75" hidden="1" customHeight="1" outlineLevel="5">
      <c r="A1398" s="104" t="s">
        <v>80</v>
      </c>
      <c r="B1398" s="95">
        <v>0</v>
      </c>
      <c r="C1398" s="11"/>
      <c r="D1398" s="18" t="str">
        <f>"&lt;" &amp; A1398 &amp; "&gt;" &amp; TEXT(B1398,"0.000000") &amp; "&lt;/" &amp; A1398 &amp; "&gt;"</f>
        <v>&lt;AeroCenter_Z&gt;0.000000&lt;/AeroCenter_Z&gt;</v>
      </c>
      <c r="E1398" s="175"/>
      <c r="F1398" s="6" t="s">
        <v>660</v>
      </c>
      <c r="G1398" s="6"/>
      <c r="H1398" s="6"/>
      <c r="I1398" s="6"/>
      <c r="J1398" s="6"/>
      <c r="K1398" s="6"/>
      <c r="L1398" s="6"/>
      <c r="M1398" s="6"/>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c r="BU1398" s="6"/>
      <c r="BV1398" s="6"/>
      <c r="BW1398" s="6"/>
      <c r="BX1398" s="6"/>
      <c r="BY1398" s="6"/>
      <c r="BZ1398" s="6"/>
      <c r="CA1398" s="6"/>
      <c r="CB1398" s="6"/>
      <c r="CC1398" s="6"/>
      <c r="CD1398" s="6"/>
      <c r="CE1398" s="6"/>
      <c r="CF1398" s="6"/>
      <c r="CG1398" s="6"/>
      <c r="CH1398" s="6"/>
      <c r="CI1398" s="6"/>
      <c r="CJ1398" s="6"/>
      <c r="CK1398" s="6"/>
      <c r="CL1398" s="6"/>
      <c r="CM1398" s="6"/>
      <c r="CN1398" s="6"/>
      <c r="CO1398" s="6"/>
      <c r="CP1398" s="6"/>
      <c r="CQ1398" s="6"/>
      <c r="CR1398" s="6"/>
      <c r="CS1398" s="6"/>
      <c r="CT1398" s="6"/>
      <c r="CU1398" s="6"/>
      <c r="CV1398" s="6"/>
      <c r="CW1398" s="6"/>
      <c r="CX1398" s="6"/>
      <c r="CY1398" s="6"/>
      <c r="CZ1398" s="6"/>
      <c r="DA1398" s="6"/>
      <c r="DB1398" s="6"/>
      <c r="DC1398" s="6"/>
      <c r="DD1398" s="6"/>
    </row>
    <row r="1399" spans="1:108" ht="12.75" hidden="1" customHeight="1" outlineLevel="5">
      <c r="A1399" s="104" t="s">
        <v>81</v>
      </c>
      <c r="B1399" s="95">
        <v>1</v>
      </c>
      <c r="C1399" s="11"/>
      <c r="D1399" s="18" t="str">
        <f>"&lt;" &amp; A1399 &amp; "&gt;" &amp; TEXT(B1399,0) &amp; "&lt;/" &amp; A1399 &amp; "&gt;"</f>
        <v>&lt;AutoAeroCenterFlag&gt;1&lt;/AutoAeroCenterFlag&gt;</v>
      </c>
      <c r="E1399" s="175"/>
      <c r="F1399" s="6" t="s">
        <v>661</v>
      </c>
      <c r="G1399" s="6"/>
      <c r="H1399" s="6"/>
      <c r="I1399" s="6"/>
      <c r="J1399" s="6"/>
      <c r="K1399" s="6"/>
      <c r="L1399" s="6"/>
      <c r="M1399" s="6"/>
      <c r="N1399" s="6"/>
      <c r="O1399" s="6"/>
      <c r="P1399" s="6"/>
      <c r="Q1399" s="6"/>
      <c r="R1399" s="6"/>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c r="BU1399" s="6"/>
      <c r="BV1399" s="6"/>
      <c r="BW1399" s="6"/>
      <c r="BX1399" s="6"/>
      <c r="BY1399" s="6"/>
      <c r="BZ1399" s="6"/>
      <c r="CA1399" s="6"/>
      <c r="CB1399" s="6"/>
      <c r="CC1399" s="6"/>
      <c r="CD1399" s="6"/>
      <c r="CE1399" s="6"/>
      <c r="CF1399" s="6"/>
      <c r="CG1399" s="6"/>
      <c r="CH1399" s="6"/>
      <c r="CI1399" s="6"/>
      <c r="CJ1399" s="6"/>
      <c r="CK1399" s="6"/>
      <c r="CL1399" s="6"/>
      <c r="CM1399" s="6"/>
      <c r="CN1399" s="6"/>
      <c r="CO1399" s="6"/>
      <c r="CP1399" s="6"/>
      <c r="CQ1399" s="6"/>
      <c r="CR1399" s="6"/>
      <c r="CS1399" s="6"/>
      <c r="CT1399" s="6"/>
      <c r="CU1399" s="6"/>
      <c r="CV1399" s="6"/>
      <c r="CW1399" s="6"/>
      <c r="CX1399" s="6"/>
      <c r="CY1399" s="6"/>
      <c r="CZ1399" s="6"/>
      <c r="DA1399" s="6"/>
      <c r="DB1399" s="6"/>
      <c r="DC1399" s="6"/>
      <c r="DD1399" s="6"/>
    </row>
    <row r="1400" spans="1:108" ht="12.75" hidden="1" customHeight="1" outlineLevel="5">
      <c r="A1400" s="104" t="s">
        <v>82</v>
      </c>
      <c r="B1400" s="95">
        <v>0</v>
      </c>
      <c r="C1400" s="11"/>
      <c r="D1400" s="18" t="str">
        <f>"&lt;" &amp; A1400 &amp; "&gt;" &amp; TEXT(B1400,0) &amp; "&lt;/" &amp; A1400 &amp; "&gt;"</f>
        <v>&lt;WakeActiveFlag&gt;0&lt;/WakeActiveFlag&gt;</v>
      </c>
      <c r="E1400" s="175"/>
      <c r="F1400" s="6" t="s">
        <v>662</v>
      </c>
      <c r="G1400" s="6"/>
      <c r="H1400" s="6"/>
      <c r="I1400" s="6"/>
      <c r="J1400" s="6"/>
      <c r="K1400" s="6"/>
      <c r="L1400" s="6"/>
      <c r="M1400" s="6"/>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c r="BU1400" s="6"/>
      <c r="BV1400" s="6"/>
      <c r="BW1400" s="6"/>
      <c r="BX1400" s="6"/>
      <c r="BY1400" s="6"/>
      <c r="BZ1400" s="6"/>
      <c r="CA1400" s="6"/>
      <c r="CB1400" s="6"/>
      <c r="CC1400" s="6"/>
      <c r="CD1400" s="6"/>
      <c r="CE1400" s="6"/>
      <c r="CF1400" s="6"/>
      <c r="CG1400" s="6"/>
      <c r="CH1400" s="6"/>
      <c r="CI1400" s="6"/>
      <c r="CJ1400" s="6"/>
      <c r="CK1400" s="6"/>
      <c r="CL1400" s="6"/>
      <c r="CM1400" s="6"/>
      <c r="CN1400" s="6"/>
      <c r="CO1400" s="6"/>
      <c r="CP1400" s="6"/>
      <c r="CQ1400" s="6"/>
      <c r="CR1400" s="6"/>
      <c r="CS1400" s="6"/>
      <c r="CT1400" s="6"/>
      <c r="CU1400" s="6"/>
      <c r="CV1400" s="6"/>
      <c r="CW1400" s="6"/>
      <c r="CX1400" s="6"/>
      <c r="CY1400" s="6"/>
      <c r="CZ1400" s="6"/>
      <c r="DA1400" s="6"/>
      <c r="DB1400" s="6"/>
      <c r="DC1400" s="6"/>
      <c r="DD1400" s="6"/>
    </row>
    <row r="1401" spans="1:108" ht="12.75" hidden="1" customHeight="1" outlineLevel="5">
      <c r="A1401" s="104" t="s">
        <v>83</v>
      </c>
      <c r="B1401" s="95">
        <v>3</v>
      </c>
      <c r="C1401" s="11"/>
      <c r="D1401" s="18" t="str">
        <f>"&lt;" &amp; A1401 &amp; "&gt;" &amp; TEXT(B1401,0) &amp; "&lt;/" &amp; A1401 &amp; "&gt;"</f>
        <v>&lt;PosAttachFlag&gt;3&lt;/PosAttachFlag&gt;</v>
      </c>
      <c r="E1401" s="175"/>
      <c r="F1401" s="6" t="s">
        <v>862</v>
      </c>
      <c r="G1401" s="6"/>
      <c r="H1401" s="6"/>
      <c r="I1401" s="6"/>
      <c r="J1401" s="6"/>
      <c r="K1401" s="6"/>
      <c r="L1401" s="6"/>
      <c r="M1401" s="6"/>
      <c r="N1401" s="6"/>
      <c r="O1401" s="6"/>
      <c r="P1401" s="6"/>
      <c r="Q1401" s="6"/>
      <c r="R1401" s="6"/>
      <c r="S1401" s="6"/>
      <c r="T1401" s="6"/>
      <c r="U1401" s="6"/>
      <c r="V1401" s="6"/>
      <c r="W1401" s="6"/>
      <c r="X1401" s="6"/>
      <c r="Y1401" s="6"/>
      <c r="Z1401" s="6"/>
      <c r="AA1401" s="6"/>
      <c r="AB1401" s="6"/>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c r="BU1401" s="6"/>
      <c r="BV1401" s="6"/>
      <c r="BW1401" s="6"/>
      <c r="BX1401" s="6"/>
      <c r="BY1401" s="6"/>
      <c r="BZ1401" s="6"/>
      <c r="CA1401" s="6"/>
      <c r="CB1401" s="6"/>
      <c r="CC1401" s="6"/>
      <c r="CD1401" s="6"/>
      <c r="CE1401" s="6"/>
      <c r="CF1401" s="6"/>
      <c r="CG1401" s="6"/>
      <c r="CH1401" s="6"/>
      <c r="CI1401" s="6"/>
      <c r="CJ1401" s="6"/>
      <c r="CK1401" s="6"/>
      <c r="CL1401" s="6"/>
      <c r="CM1401" s="6"/>
      <c r="CN1401" s="6"/>
      <c r="CO1401" s="6"/>
      <c r="CP1401" s="6"/>
      <c r="CQ1401" s="6"/>
      <c r="CR1401" s="6"/>
      <c r="CS1401" s="6"/>
      <c r="CT1401" s="6"/>
      <c r="CU1401" s="6"/>
      <c r="CV1401" s="6"/>
      <c r="CW1401" s="6"/>
      <c r="CX1401" s="6"/>
      <c r="CY1401" s="6"/>
      <c r="CZ1401" s="6"/>
      <c r="DA1401" s="6"/>
      <c r="DB1401" s="6"/>
      <c r="DC1401" s="6"/>
      <c r="DD1401" s="6"/>
    </row>
    <row r="1402" spans="1:108" ht="12.75" hidden="1" customHeight="1" outlineLevel="5">
      <c r="A1402" s="104" t="s">
        <v>84</v>
      </c>
      <c r="B1402" s="95">
        <v>0</v>
      </c>
      <c r="C1402" s="11"/>
      <c r="D1402" s="18" t="str">
        <f>"&lt;" &amp; A1402 &amp; "&gt;" &amp; TEXT(B1402,"0.000000") &amp; "&lt;/" &amp; A1402 &amp; "&gt;"</f>
        <v>&lt;U_Attach&gt;0.000000&lt;/U_Attach&gt;</v>
      </c>
      <c r="E1402" s="175"/>
      <c r="F1402" s="6" t="s">
        <v>664</v>
      </c>
      <c r="G1402" s="6"/>
      <c r="H1402" s="6"/>
      <c r="I1402" s="6"/>
      <c r="J1402" s="6"/>
      <c r="K1402" s="6"/>
      <c r="L1402" s="6"/>
      <c r="M1402" s="6"/>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c r="BU1402" s="6"/>
      <c r="BV1402" s="6"/>
      <c r="BW1402" s="6"/>
      <c r="BX1402" s="6"/>
      <c r="BY1402" s="6"/>
      <c r="BZ1402" s="6"/>
      <c r="CA1402" s="6"/>
      <c r="CB1402" s="6"/>
      <c r="CC1402" s="6"/>
      <c r="CD1402" s="6"/>
      <c r="CE1402" s="6"/>
      <c r="CF1402" s="6"/>
      <c r="CG1402" s="6"/>
      <c r="CH1402" s="6"/>
      <c r="CI1402" s="6"/>
      <c r="CJ1402" s="6"/>
      <c r="CK1402" s="6"/>
      <c r="CL1402" s="6"/>
      <c r="CM1402" s="6"/>
      <c r="CN1402" s="6"/>
      <c r="CO1402" s="6"/>
      <c r="CP1402" s="6"/>
      <c r="CQ1402" s="6"/>
      <c r="CR1402" s="6"/>
      <c r="CS1402" s="6"/>
      <c r="CT1402" s="6"/>
      <c r="CU1402" s="6"/>
      <c r="CV1402" s="6"/>
      <c r="CW1402" s="6"/>
      <c r="CX1402" s="6"/>
      <c r="CY1402" s="6"/>
      <c r="CZ1402" s="6"/>
      <c r="DA1402" s="6"/>
      <c r="DB1402" s="6"/>
      <c r="DC1402" s="6"/>
      <c r="DD1402" s="6"/>
    </row>
    <row r="1403" spans="1:108" ht="12.75" hidden="1" customHeight="1" outlineLevel="5">
      <c r="A1403" s="104" t="s">
        <v>85</v>
      </c>
      <c r="B1403" s="95">
        <v>0</v>
      </c>
      <c r="C1403" s="11"/>
      <c r="D1403" s="18" t="str">
        <f>"&lt;" &amp; A1403 &amp; "&gt;" &amp; TEXT(B1403,"0.000000") &amp; "&lt;/" &amp; A1403 &amp; "&gt;"</f>
        <v>&lt;V_Attach&gt;0.000000&lt;/V_Attach&gt;</v>
      </c>
      <c r="E1403" s="175"/>
      <c r="F1403" s="6" t="s">
        <v>665</v>
      </c>
      <c r="G1403" s="6"/>
      <c r="H1403" s="6"/>
      <c r="I1403" s="6"/>
      <c r="J1403" s="6"/>
      <c r="K1403" s="6"/>
      <c r="L1403" s="6"/>
      <c r="M1403" s="6"/>
      <c r="N1403" s="6"/>
      <c r="O1403" s="6"/>
      <c r="P1403" s="6"/>
      <c r="Q1403" s="6"/>
      <c r="R1403" s="6"/>
      <c r="S1403" s="6"/>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c r="BU1403" s="6"/>
      <c r="BV1403" s="6"/>
      <c r="BW1403" s="6"/>
      <c r="BX1403" s="6"/>
      <c r="BY1403" s="6"/>
      <c r="BZ1403" s="6"/>
      <c r="CA1403" s="6"/>
      <c r="CB1403" s="6"/>
      <c r="CC1403" s="6"/>
      <c r="CD1403" s="6"/>
      <c r="CE1403" s="6"/>
      <c r="CF1403" s="6"/>
      <c r="CG1403" s="6"/>
      <c r="CH1403" s="6"/>
      <c r="CI1403" s="6"/>
      <c r="CJ1403" s="6"/>
      <c r="CK1403" s="6"/>
      <c r="CL1403" s="6"/>
      <c r="CM1403" s="6"/>
      <c r="CN1403" s="6"/>
      <c r="CO1403" s="6"/>
      <c r="CP1403" s="6"/>
      <c r="CQ1403" s="6"/>
      <c r="CR1403" s="6"/>
      <c r="CS1403" s="6"/>
      <c r="CT1403" s="6"/>
      <c r="CU1403" s="6"/>
      <c r="CV1403" s="6"/>
      <c r="CW1403" s="6"/>
      <c r="CX1403" s="6"/>
      <c r="CY1403" s="6"/>
      <c r="CZ1403" s="6"/>
      <c r="DA1403" s="6"/>
      <c r="DB1403" s="6"/>
      <c r="DC1403" s="6"/>
      <c r="DD1403" s="6"/>
    </row>
    <row r="1404" spans="1:108" ht="12.75" hidden="1" customHeight="1" outlineLevel="5">
      <c r="A1404" s="104" t="s">
        <v>86</v>
      </c>
      <c r="B1404" s="28">
        <v>854381</v>
      </c>
      <c r="C1404" s="11"/>
      <c r="D1404" s="18" t="str">
        <f>"&lt;" &amp; A1404 &amp; "&gt;" &amp; TEXT(B1404,0) &amp; "&lt;/" &amp; A1404 &amp; "&gt;"</f>
        <v>&lt;PtrID&gt;854381&lt;/PtrID&gt;</v>
      </c>
      <c r="E1404" s="175"/>
      <c r="F1404" s="6" t="s">
        <v>903</v>
      </c>
      <c r="G1404" s="6"/>
      <c r="H1404" s="6"/>
      <c r="I1404" s="6"/>
      <c r="J1404" s="6"/>
      <c r="K1404" s="6"/>
      <c r="L1404" s="6"/>
      <c r="M1404" s="6"/>
      <c r="N1404" s="6"/>
      <c r="O1404" s="6"/>
      <c r="P1404" s="6"/>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c r="BU1404" s="6"/>
      <c r="BV1404" s="6"/>
      <c r="BW1404" s="6"/>
      <c r="BX1404" s="6"/>
      <c r="BY1404" s="6"/>
      <c r="BZ1404" s="6"/>
      <c r="CA1404" s="6"/>
      <c r="CB1404" s="6"/>
      <c r="CC1404" s="6"/>
      <c r="CD1404" s="6"/>
      <c r="CE1404" s="6"/>
      <c r="CF1404" s="6"/>
      <c r="CG1404" s="6"/>
      <c r="CH1404" s="6"/>
      <c r="CI1404" s="6"/>
      <c r="CJ1404" s="6"/>
      <c r="CK1404" s="6"/>
      <c r="CL1404" s="6"/>
      <c r="CM1404" s="6"/>
      <c r="CN1404" s="6"/>
      <c r="CO1404" s="6"/>
      <c r="CP1404" s="6"/>
      <c r="CQ1404" s="6"/>
      <c r="CR1404" s="6"/>
      <c r="CS1404" s="6"/>
      <c r="CT1404" s="6"/>
      <c r="CU1404" s="6"/>
      <c r="CV1404" s="6"/>
      <c r="CW1404" s="6"/>
      <c r="CX1404" s="6"/>
      <c r="CY1404" s="6"/>
      <c r="CZ1404" s="6"/>
      <c r="DA1404" s="6"/>
      <c r="DB1404" s="6"/>
      <c r="DC1404" s="6"/>
      <c r="DD1404" s="6"/>
    </row>
    <row r="1405" spans="1:108" ht="12.75" hidden="1" customHeight="1" outlineLevel="5">
      <c r="A1405" s="104" t="s">
        <v>87</v>
      </c>
      <c r="B1405" s="28">
        <v>148271640</v>
      </c>
      <c r="C1405" s="11"/>
      <c r="D1405" s="18" t="str">
        <f>"&lt;" &amp; A1405 &amp; "&gt;" &amp; TEXT(B1405,0) &amp; "&lt;/" &amp; A1405 &amp; "&gt;"</f>
        <v>&lt;Parent_PtrID&gt;148271640&lt;/Parent_PtrID&gt;</v>
      </c>
      <c r="E1405" s="175"/>
      <c r="F1405" s="6" t="s">
        <v>864</v>
      </c>
      <c r="G1405" s="6"/>
      <c r="H1405" s="6"/>
      <c r="I1405" s="6"/>
      <c r="J1405" s="6"/>
      <c r="K1405" s="6"/>
      <c r="L1405" s="6"/>
      <c r="M1405" s="6"/>
      <c r="N1405" s="6"/>
      <c r="O1405" s="6"/>
      <c r="P1405" s="6"/>
      <c r="Q1405" s="6"/>
      <c r="R1405" s="6"/>
      <c r="S1405" s="6"/>
      <c r="T1405" s="6"/>
      <c r="U1405" s="6"/>
      <c r="V1405" s="6"/>
      <c r="W1405" s="6"/>
      <c r="X1405" s="6"/>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c r="BU1405" s="6"/>
      <c r="BV1405" s="6"/>
      <c r="BW1405" s="6"/>
      <c r="BX1405" s="6"/>
      <c r="BY1405" s="6"/>
      <c r="BZ1405" s="6"/>
      <c r="CA1405" s="6"/>
      <c r="CB1405" s="6"/>
      <c r="CC1405" s="6"/>
      <c r="CD1405" s="6"/>
      <c r="CE1405" s="6"/>
      <c r="CF1405" s="6"/>
      <c r="CG1405" s="6"/>
      <c r="CH1405" s="6"/>
      <c r="CI1405" s="6"/>
      <c r="CJ1405" s="6"/>
      <c r="CK1405" s="6"/>
      <c r="CL1405" s="6"/>
      <c r="CM1405" s="6"/>
      <c r="CN1405" s="6"/>
      <c r="CO1405" s="6"/>
      <c r="CP1405" s="6"/>
      <c r="CQ1405" s="6"/>
      <c r="CR1405" s="6"/>
      <c r="CS1405" s="6"/>
      <c r="CT1405" s="6"/>
      <c r="CU1405" s="6"/>
      <c r="CV1405" s="6"/>
      <c r="CW1405" s="6"/>
      <c r="CX1405" s="6"/>
      <c r="CY1405" s="6"/>
      <c r="CZ1405" s="6"/>
      <c r="DA1405" s="6"/>
      <c r="DB1405" s="6"/>
      <c r="DC1405" s="6"/>
      <c r="DD1405" s="6"/>
    </row>
    <row r="1406" spans="1:108" ht="12.75" hidden="1" customHeight="1" outlineLevel="5">
      <c r="A1406" s="104" t="s">
        <v>88</v>
      </c>
      <c r="B1406" s="104"/>
      <c r="C1406" s="11"/>
      <c r="D1406" s="6" t="str">
        <f>"&lt;" &amp; A1406 &amp; "&gt;"</f>
        <v>&lt;/General_Parms&gt;</v>
      </c>
      <c r="E1406" s="175"/>
      <c r="F1406" s="6" t="s">
        <v>667</v>
      </c>
      <c r="G1406" s="6"/>
      <c r="H1406" s="6"/>
      <c r="I1406" s="6"/>
      <c r="J1406" s="6"/>
      <c r="K1406" s="6"/>
      <c r="L1406" s="6"/>
      <c r="M1406" s="6"/>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c r="BU1406" s="6"/>
      <c r="BV1406" s="6"/>
      <c r="BW1406" s="6"/>
      <c r="BX1406" s="6"/>
      <c r="BY1406" s="6"/>
      <c r="BZ1406" s="6"/>
      <c r="CA1406" s="6"/>
      <c r="CB1406" s="6"/>
      <c r="CC1406" s="6"/>
      <c r="CD1406" s="6"/>
      <c r="CE1406" s="6"/>
      <c r="CF1406" s="6"/>
      <c r="CG1406" s="6"/>
      <c r="CH1406" s="6"/>
      <c r="CI1406" s="6"/>
      <c r="CJ1406" s="6"/>
      <c r="CK1406" s="6"/>
      <c r="CL1406" s="6"/>
      <c r="CM1406" s="6"/>
      <c r="CN1406" s="6"/>
      <c r="CO1406" s="6"/>
      <c r="CP1406" s="6"/>
      <c r="CQ1406" s="6"/>
      <c r="CR1406" s="6"/>
      <c r="CS1406" s="6"/>
      <c r="CT1406" s="6"/>
      <c r="CU1406" s="6"/>
      <c r="CV1406" s="6"/>
      <c r="CW1406" s="6"/>
      <c r="CX1406" s="6"/>
      <c r="CY1406" s="6"/>
      <c r="CZ1406" s="6"/>
      <c r="DA1406" s="6"/>
      <c r="DB1406" s="6"/>
      <c r="DC1406" s="6"/>
      <c r="DD1406" s="6"/>
    </row>
    <row r="1407" spans="1:108" ht="12.75" hidden="1" customHeight="1" outlineLevel="4" collapsed="1">
      <c r="A1407" s="104" t="s">
        <v>297</v>
      </c>
      <c r="B1407" s="104"/>
      <c r="C1407" s="11"/>
      <c r="D1407" s="6" t="str">
        <f>"&lt;" &amp; A1407 &amp; "&gt;"</f>
        <v>&lt;Prop_Parms&gt;</v>
      </c>
      <c r="E1407" s="175"/>
      <c r="F1407" s="6" t="s">
        <v>904</v>
      </c>
      <c r="G1407" s="6"/>
      <c r="H1407" s="6"/>
      <c r="I1407" s="6"/>
      <c r="J1407" s="6"/>
      <c r="K1407" s="6"/>
      <c r="L1407" s="6"/>
      <c r="M1407" s="6"/>
      <c r="N1407" s="6"/>
      <c r="O1407" s="6"/>
      <c r="P1407" s="6"/>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c r="BU1407" s="6"/>
      <c r="BV1407" s="6"/>
      <c r="BW1407" s="6"/>
      <c r="BX1407" s="6"/>
      <c r="BY1407" s="6"/>
      <c r="BZ1407" s="6"/>
      <c r="CA1407" s="6"/>
      <c r="CB1407" s="6"/>
      <c r="CC1407" s="6"/>
      <c r="CD1407" s="6"/>
      <c r="CE1407" s="6"/>
      <c r="CF1407" s="6"/>
      <c r="CG1407" s="6"/>
      <c r="CH1407" s="6"/>
      <c r="CI1407" s="6"/>
      <c r="CJ1407" s="6"/>
      <c r="CK1407" s="6"/>
      <c r="CL1407" s="6"/>
      <c r="CM1407" s="6"/>
      <c r="CN1407" s="6"/>
      <c r="CO1407" s="6"/>
      <c r="CP1407" s="6"/>
      <c r="CQ1407" s="6"/>
      <c r="CR1407" s="6"/>
      <c r="CS1407" s="6"/>
      <c r="CT1407" s="6"/>
      <c r="CU1407" s="6"/>
      <c r="CV1407" s="6"/>
      <c r="CW1407" s="6"/>
      <c r="CX1407" s="6"/>
      <c r="CY1407" s="6"/>
      <c r="CZ1407" s="6"/>
      <c r="DA1407" s="6"/>
      <c r="DB1407" s="6"/>
      <c r="DC1407" s="6"/>
      <c r="DD1407" s="6"/>
    </row>
    <row r="1408" spans="1:108" ht="12.75" hidden="1" customHeight="1" outlineLevel="5">
      <c r="A1408" s="104" t="s">
        <v>298</v>
      </c>
      <c r="B1408" s="117">
        <f>n_b.p</f>
        <v>6</v>
      </c>
      <c r="C1408" s="11"/>
      <c r="D1408" s="18" t="str">
        <f>"&lt;" &amp; A1408 &amp; "&gt;" &amp; TEXT(B1408,0) &amp; "&lt;/" &amp; A1408 &amp; "&gt;"</f>
        <v>&lt;NumBlades&gt;6&lt;/NumBlades&gt;</v>
      </c>
      <c r="E1408" s="175"/>
      <c r="F1408" s="6" t="s">
        <v>905</v>
      </c>
      <c r="G1408" s="6"/>
      <c r="H1408" s="6"/>
      <c r="I1408" s="6"/>
      <c r="J1408" s="6"/>
      <c r="K1408" s="6"/>
      <c r="L1408" s="6"/>
      <c r="M1408" s="6"/>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c r="BU1408" s="6"/>
      <c r="BV1408" s="6"/>
      <c r="BW1408" s="6"/>
      <c r="BX1408" s="6"/>
      <c r="BY1408" s="6"/>
      <c r="BZ1408" s="6"/>
      <c r="CA1408" s="6"/>
      <c r="CB1408" s="6"/>
      <c r="CC1408" s="6"/>
      <c r="CD1408" s="6"/>
      <c r="CE1408" s="6"/>
      <c r="CF1408" s="6"/>
      <c r="CG1408" s="6"/>
      <c r="CH1408" s="6"/>
      <c r="CI1408" s="6"/>
      <c r="CJ1408" s="6"/>
      <c r="CK1408" s="6"/>
      <c r="CL1408" s="6"/>
      <c r="CM1408" s="6"/>
      <c r="CN1408" s="6"/>
      <c r="CO1408" s="6"/>
      <c r="CP1408" s="6"/>
      <c r="CQ1408" s="6"/>
      <c r="CR1408" s="6"/>
      <c r="CS1408" s="6"/>
      <c r="CT1408" s="6"/>
      <c r="CU1408" s="6"/>
      <c r="CV1408" s="6"/>
      <c r="CW1408" s="6"/>
      <c r="CX1408" s="6"/>
      <c r="CY1408" s="6"/>
      <c r="CZ1408" s="6"/>
      <c r="DA1408" s="6"/>
      <c r="DB1408" s="6"/>
      <c r="DC1408" s="6"/>
      <c r="DD1408" s="6"/>
    </row>
    <row r="1409" spans="1:108" ht="12.75" hidden="1" customHeight="1" outlineLevel="5">
      <c r="A1409" s="104" t="s">
        <v>299</v>
      </c>
      <c r="B1409" s="95">
        <v>1</v>
      </c>
      <c r="C1409" s="11"/>
      <c r="D1409" s="18" t="str">
        <f>"&lt;" &amp; A1409 &amp; "&gt;" &amp; TEXT(B1409,0) &amp; "&lt;/" &amp; A1409 &amp; "&gt;"</f>
        <v>&lt;SmoothFlag&gt;1&lt;/SmoothFlag&gt;</v>
      </c>
      <c r="E1409" s="175"/>
      <c r="F1409" s="6" t="s">
        <v>906</v>
      </c>
      <c r="G1409" s="6"/>
      <c r="H1409" s="6"/>
      <c r="I1409" s="6"/>
      <c r="J1409" s="6"/>
      <c r="K1409" s="6"/>
      <c r="L1409" s="6"/>
      <c r="M1409" s="6"/>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c r="BU1409" s="6"/>
      <c r="BV1409" s="6"/>
      <c r="BW1409" s="6"/>
      <c r="BX1409" s="6"/>
      <c r="BY1409" s="6"/>
      <c r="BZ1409" s="6"/>
      <c r="CA1409" s="6"/>
      <c r="CB1409" s="6"/>
      <c r="CC1409" s="6"/>
      <c r="CD1409" s="6"/>
      <c r="CE1409" s="6"/>
      <c r="CF1409" s="6"/>
      <c r="CG1409" s="6"/>
      <c r="CH1409" s="6"/>
      <c r="CI1409" s="6"/>
      <c r="CJ1409" s="6"/>
      <c r="CK1409" s="6"/>
      <c r="CL1409" s="6"/>
      <c r="CM1409" s="6"/>
      <c r="CN1409" s="6"/>
      <c r="CO1409" s="6"/>
      <c r="CP1409" s="6"/>
      <c r="CQ1409" s="6"/>
      <c r="CR1409" s="6"/>
      <c r="CS1409" s="6"/>
      <c r="CT1409" s="6"/>
      <c r="CU1409" s="6"/>
      <c r="CV1409" s="6"/>
      <c r="CW1409" s="6"/>
      <c r="CX1409" s="6"/>
      <c r="CY1409" s="6"/>
      <c r="CZ1409" s="6"/>
      <c r="DA1409" s="6"/>
      <c r="DB1409" s="6"/>
      <c r="DC1409" s="6"/>
      <c r="DD1409" s="6"/>
    </row>
    <row r="1410" spans="1:108" ht="12.75" hidden="1" customHeight="1" outlineLevel="5">
      <c r="A1410" s="104" t="s">
        <v>300</v>
      </c>
      <c r="B1410" s="95">
        <v>3</v>
      </c>
      <c r="C1410" s="11"/>
      <c r="D1410" s="18" t="str">
        <f>"&lt;" &amp; A1410 &amp; "&gt;" &amp; TEXT(B1410,0) &amp; "&lt;/" &amp; A1410 &amp; "&gt;"</f>
        <v>&lt;NumU&gt;3&lt;/NumU&gt;</v>
      </c>
      <c r="E1410" s="175"/>
      <c r="F1410" s="6" t="s">
        <v>907</v>
      </c>
      <c r="G1410" s="6"/>
      <c r="H1410" s="6"/>
      <c r="I1410" s="6"/>
      <c r="J1410" s="6"/>
      <c r="K1410" s="6"/>
      <c r="L1410" s="6"/>
      <c r="M1410" s="6"/>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c r="BU1410" s="6"/>
      <c r="BV1410" s="6"/>
      <c r="BW1410" s="6"/>
      <c r="BX1410" s="6"/>
      <c r="BY1410" s="6"/>
      <c r="BZ1410" s="6"/>
      <c r="CA1410" s="6"/>
      <c r="CB1410" s="6"/>
      <c r="CC1410" s="6"/>
      <c r="CD1410" s="6"/>
      <c r="CE1410" s="6"/>
      <c r="CF1410" s="6"/>
      <c r="CG1410" s="6"/>
      <c r="CH1410" s="6"/>
      <c r="CI1410" s="6"/>
      <c r="CJ1410" s="6"/>
      <c r="CK1410" s="6"/>
      <c r="CL1410" s="6"/>
      <c r="CM1410" s="6"/>
      <c r="CN1410" s="6"/>
      <c r="CO1410" s="6"/>
      <c r="CP1410" s="6"/>
      <c r="CQ1410" s="6"/>
      <c r="CR1410" s="6"/>
      <c r="CS1410" s="6"/>
      <c r="CT1410" s="6"/>
      <c r="CU1410" s="6"/>
      <c r="CV1410" s="6"/>
      <c r="CW1410" s="6"/>
      <c r="CX1410" s="6"/>
      <c r="CY1410" s="6"/>
      <c r="CZ1410" s="6"/>
      <c r="DA1410" s="6"/>
      <c r="DB1410" s="6"/>
      <c r="DC1410" s="6"/>
      <c r="DD1410" s="6"/>
    </row>
    <row r="1411" spans="1:108" ht="12.75" hidden="1" customHeight="1" outlineLevel="5">
      <c r="A1411" s="104" t="s">
        <v>301</v>
      </c>
      <c r="B1411" s="95">
        <v>1</v>
      </c>
      <c r="C1411" s="11"/>
      <c r="D1411" s="18" t="str">
        <f>"&lt;" &amp; A1411 &amp; "&gt;" &amp; TEXT(B1411,0) &amp; "&lt;/" &amp; A1411 &amp; "&gt;"</f>
        <v>&lt;NumW&gt;1&lt;/NumW&gt;</v>
      </c>
      <c r="E1411" s="175"/>
      <c r="F1411" s="6" t="s">
        <v>908</v>
      </c>
      <c r="G1411" s="6"/>
      <c r="H1411" s="6"/>
      <c r="I1411" s="6"/>
      <c r="J1411" s="6"/>
      <c r="K1411" s="6"/>
      <c r="L1411" s="6"/>
      <c r="M1411" s="6"/>
      <c r="N1411" s="6"/>
      <c r="O1411" s="6"/>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c r="BU1411" s="6"/>
      <c r="BV1411" s="6"/>
      <c r="BW1411" s="6"/>
      <c r="BX1411" s="6"/>
      <c r="BY1411" s="6"/>
      <c r="BZ1411" s="6"/>
      <c r="CA1411" s="6"/>
      <c r="CB1411" s="6"/>
      <c r="CC1411" s="6"/>
      <c r="CD1411" s="6"/>
      <c r="CE1411" s="6"/>
      <c r="CF1411" s="6"/>
      <c r="CG1411" s="6"/>
      <c r="CH1411" s="6"/>
      <c r="CI1411" s="6"/>
      <c r="CJ1411" s="6"/>
      <c r="CK1411" s="6"/>
      <c r="CL1411" s="6"/>
      <c r="CM1411" s="6"/>
      <c r="CN1411" s="6"/>
      <c r="CO1411" s="6"/>
      <c r="CP1411" s="6"/>
      <c r="CQ1411" s="6"/>
      <c r="CR1411" s="6"/>
      <c r="CS1411" s="6"/>
      <c r="CT1411" s="6"/>
      <c r="CU1411" s="6"/>
      <c r="CV1411" s="6"/>
      <c r="CW1411" s="6"/>
      <c r="CX1411" s="6"/>
      <c r="CY1411" s="6"/>
      <c r="CZ1411" s="6"/>
      <c r="DA1411" s="6"/>
      <c r="DB1411" s="6"/>
      <c r="DC1411" s="6"/>
      <c r="DD1411" s="6"/>
    </row>
    <row r="1412" spans="1:108" ht="12.75" hidden="1" customHeight="1" outlineLevel="5">
      <c r="A1412" s="104" t="s">
        <v>302</v>
      </c>
      <c r="B1412" s="94">
        <f>d_e.p.r</f>
        <v>3.1715565509235231</v>
      </c>
      <c r="C1412" s="11"/>
      <c r="D1412" s="18" t="str">
        <f>"&lt;" &amp; A1412 &amp; "&gt;" &amp; TEXT(B1412,"0.000000") &amp; "&lt;/" &amp; A1412 &amp; "&gt;"</f>
        <v>&lt;Diameter&gt;3.171557&lt;/Diameter&gt;</v>
      </c>
      <c r="E1412" s="175"/>
      <c r="F1412" s="6" t="s">
        <v>909</v>
      </c>
      <c r="G1412" s="6"/>
      <c r="H1412" s="6"/>
      <c r="I1412" s="6"/>
      <c r="J1412" s="6"/>
      <c r="K1412" s="6"/>
      <c r="L1412" s="6"/>
      <c r="M1412" s="6"/>
      <c r="N1412" s="6"/>
      <c r="O1412" s="6"/>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c r="BU1412" s="6"/>
      <c r="BV1412" s="6"/>
      <c r="BW1412" s="6"/>
      <c r="BX1412" s="6"/>
      <c r="BY1412" s="6"/>
      <c r="BZ1412" s="6"/>
      <c r="CA1412" s="6"/>
      <c r="CB1412" s="6"/>
      <c r="CC1412" s="6"/>
      <c r="CD1412" s="6"/>
      <c r="CE1412" s="6"/>
      <c r="CF1412" s="6"/>
      <c r="CG1412" s="6"/>
      <c r="CH1412" s="6"/>
      <c r="CI1412" s="6"/>
      <c r="CJ1412" s="6"/>
      <c r="CK1412" s="6"/>
      <c r="CL1412" s="6"/>
      <c r="CM1412" s="6"/>
      <c r="CN1412" s="6"/>
      <c r="CO1412" s="6"/>
      <c r="CP1412" s="6"/>
      <c r="CQ1412" s="6"/>
      <c r="CR1412" s="6"/>
      <c r="CS1412" s="6"/>
      <c r="CT1412" s="6"/>
      <c r="CU1412" s="6"/>
      <c r="CV1412" s="6"/>
      <c r="CW1412" s="6"/>
      <c r="CX1412" s="6"/>
      <c r="CY1412" s="6"/>
      <c r="CZ1412" s="6"/>
      <c r="DA1412" s="6"/>
      <c r="DB1412" s="6"/>
      <c r="DC1412" s="6"/>
      <c r="DD1412" s="6"/>
    </row>
    <row r="1413" spans="1:108" ht="12.75" hidden="1" customHeight="1" outlineLevel="5">
      <c r="A1413" s="104" t="s">
        <v>303</v>
      </c>
      <c r="B1413" s="95">
        <v>0</v>
      </c>
      <c r="C1413" s="11"/>
      <c r="D1413" s="18" t="str">
        <f>"&lt;" &amp; A1413 &amp; "&gt;" &amp; TEXT(B1413,"0.000000") &amp; "&lt;/" &amp; A1413 &amp; "&gt;"</f>
        <v>&lt;ConeAngle&gt;0.000000&lt;/ConeAngle&gt;</v>
      </c>
      <c r="E1413" s="175"/>
      <c r="F1413" s="6" t="s">
        <v>910</v>
      </c>
      <c r="G1413" s="6"/>
      <c r="H1413" s="6"/>
      <c r="I1413" s="6"/>
      <c r="J1413" s="6"/>
      <c r="K1413" s="6"/>
      <c r="L1413" s="6"/>
      <c r="M1413" s="6"/>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c r="BU1413" s="6"/>
      <c r="BV1413" s="6"/>
      <c r="BW1413" s="6"/>
      <c r="BX1413" s="6"/>
      <c r="BY1413" s="6"/>
      <c r="BZ1413" s="6"/>
      <c r="CA1413" s="6"/>
      <c r="CB1413" s="6"/>
      <c r="CC1413" s="6"/>
      <c r="CD1413" s="6"/>
      <c r="CE1413" s="6"/>
      <c r="CF1413" s="6"/>
      <c r="CG1413" s="6"/>
      <c r="CH1413" s="6"/>
      <c r="CI1413" s="6"/>
      <c r="CJ1413" s="6"/>
      <c r="CK1413" s="6"/>
      <c r="CL1413" s="6"/>
      <c r="CM1413" s="6"/>
      <c r="CN1413" s="6"/>
      <c r="CO1413" s="6"/>
      <c r="CP1413" s="6"/>
      <c r="CQ1413" s="6"/>
      <c r="CR1413" s="6"/>
      <c r="CS1413" s="6"/>
      <c r="CT1413" s="6"/>
      <c r="CU1413" s="6"/>
      <c r="CV1413" s="6"/>
      <c r="CW1413" s="6"/>
      <c r="CX1413" s="6"/>
      <c r="CY1413" s="6"/>
      <c r="CZ1413" s="6"/>
      <c r="DA1413" s="6"/>
      <c r="DB1413" s="6"/>
      <c r="DC1413" s="6"/>
      <c r="DD1413" s="6"/>
    </row>
    <row r="1414" spans="1:108" ht="12.75" hidden="1" customHeight="1" outlineLevel="5">
      <c r="A1414" s="104" t="s">
        <v>304</v>
      </c>
      <c r="B1414" s="95">
        <v>0</v>
      </c>
      <c r="C1414" s="11"/>
      <c r="D1414" s="18" t="str">
        <f>"&lt;" &amp; A1414 &amp; "&gt;" &amp; TEXT(B1414,"0.000000") &amp; "&lt;/" &amp; A1414 &amp; "&gt;"</f>
        <v>&lt;Pitch&gt;0.000000&lt;/Pitch&gt;</v>
      </c>
      <c r="E1414" s="175"/>
      <c r="F1414" s="6" t="s">
        <v>911</v>
      </c>
      <c r="G1414" s="6"/>
      <c r="H1414" s="6"/>
      <c r="I1414" s="6"/>
      <c r="J1414" s="6"/>
      <c r="K1414" s="6"/>
      <c r="L1414" s="6"/>
      <c r="M1414" s="6"/>
      <c r="N1414" s="6"/>
      <c r="O1414" s="6"/>
      <c r="P1414" s="6"/>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c r="BU1414" s="6"/>
      <c r="BV1414" s="6"/>
      <c r="BW1414" s="6"/>
      <c r="BX1414" s="6"/>
      <c r="BY1414" s="6"/>
      <c r="BZ1414" s="6"/>
      <c r="CA1414" s="6"/>
      <c r="CB1414" s="6"/>
      <c r="CC1414" s="6"/>
      <c r="CD1414" s="6"/>
      <c r="CE1414" s="6"/>
      <c r="CF1414" s="6"/>
      <c r="CG1414" s="6"/>
      <c r="CH1414" s="6"/>
      <c r="CI1414" s="6"/>
      <c r="CJ1414" s="6"/>
      <c r="CK1414" s="6"/>
      <c r="CL1414" s="6"/>
      <c r="CM1414" s="6"/>
      <c r="CN1414" s="6"/>
      <c r="CO1414" s="6"/>
      <c r="CP1414" s="6"/>
      <c r="CQ1414" s="6"/>
      <c r="CR1414" s="6"/>
      <c r="CS1414" s="6"/>
      <c r="CT1414" s="6"/>
      <c r="CU1414" s="6"/>
      <c r="CV1414" s="6"/>
      <c r="CW1414" s="6"/>
      <c r="CX1414" s="6"/>
      <c r="CY1414" s="6"/>
      <c r="CZ1414" s="6"/>
      <c r="DA1414" s="6"/>
      <c r="DB1414" s="6"/>
      <c r="DC1414" s="6"/>
      <c r="DD1414" s="6"/>
    </row>
    <row r="1415" spans="1:108" ht="12.75" hidden="1" customHeight="1" outlineLevel="5" collapsed="1">
      <c r="A1415" s="104" t="s">
        <v>305</v>
      </c>
      <c r="B1415" s="104"/>
      <c r="C1415" s="11"/>
      <c r="D1415" s="6" t="str">
        <f>"&lt;" &amp; A1415 &amp; "&gt;"</f>
        <v>&lt;Sect_Parms&gt;</v>
      </c>
      <c r="E1415" s="175"/>
      <c r="F1415" s="6" t="s">
        <v>912</v>
      </c>
      <c r="G1415" s="6"/>
      <c r="H1415" s="6"/>
      <c r="I1415" s="6"/>
      <c r="J1415" s="6"/>
      <c r="K1415" s="6"/>
      <c r="L1415" s="6"/>
      <c r="M1415" s="6"/>
      <c r="N1415" s="6"/>
      <c r="O1415" s="6"/>
      <c r="P1415" s="6"/>
      <c r="Q1415" s="6"/>
      <c r="R1415" s="6"/>
      <c r="S1415" s="6"/>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c r="BU1415" s="6"/>
      <c r="BV1415" s="6"/>
      <c r="BW1415" s="6"/>
      <c r="BX1415" s="6"/>
      <c r="BY1415" s="6"/>
      <c r="BZ1415" s="6"/>
      <c r="CA1415" s="6"/>
      <c r="CB1415" s="6"/>
      <c r="CC1415" s="6"/>
      <c r="CD1415" s="6"/>
      <c r="CE1415" s="6"/>
      <c r="CF1415" s="6"/>
      <c r="CG1415" s="6"/>
      <c r="CH1415" s="6"/>
      <c r="CI1415" s="6"/>
      <c r="CJ1415" s="6"/>
      <c r="CK1415" s="6"/>
      <c r="CL1415" s="6"/>
      <c r="CM1415" s="6"/>
      <c r="CN1415" s="6"/>
      <c r="CO1415" s="6"/>
      <c r="CP1415" s="6"/>
      <c r="CQ1415" s="6"/>
      <c r="CR1415" s="6"/>
      <c r="CS1415" s="6"/>
      <c r="CT1415" s="6"/>
      <c r="CU1415" s="6"/>
      <c r="CV1415" s="6"/>
      <c r="CW1415" s="6"/>
      <c r="CX1415" s="6"/>
      <c r="CY1415" s="6"/>
      <c r="CZ1415" s="6"/>
      <c r="DA1415" s="6"/>
      <c r="DB1415" s="6"/>
      <c r="DC1415" s="6"/>
      <c r="DD1415" s="6"/>
    </row>
    <row r="1416" spans="1:108" ht="12.75" hidden="1" customHeight="1" outlineLevel="6">
      <c r="A1416" s="104" t="s">
        <v>306</v>
      </c>
      <c r="B1416" s="95">
        <v>0.05</v>
      </c>
      <c r="C1416" s="11"/>
      <c r="D1416" s="18" t="str">
        <f>"&lt;" &amp; A1416 &amp; "&gt;" &amp; TEXT(B1416,"0.000000") &amp; "&lt;/" &amp; A1416 &amp; "&gt;"</f>
        <v>&lt;X_Off&gt;0.050000&lt;/X_Off&gt;</v>
      </c>
      <c r="E1416" s="175"/>
      <c r="F1416" s="6" t="s">
        <v>913</v>
      </c>
      <c r="G1416" s="6"/>
      <c r="H1416" s="6"/>
      <c r="I1416" s="6"/>
      <c r="J1416" s="6"/>
      <c r="K1416" s="6"/>
      <c r="L1416" s="6"/>
      <c r="M1416" s="6"/>
      <c r="N1416" s="6"/>
      <c r="O1416" s="6"/>
      <c r="P1416" s="6"/>
      <c r="Q1416" s="6"/>
      <c r="R1416" s="6"/>
      <c r="S1416" s="6"/>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c r="BU1416" s="6"/>
      <c r="BV1416" s="6"/>
      <c r="BW1416" s="6"/>
      <c r="BX1416" s="6"/>
      <c r="BY1416" s="6"/>
      <c r="BZ1416" s="6"/>
      <c r="CA1416" s="6"/>
      <c r="CB1416" s="6"/>
      <c r="CC1416" s="6"/>
      <c r="CD1416" s="6"/>
      <c r="CE1416" s="6"/>
      <c r="CF1416" s="6"/>
      <c r="CG1416" s="6"/>
      <c r="CH1416" s="6"/>
      <c r="CI1416" s="6"/>
      <c r="CJ1416" s="6"/>
      <c r="CK1416" s="6"/>
      <c r="CL1416" s="6"/>
      <c r="CM1416" s="6"/>
      <c r="CN1416" s="6"/>
      <c r="CO1416" s="6"/>
      <c r="CP1416" s="6"/>
      <c r="CQ1416" s="6"/>
      <c r="CR1416" s="6"/>
      <c r="CS1416" s="6"/>
      <c r="CT1416" s="6"/>
      <c r="CU1416" s="6"/>
      <c r="CV1416" s="6"/>
      <c r="CW1416" s="6"/>
      <c r="CX1416" s="6"/>
      <c r="CY1416" s="6"/>
      <c r="CZ1416" s="6"/>
      <c r="DA1416" s="6"/>
      <c r="DB1416" s="6"/>
      <c r="DC1416" s="6"/>
      <c r="DD1416" s="6"/>
    </row>
    <row r="1417" spans="1:108" ht="12.75" hidden="1" customHeight="1" outlineLevel="6">
      <c r="A1417" s="104" t="s">
        <v>307</v>
      </c>
      <c r="B1417" s="95">
        <v>0</v>
      </c>
      <c r="C1417" s="11"/>
      <c r="D1417" s="18" t="str">
        <f>"&lt;" &amp; A1417 &amp; "&gt;" &amp; TEXT(B1417,"0.000000") &amp; "&lt;/" &amp; A1417 &amp; "&gt;"</f>
        <v>&lt;Y_Off&gt;0.000000&lt;/Y_Off&gt;</v>
      </c>
      <c r="E1417" s="175"/>
      <c r="F1417" s="6" t="s">
        <v>914</v>
      </c>
      <c r="G1417" s="6"/>
      <c r="H1417" s="6"/>
      <c r="I1417" s="6"/>
      <c r="J1417" s="6"/>
      <c r="K1417" s="6"/>
      <c r="L1417" s="6"/>
      <c r="M1417" s="6"/>
      <c r="N1417" s="6"/>
      <c r="O1417" s="6"/>
      <c r="P1417" s="6"/>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c r="BU1417" s="6"/>
      <c r="BV1417" s="6"/>
      <c r="BW1417" s="6"/>
      <c r="BX1417" s="6"/>
      <c r="BY1417" s="6"/>
      <c r="BZ1417" s="6"/>
      <c r="CA1417" s="6"/>
      <c r="CB1417" s="6"/>
      <c r="CC1417" s="6"/>
      <c r="CD1417" s="6"/>
      <c r="CE1417" s="6"/>
      <c r="CF1417" s="6"/>
      <c r="CG1417" s="6"/>
      <c r="CH1417" s="6"/>
      <c r="CI1417" s="6"/>
      <c r="CJ1417" s="6"/>
      <c r="CK1417" s="6"/>
      <c r="CL1417" s="6"/>
      <c r="CM1417" s="6"/>
      <c r="CN1417" s="6"/>
      <c r="CO1417" s="6"/>
      <c r="CP1417" s="6"/>
      <c r="CQ1417" s="6"/>
      <c r="CR1417" s="6"/>
      <c r="CS1417" s="6"/>
      <c r="CT1417" s="6"/>
      <c r="CU1417" s="6"/>
      <c r="CV1417" s="6"/>
      <c r="CW1417" s="6"/>
      <c r="CX1417" s="6"/>
      <c r="CY1417" s="6"/>
      <c r="CZ1417" s="6"/>
      <c r="DA1417" s="6"/>
      <c r="DB1417" s="6"/>
      <c r="DC1417" s="6"/>
      <c r="DD1417" s="6"/>
    </row>
    <row r="1418" spans="1:108" ht="12.75" hidden="1" customHeight="1" outlineLevel="6">
      <c r="A1418" s="104" t="s">
        <v>287</v>
      </c>
      <c r="B1418" s="95">
        <v>0.08</v>
      </c>
      <c r="C1418" s="11"/>
      <c r="D1418" s="18" t="str">
        <f>"&lt;" &amp; A1418 &amp; "&gt;" &amp; TEXT(B1418,"0.000000") &amp; "&lt;/" &amp; A1418 &amp; "&gt;"</f>
        <v>&lt;Chord&gt;0.080000&lt;/Chord&gt;</v>
      </c>
      <c r="E1418" s="175"/>
      <c r="F1418" s="6" t="s">
        <v>915</v>
      </c>
      <c r="G1418" s="6"/>
      <c r="H1418" s="6"/>
      <c r="I1418" s="6"/>
      <c r="J1418" s="6"/>
      <c r="K1418" s="6"/>
      <c r="L1418" s="6"/>
      <c r="M1418" s="6"/>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c r="BU1418" s="6"/>
      <c r="BV1418" s="6"/>
      <c r="BW1418" s="6"/>
      <c r="BX1418" s="6"/>
      <c r="BY1418" s="6"/>
      <c r="BZ1418" s="6"/>
      <c r="CA1418" s="6"/>
      <c r="CB1418" s="6"/>
      <c r="CC1418" s="6"/>
      <c r="CD1418" s="6"/>
      <c r="CE1418" s="6"/>
      <c r="CF1418" s="6"/>
      <c r="CG1418" s="6"/>
      <c r="CH1418" s="6"/>
      <c r="CI1418" s="6"/>
      <c r="CJ1418" s="6"/>
      <c r="CK1418" s="6"/>
      <c r="CL1418" s="6"/>
      <c r="CM1418" s="6"/>
      <c r="CN1418" s="6"/>
      <c r="CO1418" s="6"/>
      <c r="CP1418" s="6"/>
      <c r="CQ1418" s="6"/>
      <c r="CR1418" s="6"/>
      <c r="CS1418" s="6"/>
      <c r="CT1418" s="6"/>
      <c r="CU1418" s="6"/>
      <c r="CV1418" s="6"/>
      <c r="CW1418" s="6"/>
      <c r="CX1418" s="6"/>
      <c r="CY1418" s="6"/>
      <c r="CZ1418" s="6"/>
      <c r="DA1418" s="6"/>
      <c r="DB1418" s="6"/>
      <c r="DC1418" s="6"/>
      <c r="DD1418" s="6"/>
    </row>
    <row r="1419" spans="1:108" ht="12.75" hidden="1" customHeight="1" outlineLevel="6">
      <c r="A1419" s="104" t="s">
        <v>9</v>
      </c>
      <c r="B1419" s="95">
        <v>45</v>
      </c>
      <c r="C1419" s="11"/>
      <c r="D1419" s="18" t="str">
        <f>"&lt;" &amp; A1419 &amp; "&gt;" &amp; TEXT(B1419,"0.000000") &amp; "&lt;/" &amp; A1419 &amp; "&gt;"</f>
        <v>&lt;Twist&gt;45.000000&lt;/Twist&gt;</v>
      </c>
      <c r="E1419" s="175"/>
      <c r="F1419" s="6" t="s">
        <v>916</v>
      </c>
      <c r="G1419" s="6"/>
      <c r="H1419" s="6"/>
      <c r="I1419" s="6"/>
      <c r="J1419" s="6"/>
      <c r="K1419" s="6"/>
      <c r="L1419" s="6"/>
      <c r="M1419" s="6"/>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c r="BU1419" s="6"/>
      <c r="BV1419" s="6"/>
      <c r="BW1419" s="6"/>
      <c r="BX1419" s="6"/>
      <c r="BY1419" s="6"/>
      <c r="BZ1419" s="6"/>
      <c r="CA1419" s="6"/>
      <c r="CB1419" s="6"/>
      <c r="CC1419" s="6"/>
      <c r="CD1419" s="6"/>
      <c r="CE1419" s="6"/>
      <c r="CF1419" s="6"/>
      <c r="CG1419" s="6"/>
      <c r="CH1419" s="6"/>
      <c r="CI1419" s="6"/>
      <c r="CJ1419" s="6"/>
      <c r="CK1419" s="6"/>
      <c r="CL1419" s="6"/>
      <c r="CM1419" s="6"/>
      <c r="CN1419" s="6"/>
      <c r="CO1419" s="6"/>
      <c r="CP1419" s="6"/>
      <c r="CQ1419" s="6"/>
      <c r="CR1419" s="6"/>
      <c r="CS1419" s="6"/>
      <c r="CT1419" s="6"/>
      <c r="CU1419" s="6"/>
      <c r="CV1419" s="6"/>
      <c r="CW1419" s="6"/>
      <c r="CX1419" s="6"/>
      <c r="CY1419" s="6"/>
      <c r="CZ1419" s="6"/>
      <c r="DA1419" s="6"/>
      <c r="DB1419" s="6"/>
      <c r="DC1419" s="6"/>
      <c r="DD1419" s="6"/>
    </row>
    <row r="1420" spans="1:108" ht="12.75" hidden="1" customHeight="1" outlineLevel="6" collapsed="1">
      <c r="A1420" s="104" t="s">
        <v>2</v>
      </c>
      <c r="B1420" s="104"/>
      <c r="C1420" s="11"/>
      <c r="D1420" s="6" t="str">
        <f>"&lt;" &amp; A1420 &amp; "&gt;"</f>
        <v>&lt;Airfoil&gt;</v>
      </c>
      <c r="E1420" s="175"/>
      <c r="F1420" s="6" t="s">
        <v>678</v>
      </c>
      <c r="G1420" s="6"/>
      <c r="H1420" s="6"/>
      <c r="I1420" s="6"/>
      <c r="J1420" s="6"/>
      <c r="K1420" s="6"/>
      <c r="L1420" s="6"/>
      <c r="M1420" s="6"/>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c r="BU1420" s="6"/>
      <c r="BV1420" s="6"/>
      <c r="BW1420" s="6"/>
      <c r="BX1420" s="6"/>
      <c r="BY1420" s="6"/>
      <c r="BZ1420" s="6"/>
      <c r="CA1420" s="6"/>
      <c r="CB1420" s="6"/>
      <c r="CC1420" s="6"/>
      <c r="CD1420" s="6"/>
      <c r="CE1420" s="6"/>
      <c r="CF1420" s="6"/>
      <c r="CG1420" s="6"/>
      <c r="CH1420" s="6"/>
      <c r="CI1420" s="6"/>
      <c r="CJ1420" s="6"/>
      <c r="CK1420" s="6"/>
      <c r="CL1420" s="6"/>
      <c r="CM1420" s="6"/>
      <c r="CN1420" s="6"/>
      <c r="CO1420" s="6"/>
      <c r="CP1420" s="6"/>
      <c r="CQ1420" s="6"/>
      <c r="CR1420" s="6"/>
      <c r="CS1420" s="6"/>
      <c r="CT1420" s="6"/>
      <c r="CU1420" s="6"/>
      <c r="CV1420" s="6"/>
      <c r="CW1420" s="6"/>
      <c r="CX1420" s="6"/>
      <c r="CY1420" s="6"/>
      <c r="CZ1420" s="6"/>
      <c r="DA1420" s="6"/>
      <c r="DB1420" s="6"/>
      <c r="DC1420" s="6"/>
      <c r="DD1420" s="6"/>
    </row>
    <row r="1421" spans="1:108" ht="12.75" hidden="1" customHeight="1" outlineLevel="7">
      <c r="A1421" s="104" t="s">
        <v>14</v>
      </c>
      <c r="B1421" s="95">
        <v>1</v>
      </c>
      <c r="C1421" s="11"/>
      <c r="D1421" s="18" t="str">
        <f>"&lt;" &amp; A1421 &amp; "&gt;" &amp; TEXT(B1421,0) &amp; "&lt;/" &amp; A1421 &amp; "&gt;"</f>
        <v>&lt;Type&gt;1&lt;/Type&gt;</v>
      </c>
      <c r="E1421" s="175"/>
      <c r="F1421" s="6" t="s">
        <v>679</v>
      </c>
      <c r="G1421" s="6"/>
      <c r="H1421" s="6"/>
      <c r="I1421" s="6"/>
      <c r="J1421" s="6"/>
      <c r="K1421" s="6"/>
      <c r="L1421" s="6"/>
      <c r="M1421" s="6"/>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c r="BU1421" s="6"/>
      <c r="BV1421" s="6"/>
      <c r="BW1421" s="6"/>
      <c r="BX1421" s="6"/>
      <c r="BY1421" s="6"/>
      <c r="BZ1421" s="6"/>
      <c r="CA1421" s="6"/>
      <c r="CB1421" s="6"/>
      <c r="CC1421" s="6"/>
      <c r="CD1421" s="6"/>
      <c r="CE1421" s="6"/>
      <c r="CF1421" s="6"/>
      <c r="CG1421" s="6"/>
      <c r="CH1421" s="6"/>
      <c r="CI1421" s="6"/>
      <c r="CJ1421" s="6"/>
      <c r="CK1421" s="6"/>
      <c r="CL1421" s="6"/>
      <c r="CM1421" s="6"/>
      <c r="CN1421" s="6"/>
      <c r="CO1421" s="6"/>
      <c r="CP1421" s="6"/>
      <c r="CQ1421" s="6"/>
      <c r="CR1421" s="6"/>
      <c r="CS1421" s="6"/>
      <c r="CT1421" s="6"/>
      <c r="CU1421" s="6"/>
      <c r="CV1421" s="6"/>
      <c r="CW1421" s="6"/>
      <c r="CX1421" s="6"/>
      <c r="CY1421" s="6"/>
      <c r="CZ1421" s="6"/>
      <c r="DA1421" s="6"/>
      <c r="DB1421" s="6"/>
      <c r="DC1421" s="6"/>
      <c r="DD1421" s="6"/>
    </row>
    <row r="1422" spans="1:108" ht="12.75" hidden="1" customHeight="1" outlineLevel="7">
      <c r="A1422" s="104" t="s">
        <v>102</v>
      </c>
      <c r="B1422" s="95">
        <v>0</v>
      </c>
      <c r="C1422" s="11"/>
      <c r="D1422" s="18" t="str">
        <f>"&lt;" &amp; A1422 &amp; "&gt;" &amp; TEXT(B1422,0) &amp; "&lt;/" &amp; A1422 &amp; "&gt;"</f>
        <v>&lt;Inverted_Flag&gt;0&lt;/Inverted_Flag&gt;</v>
      </c>
      <c r="E1422" s="175"/>
      <c r="F1422" s="6" t="s">
        <v>680</v>
      </c>
      <c r="G1422" s="6"/>
      <c r="H1422" s="6"/>
      <c r="I1422" s="6"/>
      <c r="J1422" s="6"/>
      <c r="K1422" s="6"/>
      <c r="L1422" s="6"/>
      <c r="M1422" s="6"/>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c r="BU1422" s="6"/>
      <c r="BV1422" s="6"/>
      <c r="BW1422" s="6"/>
      <c r="BX1422" s="6"/>
      <c r="BY1422" s="6"/>
      <c r="BZ1422" s="6"/>
      <c r="CA1422" s="6"/>
      <c r="CB1422" s="6"/>
      <c r="CC1422" s="6"/>
      <c r="CD1422" s="6"/>
      <c r="CE1422" s="6"/>
      <c r="CF1422" s="6"/>
      <c r="CG1422" s="6"/>
      <c r="CH1422" s="6"/>
      <c r="CI1422" s="6"/>
      <c r="CJ1422" s="6"/>
      <c r="CK1422" s="6"/>
      <c r="CL1422" s="6"/>
      <c r="CM1422" s="6"/>
      <c r="CN1422" s="6"/>
      <c r="CO1422" s="6"/>
      <c r="CP1422" s="6"/>
      <c r="CQ1422" s="6"/>
      <c r="CR1422" s="6"/>
      <c r="CS1422" s="6"/>
      <c r="CT1422" s="6"/>
      <c r="CU1422" s="6"/>
      <c r="CV1422" s="6"/>
      <c r="CW1422" s="6"/>
      <c r="CX1422" s="6"/>
      <c r="CY1422" s="6"/>
      <c r="CZ1422" s="6"/>
      <c r="DA1422" s="6"/>
      <c r="DB1422" s="6"/>
      <c r="DC1422" s="6"/>
      <c r="DD1422" s="6"/>
    </row>
    <row r="1423" spans="1:108" ht="12.75" hidden="1" customHeight="1" outlineLevel="7">
      <c r="A1423" s="104" t="s">
        <v>4</v>
      </c>
      <c r="B1423" s="95">
        <v>0</v>
      </c>
      <c r="C1423" s="11"/>
      <c r="D1423" s="18" t="str">
        <f t="shared" ref="D1423:D1428" si="79">"&lt;" &amp; A1423 &amp; "&gt;" &amp; TEXT(B1423,"0.000000") &amp; "&lt;/" &amp; A1423 &amp; "&gt;"</f>
        <v>&lt;Camber&gt;0.000000&lt;/Camber&gt;</v>
      </c>
      <c r="E1423" s="175"/>
      <c r="F1423" s="6" t="s">
        <v>681</v>
      </c>
      <c r="G1423" s="6"/>
      <c r="H1423" s="6"/>
      <c r="I1423" s="6"/>
      <c r="J1423" s="6"/>
      <c r="K1423" s="6"/>
      <c r="L1423" s="6"/>
      <c r="M1423" s="6"/>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c r="BU1423" s="6"/>
      <c r="BV1423" s="6"/>
      <c r="BW1423" s="6"/>
      <c r="BX1423" s="6"/>
      <c r="BY1423" s="6"/>
      <c r="BZ1423" s="6"/>
      <c r="CA1423" s="6"/>
      <c r="CB1423" s="6"/>
      <c r="CC1423" s="6"/>
      <c r="CD1423" s="6"/>
      <c r="CE1423" s="6"/>
      <c r="CF1423" s="6"/>
      <c r="CG1423" s="6"/>
      <c r="CH1423" s="6"/>
      <c r="CI1423" s="6"/>
      <c r="CJ1423" s="6"/>
      <c r="CK1423" s="6"/>
      <c r="CL1423" s="6"/>
      <c r="CM1423" s="6"/>
      <c r="CN1423" s="6"/>
      <c r="CO1423" s="6"/>
      <c r="CP1423" s="6"/>
      <c r="CQ1423" s="6"/>
      <c r="CR1423" s="6"/>
      <c r="CS1423" s="6"/>
      <c r="CT1423" s="6"/>
      <c r="CU1423" s="6"/>
      <c r="CV1423" s="6"/>
      <c r="CW1423" s="6"/>
      <c r="CX1423" s="6"/>
      <c r="CY1423" s="6"/>
      <c r="CZ1423" s="6"/>
      <c r="DA1423" s="6"/>
      <c r="DB1423" s="6"/>
      <c r="DC1423" s="6"/>
      <c r="DD1423" s="6"/>
    </row>
    <row r="1424" spans="1:108" ht="12.75" hidden="1" customHeight="1" outlineLevel="7">
      <c r="A1424" s="104" t="s">
        <v>103</v>
      </c>
      <c r="B1424" s="95">
        <v>0.5</v>
      </c>
      <c r="C1424" s="11"/>
      <c r="D1424" s="18" t="str">
        <f t="shared" si="79"/>
        <v>&lt;Camber_Loc&gt;0.500000&lt;/Camber_Loc&gt;</v>
      </c>
      <c r="E1424" s="175"/>
      <c r="F1424" s="6" t="s">
        <v>917</v>
      </c>
      <c r="G1424" s="6"/>
      <c r="H1424" s="6"/>
      <c r="I1424" s="6"/>
      <c r="J1424" s="6"/>
      <c r="K1424" s="6"/>
      <c r="L1424" s="6"/>
      <c r="M1424" s="6"/>
      <c r="N1424" s="6"/>
      <c r="O1424" s="6"/>
      <c r="P1424" s="6"/>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c r="BU1424" s="6"/>
      <c r="BV1424" s="6"/>
      <c r="BW1424" s="6"/>
      <c r="BX1424" s="6"/>
      <c r="BY1424" s="6"/>
      <c r="BZ1424" s="6"/>
      <c r="CA1424" s="6"/>
      <c r="CB1424" s="6"/>
      <c r="CC1424" s="6"/>
      <c r="CD1424" s="6"/>
      <c r="CE1424" s="6"/>
      <c r="CF1424" s="6"/>
      <c r="CG1424" s="6"/>
      <c r="CH1424" s="6"/>
      <c r="CI1424" s="6"/>
      <c r="CJ1424" s="6"/>
      <c r="CK1424" s="6"/>
      <c r="CL1424" s="6"/>
      <c r="CM1424" s="6"/>
      <c r="CN1424" s="6"/>
      <c r="CO1424" s="6"/>
      <c r="CP1424" s="6"/>
      <c r="CQ1424" s="6"/>
      <c r="CR1424" s="6"/>
      <c r="CS1424" s="6"/>
      <c r="CT1424" s="6"/>
      <c r="CU1424" s="6"/>
      <c r="CV1424" s="6"/>
      <c r="CW1424" s="6"/>
      <c r="CX1424" s="6"/>
      <c r="CY1424" s="6"/>
      <c r="CZ1424" s="6"/>
      <c r="DA1424" s="6"/>
      <c r="DB1424" s="6"/>
      <c r="DC1424" s="6"/>
      <c r="DD1424" s="6"/>
    </row>
    <row r="1425" spans="1:108" ht="12.75" hidden="1" customHeight="1" outlineLevel="7">
      <c r="A1425" s="104" t="s">
        <v>5</v>
      </c>
      <c r="B1425" s="95">
        <v>0.2</v>
      </c>
      <c r="C1425" s="11"/>
      <c r="D1425" s="18" t="str">
        <f t="shared" si="79"/>
        <v>&lt;Thickness&gt;0.200000&lt;/Thickness&gt;</v>
      </c>
      <c r="E1425" s="175"/>
      <c r="F1425" s="6" t="s">
        <v>918</v>
      </c>
      <c r="G1425" s="6"/>
      <c r="H1425" s="6"/>
      <c r="I1425" s="6"/>
      <c r="J1425" s="6"/>
      <c r="K1425" s="6"/>
      <c r="L1425" s="6"/>
      <c r="M1425" s="6"/>
      <c r="N1425" s="6"/>
      <c r="O1425" s="6"/>
      <c r="P1425" s="6"/>
      <c r="Q1425" s="6"/>
      <c r="R1425" s="6"/>
      <c r="S1425" s="6"/>
      <c r="T1425" s="6"/>
      <c r="U1425" s="6"/>
      <c r="V1425" s="6"/>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c r="BU1425" s="6"/>
      <c r="BV1425" s="6"/>
      <c r="BW1425" s="6"/>
      <c r="BX1425" s="6"/>
      <c r="BY1425" s="6"/>
      <c r="BZ1425" s="6"/>
      <c r="CA1425" s="6"/>
      <c r="CB1425" s="6"/>
      <c r="CC1425" s="6"/>
      <c r="CD1425" s="6"/>
      <c r="CE1425" s="6"/>
      <c r="CF1425" s="6"/>
      <c r="CG1425" s="6"/>
      <c r="CH1425" s="6"/>
      <c r="CI1425" s="6"/>
      <c r="CJ1425" s="6"/>
      <c r="CK1425" s="6"/>
      <c r="CL1425" s="6"/>
      <c r="CM1425" s="6"/>
      <c r="CN1425" s="6"/>
      <c r="CO1425" s="6"/>
      <c r="CP1425" s="6"/>
      <c r="CQ1425" s="6"/>
      <c r="CR1425" s="6"/>
      <c r="CS1425" s="6"/>
      <c r="CT1425" s="6"/>
      <c r="CU1425" s="6"/>
      <c r="CV1425" s="6"/>
      <c r="CW1425" s="6"/>
      <c r="CX1425" s="6"/>
      <c r="CY1425" s="6"/>
      <c r="CZ1425" s="6"/>
      <c r="DA1425" s="6"/>
      <c r="DB1425" s="6"/>
      <c r="DC1425" s="6"/>
      <c r="DD1425" s="6"/>
    </row>
    <row r="1426" spans="1:108" ht="12.75" hidden="1" customHeight="1" outlineLevel="7">
      <c r="A1426" s="104" t="s">
        <v>104</v>
      </c>
      <c r="B1426" s="95">
        <v>0.3</v>
      </c>
      <c r="C1426" s="11"/>
      <c r="D1426" s="18" t="str">
        <f t="shared" si="79"/>
        <v>&lt;Thickness_Loc&gt;0.300000&lt;/Thickness_Loc&gt;</v>
      </c>
      <c r="E1426" s="175"/>
      <c r="F1426" s="6" t="s">
        <v>684</v>
      </c>
      <c r="G1426" s="6"/>
      <c r="H1426" s="6"/>
      <c r="I1426" s="6"/>
      <c r="J1426" s="6"/>
      <c r="K1426" s="6"/>
      <c r="L1426" s="6"/>
      <c r="M1426" s="6"/>
      <c r="N1426" s="6"/>
      <c r="O1426" s="6"/>
      <c r="P1426" s="6"/>
      <c r="Q1426" s="6"/>
      <c r="R1426" s="6"/>
      <c r="S1426" s="6"/>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c r="BU1426" s="6"/>
      <c r="BV1426" s="6"/>
      <c r="BW1426" s="6"/>
      <c r="BX1426" s="6"/>
      <c r="BY1426" s="6"/>
      <c r="BZ1426" s="6"/>
      <c r="CA1426" s="6"/>
      <c r="CB1426" s="6"/>
      <c r="CC1426" s="6"/>
      <c r="CD1426" s="6"/>
      <c r="CE1426" s="6"/>
      <c r="CF1426" s="6"/>
      <c r="CG1426" s="6"/>
      <c r="CH1426" s="6"/>
      <c r="CI1426" s="6"/>
      <c r="CJ1426" s="6"/>
      <c r="CK1426" s="6"/>
      <c r="CL1426" s="6"/>
      <c r="CM1426" s="6"/>
      <c r="CN1426" s="6"/>
      <c r="CO1426" s="6"/>
      <c r="CP1426" s="6"/>
      <c r="CQ1426" s="6"/>
      <c r="CR1426" s="6"/>
      <c r="CS1426" s="6"/>
      <c r="CT1426" s="6"/>
      <c r="CU1426" s="6"/>
      <c r="CV1426" s="6"/>
      <c r="CW1426" s="6"/>
      <c r="CX1426" s="6"/>
      <c r="CY1426" s="6"/>
      <c r="CZ1426" s="6"/>
      <c r="DA1426" s="6"/>
      <c r="DB1426" s="6"/>
      <c r="DC1426" s="6"/>
      <c r="DD1426" s="6"/>
    </row>
    <row r="1427" spans="1:108" ht="12.75" hidden="1" customHeight="1" outlineLevel="7">
      <c r="A1427" s="104" t="s">
        <v>105</v>
      </c>
      <c r="B1427" s="95">
        <v>4.4075999999999997E-2</v>
      </c>
      <c r="C1427" s="11"/>
      <c r="D1427" s="18" t="str">
        <f t="shared" si="79"/>
        <v>&lt;Radius_Le&gt;0.044076&lt;/Radius_Le&gt;</v>
      </c>
      <c r="E1427" s="175"/>
      <c r="F1427" s="6" t="s">
        <v>919</v>
      </c>
      <c r="G1427" s="6"/>
      <c r="H1427" s="6"/>
      <c r="I1427" s="6"/>
      <c r="J1427" s="6"/>
      <c r="K1427" s="6"/>
      <c r="L1427" s="6"/>
      <c r="M1427" s="6"/>
      <c r="N1427" s="6"/>
      <c r="O1427" s="6"/>
      <c r="P1427" s="6"/>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c r="BU1427" s="6"/>
      <c r="BV1427" s="6"/>
      <c r="BW1427" s="6"/>
      <c r="BX1427" s="6"/>
      <c r="BY1427" s="6"/>
      <c r="BZ1427" s="6"/>
      <c r="CA1427" s="6"/>
      <c r="CB1427" s="6"/>
      <c r="CC1427" s="6"/>
      <c r="CD1427" s="6"/>
      <c r="CE1427" s="6"/>
      <c r="CF1427" s="6"/>
      <c r="CG1427" s="6"/>
      <c r="CH1427" s="6"/>
      <c r="CI1427" s="6"/>
      <c r="CJ1427" s="6"/>
      <c r="CK1427" s="6"/>
      <c r="CL1427" s="6"/>
      <c r="CM1427" s="6"/>
      <c r="CN1427" s="6"/>
      <c r="CO1427" s="6"/>
      <c r="CP1427" s="6"/>
      <c r="CQ1427" s="6"/>
      <c r="CR1427" s="6"/>
      <c r="CS1427" s="6"/>
      <c r="CT1427" s="6"/>
      <c r="CU1427" s="6"/>
      <c r="CV1427" s="6"/>
      <c r="CW1427" s="6"/>
      <c r="CX1427" s="6"/>
      <c r="CY1427" s="6"/>
      <c r="CZ1427" s="6"/>
      <c r="DA1427" s="6"/>
      <c r="DB1427" s="6"/>
      <c r="DC1427" s="6"/>
      <c r="DD1427" s="6"/>
    </row>
    <row r="1428" spans="1:108" ht="12.75" hidden="1" customHeight="1" outlineLevel="7">
      <c r="A1428" s="104" t="s">
        <v>106</v>
      </c>
      <c r="B1428" s="95">
        <v>0</v>
      </c>
      <c r="C1428" s="11"/>
      <c r="D1428" s="18" t="str">
        <f t="shared" si="79"/>
        <v>&lt;Radius_Te&gt;0.000000&lt;/Radius_Te&gt;</v>
      </c>
      <c r="E1428" s="175"/>
      <c r="F1428" s="6" t="s">
        <v>686</v>
      </c>
      <c r="G1428" s="6"/>
      <c r="H1428" s="6"/>
      <c r="I1428" s="6"/>
      <c r="J1428" s="6"/>
      <c r="K1428" s="6"/>
      <c r="L1428" s="6"/>
      <c r="M1428" s="6"/>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c r="BU1428" s="6"/>
      <c r="BV1428" s="6"/>
      <c r="BW1428" s="6"/>
      <c r="BX1428" s="6"/>
      <c r="BY1428" s="6"/>
      <c r="BZ1428" s="6"/>
      <c r="CA1428" s="6"/>
      <c r="CB1428" s="6"/>
      <c r="CC1428" s="6"/>
      <c r="CD1428" s="6"/>
      <c r="CE1428" s="6"/>
      <c r="CF1428" s="6"/>
      <c r="CG1428" s="6"/>
      <c r="CH1428" s="6"/>
      <c r="CI1428" s="6"/>
      <c r="CJ1428" s="6"/>
      <c r="CK1428" s="6"/>
      <c r="CL1428" s="6"/>
      <c r="CM1428" s="6"/>
      <c r="CN1428" s="6"/>
      <c r="CO1428" s="6"/>
      <c r="CP1428" s="6"/>
      <c r="CQ1428" s="6"/>
      <c r="CR1428" s="6"/>
      <c r="CS1428" s="6"/>
      <c r="CT1428" s="6"/>
      <c r="CU1428" s="6"/>
      <c r="CV1428" s="6"/>
      <c r="CW1428" s="6"/>
      <c r="CX1428" s="6"/>
      <c r="CY1428" s="6"/>
      <c r="CZ1428" s="6"/>
      <c r="DA1428" s="6"/>
      <c r="DB1428" s="6"/>
      <c r="DC1428" s="6"/>
      <c r="DD1428" s="6"/>
    </row>
    <row r="1429" spans="1:108" ht="12.75" hidden="1" customHeight="1" outlineLevel="7">
      <c r="A1429" s="104" t="s">
        <v>107</v>
      </c>
      <c r="B1429" s="95">
        <v>63</v>
      </c>
      <c r="C1429" s="11"/>
      <c r="D1429" s="18" t="str">
        <f>"&lt;" &amp; A1429 &amp; "&gt;" &amp; TEXT(B1429,0) &amp; "&lt;/" &amp; A1429 &amp; "&gt;"</f>
        <v>&lt;Six_Series&gt;63&lt;/Six_Series&gt;</v>
      </c>
      <c r="E1429" s="175"/>
      <c r="F1429" s="6" t="s">
        <v>687</v>
      </c>
      <c r="G1429" s="6"/>
      <c r="H1429" s="6"/>
      <c r="I1429" s="6"/>
      <c r="J1429" s="6"/>
      <c r="K1429" s="6"/>
      <c r="L1429" s="6"/>
      <c r="M1429" s="6"/>
      <c r="N1429" s="6"/>
      <c r="O1429" s="6"/>
      <c r="P1429" s="6"/>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c r="BU1429" s="6"/>
      <c r="BV1429" s="6"/>
      <c r="BW1429" s="6"/>
      <c r="BX1429" s="6"/>
      <c r="BY1429" s="6"/>
      <c r="BZ1429" s="6"/>
      <c r="CA1429" s="6"/>
      <c r="CB1429" s="6"/>
      <c r="CC1429" s="6"/>
      <c r="CD1429" s="6"/>
      <c r="CE1429" s="6"/>
      <c r="CF1429" s="6"/>
      <c r="CG1429" s="6"/>
      <c r="CH1429" s="6"/>
      <c r="CI1429" s="6"/>
      <c r="CJ1429" s="6"/>
      <c r="CK1429" s="6"/>
      <c r="CL1429" s="6"/>
      <c r="CM1429" s="6"/>
      <c r="CN1429" s="6"/>
      <c r="CO1429" s="6"/>
      <c r="CP1429" s="6"/>
      <c r="CQ1429" s="6"/>
      <c r="CR1429" s="6"/>
      <c r="CS1429" s="6"/>
      <c r="CT1429" s="6"/>
      <c r="CU1429" s="6"/>
      <c r="CV1429" s="6"/>
      <c r="CW1429" s="6"/>
      <c r="CX1429" s="6"/>
      <c r="CY1429" s="6"/>
      <c r="CZ1429" s="6"/>
      <c r="DA1429" s="6"/>
      <c r="DB1429" s="6"/>
      <c r="DC1429" s="6"/>
      <c r="DD1429" s="6"/>
    </row>
    <row r="1430" spans="1:108" ht="12.75" hidden="1" customHeight="1" outlineLevel="7">
      <c r="A1430" s="104" t="s">
        <v>108</v>
      </c>
      <c r="B1430" s="95">
        <v>0</v>
      </c>
      <c r="C1430" s="11"/>
      <c r="D1430" s="18" t="str">
        <f>"&lt;" &amp; A1430 &amp; "&gt;" &amp; TEXT(B1430,"0.000000") &amp; "&lt;/" &amp; A1430 &amp; "&gt;"</f>
        <v>&lt;Ideal_Cl&gt;0.000000&lt;/Ideal_Cl&gt;</v>
      </c>
      <c r="E1430" s="175"/>
      <c r="F1430" s="6" t="s">
        <v>688</v>
      </c>
      <c r="G1430" s="6"/>
      <c r="H1430" s="6"/>
      <c r="I1430" s="6"/>
      <c r="J1430" s="6"/>
      <c r="K1430" s="6"/>
      <c r="L1430" s="6"/>
      <c r="M1430" s="6"/>
      <c r="N1430" s="6"/>
      <c r="O1430" s="6"/>
      <c r="P1430" s="6"/>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c r="BU1430" s="6"/>
      <c r="BV1430" s="6"/>
      <c r="BW1430" s="6"/>
      <c r="BX1430" s="6"/>
      <c r="BY1430" s="6"/>
      <c r="BZ1430" s="6"/>
      <c r="CA1430" s="6"/>
      <c r="CB1430" s="6"/>
      <c r="CC1430" s="6"/>
      <c r="CD1430" s="6"/>
      <c r="CE1430" s="6"/>
      <c r="CF1430" s="6"/>
      <c r="CG1430" s="6"/>
      <c r="CH1430" s="6"/>
      <c r="CI1430" s="6"/>
      <c r="CJ1430" s="6"/>
      <c r="CK1430" s="6"/>
      <c r="CL1430" s="6"/>
      <c r="CM1430" s="6"/>
      <c r="CN1430" s="6"/>
      <c r="CO1430" s="6"/>
      <c r="CP1430" s="6"/>
      <c r="CQ1430" s="6"/>
      <c r="CR1430" s="6"/>
      <c r="CS1430" s="6"/>
      <c r="CT1430" s="6"/>
      <c r="CU1430" s="6"/>
      <c r="CV1430" s="6"/>
      <c r="CW1430" s="6"/>
      <c r="CX1430" s="6"/>
      <c r="CY1430" s="6"/>
      <c r="CZ1430" s="6"/>
      <c r="DA1430" s="6"/>
      <c r="DB1430" s="6"/>
      <c r="DC1430" s="6"/>
      <c r="DD1430" s="6"/>
    </row>
    <row r="1431" spans="1:108" ht="12.75" hidden="1" customHeight="1" outlineLevel="7">
      <c r="A1431" s="104" t="s">
        <v>109</v>
      </c>
      <c r="B1431" s="95">
        <v>0</v>
      </c>
      <c r="C1431" s="11"/>
      <c r="D1431" s="18" t="str">
        <f>"&lt;" &amp; A1431 &amp; "&gt;" &amp; TEXT(B1431,"0.000000") &amp; "&lt;/" &amp; A1431 &amp; "&gt;"</f>
        <v>&lt;A&gt;0.000000&lt;/A&gt;</v>
      </c>
      <c r="E1431" s="175"/>
      <c r="F1431" s="6" t="s">
        <v>689</v>
      </c>
      <c r="G1431" s="6"/>
      <c r="H1431" s="6"/>
      <c r="I1431" s="6"/>
      <c r="J1431" s="6"/>
      <c r="K1431" s="6"/>
      <c r="L1431" s="6"/>
      <c r="M1431" s="6"/>
      <c r="N1431" s="6"/>
      <c r="O1431" s="6"/>
      <c r="P1431" s="6"/>
      <c r="Q1431" s="6"/>
      <c r="R1431" s="6"/>
      <c r="S1431" s="6"/>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c r="BU1431" s="6"/>
      <c r="BV1431" s="6"/>
      <c r="BW1431" s="6"/>
      <c r="BX1431" s="6"/>
      <c r="BY1431" s="6"/>
      <c r="BZ1431" s="6"/>
      <c r="CA1431" s="6"/>
      <c r="CB1431" s="6"/>
      <c r="CC1431" s="6"/>
      <c r="CD1431" s="6"/>
      <c r="CE1431" s="6"/>
      <c r="CF1431" s="6"/>
      <c r="CG1431" s="6"/>
      <c r="CH1431" s="6"/>
      <c r="CI1431" s="6"/>
      <c r="CJ1431" s="6"/>
      <c r="CK1431" s="6"/>
      <c r="CL1431" s="6"/>
      <c r="CM1431" s="6"/>
      <c r="CN1431" s="6"/>
      <c r="CO1431" s="6"/>
      <c r="CP1431" s="6"/>
      <c r="CQ1431" s="6"/>
      <c r="CR1431" s="6"/>
      <c r="CS1431" s="6"/>
      <c r="CT1431" s="6"/>
      <c r="CU1431" s="6"/>
      <c r="CV1431" s="6"/>
      <c r="CW1431" s="6"/>
      <c r="CX1431" s="6"/>
      <c r="CY1431" s="6"/>
      <c r="CZ1431" s="6"/>
      <c r="DA1431" s="6"/>
      <c r="DB1431" s="6"/>
      <c r="DC1431" s="6"/>
      <c r="DD1431" s="6"/>
    </row>
    <row r="1432" spans="1:108" ht="12.75" hidden="1" customHeight="1" outlineLevel="7">
      <c r="A1432" s="104" t="s">
        <v>110</v>
      </c>
      <c r="B1432" s="95">
        <v>0</v>
      </c>
      <c r="C1432" s="11"/>
      <c r="D1432" s="18" t="str">
        <f>"&lt;" &amp; A1432 &amp; "&gt;" &amp; TEXT(B1432,0) &amp; "&lt;/" &amp; A1432 &amp; "&gt;"</f>
        <v>&lt;Slat_Flag&gt;0&lt;/Slat_Flag&gt;</v>
      </c>
      <c r="E1432" s="175"/>
      <c r="F1432" s="6" t="s">
        <v>690</v>
      </c>
      <c r="G1432" s="6"/>
      <c r="H1432" s="6"/>
      <c r="I1432" s="6"/>
      <c r="J1432" s="6"/>
      <c r="K1432" s="6"/>
      <c r="L1432" s="6"/>
      <c r="M1432" s="6"/>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c r="BU1432" s="6"/>
      <c r="BV1432" s="6"/>
      <c r="BW1432" s="6"/>
      <c r="BX1432" s="6"/>
      <c r="BY1432" s="6"/>
      <c r="BZ1432" s="6"/>
      <c r="CA1432" s="6"/>
      <c r="CB1432" s="6"/>
      <c r="CC1432" s="6"/>
      <c r="CD1432" s="6"/>
      <c r="CE1432" s="6"/>
      <c r="CF1432" s="6"/>
      <c r="CG1432" s="6"/>
      <c r="CH1432" s="6"/>
      <c r="CI1432" s="6"/>
      <c r="CJ1432" s="6"/>
      <c r="CK1432" s="6"/>
      <c r="CL1432" s="6"/>
      <c r="CM1432" s="6"/>
      <c r="CN1432" s="6"/>
      <c r="CO1432" s="6"/>
      <c r="CP1432" s="6"/>
      <c r="CQ1432" s="6"/>
      <c r="CR1432" s="6"/>
      <c r="CS1432" s="6"/>
      <c r="CT1432" s="6"/>
      <c r="CU1432" s="6"/>
      <c r="CV1432" s="6"/>
      <c r="CW1432" s="6"/>
      <c r="CX1432" s="6"/>
      <c r="CY1432" s="6"/>
      <c r="CZ1432" s="6"/>
      <c r="DA1432" s="6"/>
      <c r="DB1432" s="6"/>
      <c r="DC1432" s="6"/>
      <c r="DD1432" s="6"/>
    </row>
    <row r="1433" spans="1:108" ht="12.75" hidden="1" customHeight="1" outlineLevel="7">
      <c r="A1433" s="104" t="s">
        <v>111</v>
      </c>
      <c r="B1433" s="95">
        <v>0</v>
      </c>
      <c r="C1433" s="11"/>
      <c r="D1433" s="18" t="str">
        <f>"&lt;" &amp; A1433 &amp; "&gt;" &amp; TEXT(B1433,0) &amp; "&lt;/" &amp; A1433 &amp; "&gt;"</f>
        <v>&lt;Slat_Shear_Flag&gt;0&lt;/Slat_Shear_Flag&gt;</v>
      </c>
      <c r="E1433" s="175"/>
      <c r="F1433" s="6" t="s">
        <v>691</v>
      </c>
      <c r="G1433" s="6"/>
      <c r="H1433" s="6"/>
      <c r="I1433" s="6"/>
      <c r="J1433" s="6"/>
      <c r="K1433" s="6"/>
      <c r="L1433" s="6"/>
      <c r="M1433" s="6"/>
      <c r="N1433" s="6"/>
      <c r="O1433" s="6"/>
      <c r="P1433" s="6"/>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c r="BU1433" s="6"/>
      <c r="BV1433" s="6"/>
      <c r="BW1433" s="6"/>
      <c r="BX1433" s="6"/>
      <c r="BY1433" s="6"/>
      <c r="BZ1433" s="6"/>
      <c r="CA1433" s="6"/>
      <c r="CB1433" s="6"/>
      <c r="CC1433" s="6"/>
      <c r="CD1433" s="6"/>
      <c r="CE1433" s="6"/>
      <c r="CF1433" s="6"/>
      <c r="CG1433" s="6"/>
      <c r="CH1433" s="6"/>
      <c r="CI1433" s="6"/>
      <c r="CJ1433" s="6"/>
      <c r="CK1433" s="6"/>
      <c r="CL1433" s="6"/>
      <c r="CM1433" s="6"/>
      <c r="CN1433" s="6"/>
      <c r="CO1433" s="6"/>
      <c r="CP1433" s="6"/>
      <c r="CQ1433" s="6"/>
      <c r="CR1433" s="6"/>
      <c r="CS1433" s="6"/>
      <c r="CT1433" s="6"/>
      <c r="CU1433" s="6"/>
      <c r="CV1433" s="6"/>
      <c r="CW1433" s="6"/>
      <c r="CX1433" s="6"/>
      <c r="CY1433" s="6"/>
      <c r="CZ1433" s="6"/>
      <c r="DA1433" s="6"/>
      <c r="DB1433" s="6"/>
      <c r="DC1433" s="6"/>
      <c r="DD1433" s="6"/>
    </row>
    <row r="1434" spans="1:108" ht="12.75" hidden="1" customHeight="1" outlineLevel="7">
      <c r="A1434" s="104" t="s">
        <v>112</v>
      </c>
      <c r="B1434" s="95">
        <v>0.25</v>
      </c>
      <c r="C1434" s="11"/>
      <c r="D1434" s="18" t="str">
        <f>"&lt;" &amp; A1434 &amp; "&gt;" &amp; TEXT(B1434,"0.000000") &amp; "&lt;/" &amp; A1434 &amp; "&gt;"</f>
        <v>&lt;Slat_Chord&gt;0.250000&lt;/Slat_Chord&gt;</v>
      </c>
      <c r="E1434" s="175"/>
      <c r="F1434" s="6" t="s">
        <v>692</v>
      </c>
      <c r="G1434" s="6"/>
      <c r="H1434" s="6"/>
      <c r="I1434" s="6"/>
      <c r="J1434" s="6"/>
      <c r="K1434" s="6"/>
      <c r="L1434" s="6"/>
      <c r="M1434" s="6"/>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c r="BU1434" s="6"/>
      <c r="BV1434" s="6"/>
      <c r="BW1434" s="6"/>
      <c r="BX1434" s="6"/>
      <c r="BY1434" s="6"/>
      <c r="BZ1434" s="6"/>
      <c r="CA1434" s="6"/>
      <c r="CB1434" s="6"/>
      <c r="CC1434" s="6"/>
      <c r="CD1434" s="6"/>
      <c r="CE1434" s="6"/>
      <c r="CF1434" s="6"/>
      <c r="CG1434" s="6"/>
      <c r="CH1434" s="6"/>
      <c r="CI1434" s="6"/>
      <c r="CJ1434" s="6"/>
      <c r="CK1434" s="6"/>
      <c r="CL1434" s="6"/>
      <c r="CM1434" s="6"/>
      <c r="CN1434" s="6"/>
      <c r="CO1434" s="6"/>
      <c r="CP1434" s="6"/>
      <c r="CQ1434" s="6"/>
      <c r="CR1434" s="6"/>
      <c r="CS1434" s="6"/>
      <c r="CT1434" s="6"/>
      <c r="CU1434" s="6"/>
      <c r="CV1434" s="6"/>
      <c r="CW1434" s="6"/>
      <c r="CX1434" s="6"/>
      <c r="CY1434" s="6"/>
      <c r="CZ1434" s="6"/>
      <c r="DA1434" s="6"/>
      <c r="DB1434" s="6"/>
      <c r="DC1434" s="6"/>
      <c r="DD1434" s="6"/>
    </row>
    <row r="1435" spans="1:108" ht="12.75" hidden="1" customHeight="1" outlineLevel="7">
      <c r="A1435" s="104" t="s">
        <v>113</v>
      </c>
      <c r="B1435" s="95">
        <v>10</v>
      </c>
      <c r="C1435" s="11"/>
      <c r="D1435" s="18" t="str">
        <f>"&lt;" &amp; A1435 &amp; "&gt;" &amp; TEXT(B1435,"0.000000") &amp; "&lt;/" &amp; A1435 &amp; "&gt;"</f>
        <v>&lt;Slat_Angle&gt;10.000000&lt;/Slat_Angle&gt;</v>
      </c>
      <c r="E1435" s="175"/>
      <c r="F1435" s="6" t="s">
        <v>693</v>
      </c>
      <c r="G1435" s="6"/>
      <c r="H1435" s="6"/>
      <c r="I1435" s="6"/>
      <c r="J1435" s="6"/>
      <c r="K1435" s="6"/>
      <c r="L1435" s="6"/>
      <c r="M1435" s="6"/>
      <c r="N1435" s="6"/>
      <c r="O1435" s="6"/>
      <c r="P1435" s="6"/>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c r="BU1435" s="6"/>
      <c r="BV1435" s="6"/>
      <c r="BW1435" s="6"/>
      <c r="BX1435" s="6"/>
      <c r="BY1435" s="6"/>
      <c r="BZ1435" s="6"/>
      <c r="CA1435" s="6"/>
      <c r="CB1435" s="6"/>
      <c r="CC1435" s="6"/>
      <c r="CD1435" s="6"/>
      <c r="CE1435" s="6"/>
      <c r="CF1435" s="6"/>
      <c r="CG1435" s="6"/>
      <c r="CH1435" s="6"/>
      <c r="CI1435" s="6"/>
      <c r="CJ1435" s="6"/>
      <c r="CK1435" s="6"/>
      <c r="CL1435" s="6"/>
      <c r="CM1435" s="6"/>
      <c r="CN1435" s="6"/>
      <c r="CO1435" s="6"/>
      <c r="CP1435" s="6"/>
      <c r="CQ1435" s="6"/>
      <c r="CR1435" s="6"/>
      <c r="CS1435" s="6"/>
      <c r="CT1435" s="6"/>
      <c r="CU1435" s="6"/>
      <c r="CV1435" s="6"/>
      <c r="CW1435" s="6"/>
      <c r="CX1435" s="6"/>
      <c r="CY1435" s="6"/>
      <c r="CZ1435" s="6"/>
      <c r="DA1435" s="6"/>
      <c r="DB1435" s="6"/>
      <c r="DC1435" s="6"/>
      <c r="DD1435" s="6"/>
    </row>
    <row r="1436" spans="1:108" ht="12.75" hidden="1" customHeight="1" outlineLevel="7">
      <c r="A1436" s="104" t="s">
        <v>114</v>
      </c>
      <c r="B1436" s="95">
        <v>0</v>
      </c>
      <c r="C1436" s="11"/>
      <c r="D1436" s="18" t="str">
        <f>"&lt;" &amp; A1436 &amp; "&gt;" &amp; TEXT(B1436,0) &amp; "&lt;/" &amp; A1436 &amp; "&gt;"</f>
        <v>&lt;Flap_Flag&gt;0&lt;/Flap_Flag&gt;</v>
      </c>
      <c r="E1436" s="175"/>
      <c r="F1436" s="6" t="s">
        <v>920</v>
      </c>
      <c r="G1436" s="6"/>
      <c r="H1436" s="6"/>
      <c r="I1436" s="6"/>
      <c r="J1436" s="6"/>
      <c r="K1436" s="6"/>
      <c r="L1436" s="6"/>
      <c r="M1436" s="6"/>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c r="BU1436" s="6"/>
      <c r="BV1436" s="6"/>
      <c r="BW1436" s="6"/>
      <c r="BX1436" s="6"/>
      <c r="BY1436" s="6"/>
      <c r="BZ1436" s="6"/>
      <c r="CA1436" s="6"/>
      <c r="CB1436" s="6"/>
      <c r="CC1436" s="6"/>
      <c r="CD1436" s="6"/>
      <c r="CE1436" s="6"/>
      <c r="CF1436" s="6"/>
      <c r="CG1436" s="6"/>
      <c r="CH1436" s="6"/>
      <c r="CI1436" s="6"/>
      <c r="CJ1436" s="6"/>
      <c r="CK1436" s="6"/>
      <c r="CL1436" s="6"/>
      <c r="CM1436" s="6"/>
      <c r="CN1436" s="6"/>
      <c r="CO1436" s="6"/>
      <c r="CP1436" s="6"/>
      <c r="CQ1436" s="6"/>
      <c r="CR1436" s="6"/>
      <c r="CS1436" s="6"/>
      <c r="CT1436" s="6"/>
      <c r="CU1436" s="6"/>
      <c r="CV1436" s="6"/>
      <c r="CW1436" s="6"/>
      <c r="CX1436" s="6"/>
      <c r="CY1436" s="6"/>
      <c r="CZ1436" s="6"/>
      <c r="DA1436" s="6"/>
      <c r="DB1436" s="6"/>
      <c r="DC1436" s="6"/>
      <c r="DD1436" s="6"/>
    </row>
    <row r="1437" spans="1:108" ht="12.75" hidden="1" customHeight="1" outlineLevel="7">
      <c r="A1437" s="104" t="s">
        <v>115</v>
      </c>
      <c r="B1437" s="95">
        <v>0</v>
      </c>
      <c r="C1437" s="11"/>
      <c r="D1437" s="18" t="str">
        <f>"&lt;" &amp; A1437 &amp; "&gt;" &amp; TEXT(B1437,0) &amp; "&lt;/" &amp; A1437 &amp; "&gt;"</f>
        <v>&lt;Flap_Shear_Flag&gt;0&lt;/Flap_Shear_Flag&gt;</v>
      </c>
      <c r="E1437" s="175"/>
      <c r="F1437" s="6" t="s">
        <v>695</v>
      </c>
      <c r="G1437" s="6"/>
      <c r="H1437" s="6"/>
      <c r="I1437" s="6"/>
      <c r="J1437" s="6"/>
      <c r="K1437" s="6"/>
      <c r="L1437" s="6"/>
      <c r="M1437" s="6"/>
      <c r="N1437" s="6"/>
      <c r="O1437" s="6"/>
      <c r="P1437" s="6"/>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c r="BU1437" s="6"/>
      <c r="BV1437" s="6"/>
      <c r="BW1437" s="6"/>
      <c r="BX1437" s="6"/>
      <c r="BY1437" s="6"/>
      <c r="BZ1437" s="6"/>
      <c r="CA1437" s="6"/>
      <c r="CB1437" s="6"/>
      <c r="CC1437" s="6"/>
      <c r="CD1437" s="6"/>
      <c r="CE1437" s="6"/>
      <c r="CF1437" s="6"/>
      <c r="CG1437" s="6"/>
      <c r="CH1437" s="6"/>
      <c r="CI1437" s="6"/>
      <c r="CJ1437" s="6"/>
      <c r="CK1437" s="6"/>
      <c r="CL1437" s="6"/>
      <c r="CM1437" s="6"/>
      <c r="CN1437" s="6"/>
      <c r="CO1437" s="6"/>
      <c r="CP1437" s="6"/>
      <c r="CQ1437" s="6"/>
      <c r="CR1437" s="6"/>
      <c r="CS1437" s="6"/>
      <c r="CT1437" s="6"/>
      <c r="CU1437" s="6"/>
      <c r="CV1437" s="6"/>
      <c r="CW1437" s="6"/>
      <c r="CX1437" s="6"/>
      <c r="CY1437" s="6"/>
      <c r="CZ1437" s="6"/>
      <c r="DA1437" s="6"/>
      <c r="DB1437" s="6"/>
      <c r="DC1437" s="6"/>
      <c r="DD1437" s="6"/>
    </row>
    <row r="1438" spans="1:108" ht="12.75" hidden="1" customHeight="1" outlineLevel="7">
      <c r="A1438" s="104" t="s">
        <v>116</v>
      </c>
      <c r="B1438" s="95">
        <v>0.25</v>
      </c>
      <c r="C1438" s="11"/>
      <c r="D1438" s="18" t="str">
        <f>"&lt;" &amp; A1438 &amp; "&gt;" &amp; TEXT(B1438,"0.000000") &amp; "&lt;/" &amp; A1438 &amp; "&gt;"</f>
        <v>&lt;Flap_Chord&gt;0.250000&lt;/Flap_Chord&gt;</v>
      </c>
      <c r="E1438" s="175"/>
      <c r="F1438" s="6" t="s">
        <v>921</v>
      </c>
      <c r="G1438" s="6"/>
      <c r="H1438" s="6"/>
      <c r="I1438" s="6"/>
      <c r="J1438" s="6"/>
      <c r="K1438" s="6"/>
      <c r="L1438" s="6"/>
      <c r="M1438" s="6"/>
      <c r="N1438" s="6"/>
      <c r="O1438" s="6"/>
      <c r="P1438" s="6"/>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c r="BU1438" s="6"/>
      <c r="BV1438" s="6"/>
      <c r="BW1438" s="6"/>
      <c r="BX1438" s="6"/>
      <c r="BY1438" s="6"/>
      <c r="BZ1438" s="6"/>
      <c r="CA1438" s="6"/>
      <c r="CB1438" s="6"/>
      <c r="CC1438" s="6"/>
      <c r="CD1438" s="6"/>
      <c r="CE1438" s="6"/>
      <c r="CF1438" s="6"/>
      <c r="CG1438" s="6"/>
      <c r="CH1438" s="6"/>
      <c r="CI1438" s="6"/>
      <c r="CJ1438" s="6"/>
      <c r="CK1438" s="6"/>
      <c r="CL1438" s="6"/>
      <c r="CM1438" s="6"/>
      <c r="CN1438" s="6"/>
      <c r="CO1438" s="6"/>
      <c r="CP1438" s="6"/>
      <c r="CQ1438" s="6"/>
      <c r="CR1438" s="6"/>
      <c r="CS1438" s="6"/>
      <c r="CT1438" s="6"/>
      <c r="CU1438" s="6"/>
      <c r="CV1438" s="6"/>
      <c r="CW1438" s="6"/>
      <c r="CX1438" s="6"/>
      <c r="CY1438" s="6"/>
      <c r="CZ1438" s="6"/>
      <c r="DA1438" s="6"/>
      <c r="DB1438" s="6"/>
      <c r="DC1438" s="6"/>
      <c r="DD1438" s="6"/>
    </row>
    <row r="1439" spans="1:108" ht="12.75" hidden="1" customHeight="1" outlineLevel="7">
      <c r="A1439" s="104" t="s">
        <v>117</v>
      </c>
      <c r="B1439" s="95">
        <v>10</v>
      </c>
      <c r="C1439" s="11"/>
      <c r="D1439" s="18" t="str">
        <f>"&lt;" &amp; A1439 &amp; "&gt;" &amp; TEXT(B1439,"0.000000") &amp; "&lt;/" &amp; A1439 &amp; "&gt;"</f>
        <v>&lt;Flap_Angle&gt;10.000000&lt;/Flap_Angle&gt;</v>
      </c>
      <c r="E1439" s="175"/>
      <c r="F1439" s="6" t="s">
        <v>697</v>
      </c>
      <c r="G1439" s="6"/>
      <c r="H1439" s="6"/>
      <c r="I1439" s="6"/>
      <c r="J1439" s="6"/>
      <c r="K1439" s="6"/>
      <c r="L1439" s="6"/>
      <c r="M1439" s="6"/>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c r="BU1439" s="6"/>
      <c r="BV1439" s="6"/>
      <c r="BW1439" s="6"/>
      <c r="BX1439" s="6"/>
      <c r="BY1439" s="6"/>
      <c r="BZ1439" s="6"/>
      <c r="CA1439" s="6"/>
      <c r="CB1439" s="6"/>
      <c r="CC1439" s="6"/>
      <c r="CD1439" s="6"/>
      <c r="CE1439" s="6"/>
      <c r="CF1439" s="6"/>
      <c r="CG1439" s="6"/>
      <c r="CH1439" s="6"/>
      <c r="CI1439" s="6"/>
      <c r="CJ1439" s="6"/>
      <c r="CK1439" s="6"/>
      <c r="CL1439" s="6"/>
      <c r="CM1439" s="6"/>
      <c r="CN1439" s="6"/>
      <c r="CO1439" s="6"/>
      <c r="CP1439" s="6"/>
      <c r="CQ1439" s="6"/>
      <c r="CR1439" s="6"/>
      <c r="CS1439" s="6"/>
      <c r="CT1439" s="6"/>
      <c r="CU1439" s="6"/>
      <c r="CV1439" s="6"/>
      <c r="CW1439" s="6"/>
      <c r="CX1439" s="6"/>
      <c r="CY1439" s="6"/>
      <c r="CZ1439" s="6"/>
      <c r="DA1439" s="6"/>
      <c r="DB1439" s="6"/>
      <c r="DC1439" s="6"/>
      <c r="DD1439" s="6"/>
    </row>
    <row r="1440" spans="1:108" ht="12.75" hidden="1" customHeight="1" outlineLevel="7">
      <c r="A1440" s="104" t="s">
        <v>118</v>
      </c>
      <c r="B1440" s="104"/>
      <c r="C1440" s="11"/>
      <c r="D1440" s="6" t="str">
        <f>"&lt;" &amp; A1440 &amp; "&gt;"</f>
        <v>&lt;/Airfoil&gt;</v>
      </c>
      <c r="E1440" s="175"/>
      <c r="F1440" s="6" t="s">
        <v>698</v>
      </c>
      <c r="G1440" s="6"/>
      <c r="H1440" s="6"/>
      <c r="I1440" s="6"/>
      <c r="J1440" s="6"/>
      <c r="K1440" s="6"/>
      <c r="L1440" s="6"/>
      <c r="M1440" s="6"/>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c r="BU1440" s="6"/>
      <c r="BV1440" s="6"/>
      <c r="BW1440" s="6"/>
      <c r="BX1440" s="6"/>
      <c r="BY1440" s="6"/>
      <c r="BZ1440" s="6"/>
      <c r="CA1440" s="6"/>
      <c r="CB1440" s="6"/>
      <c r="CC1440" s="6"/>
      <c r="CD1440" s="6"/>
      <c r="CE1440" s="6"/>
      <c r="CF1440" s="6"/>
      <c r="CG1440" s="6"/>
      <c r="CH1440" s="6"/>
      <c r="CI1440" s="6"/>
      <c r="CJ1440" s="6"/>
      <c r="CK1440" s="6"/>
      <c r="CL1440" s="6"/>
      <c r="CM1440" s="6"/>
      <c r="CN1440" s="6"/>
      <c r="CO1440" s="6"/>
      <c r="CP1440" s="6"/>
      <c r="CQ1440" s="6"/>
      <c r="CR1440" s="6"/>
      <c r="CS1440" s="6"/>
      <c r="CT1440" s="6"/>
      <c r="CU1440" s="6"/>
      <c r="CV1440" s="6"/>
      <c r="CW1440" s="6"/>
      <c r="CX1440" s="6"/>
      <c r="CY1440" s="6"/>
      <c r="CZ1440" s="6"/>
      <c r="DA1440" s="6"/>
      <c r="DB1440" s="6"/>
      <c r="DC1440" s="6"/>
      <c r="DD1440" s="6"/>
    </row>
    <row r="1441" spans="1:108" ht="12.75" hidden="1" customHeight="1" outlineLevel="6">
      <c r="A1441" s="104" t="s">
        <v>308</v>
      </c>
      <c r="B1441" s="104"/>
      <c r="C1441" s="11"/>
      <c r="D1441" s="6" t="str">
        <f>"&lt;" &amp; A1441 &amp; "&gt;"</f>
        <v>&lt;/Sect_Parms&gt;</v>
      </c>
      <c r="E1441" s="175"/>
      <c r="F1441" s="6" t="s">
        <v>922</v>
      </c>
      <c r="G1441" s="6"/>
      <c r="H1441" s="6"/>
      <c r="I1441" s="6"/>
      <c r="J1441" s="6"/>
      <c r="K1441" s="6"/>
      <c r="L1441" s="6"/>
      <c r="M1441" s="6"/>
      <c r="N1441" s="6"/>
      <c r="O1441" s="6"/>
      <c r="P1441" s="6"/>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c r="BU1441" s="6"/>
      <c r="BV1441" s="6"/>
      <c r="BW1441" s="6"/>
      <c r="BX1441" s="6"/>
      <c r="BY1441" s="6"/>
      <c r="BZ1441" s="6"/>
      <c r="CA1441" s="6"/>
      <c r="CB1441" s="6"/>
      <c r="CC1441" s="6"/>
      <c r="CD1441" s="6"/>
      <c r="CE1441" s="6"/>
      <c r="CF1441" s="6"/>
      <c r="CG1441" s="6"/>
      <c r="CH1441" s="6"/>
      <c r="CI1441" s="6"/>
      <c r="CJ1441" s="6"/>
      <c r="CK1441" s="6"/>
      <c r="CL1441" s="6"/>
      <c r="CM1441" s="6"/>
      <c r="CN1441" s="6"/>
      <c r="CO1441" s="6"/>
      <c r="CP1441" s="6"/>
      <c r="CQ1441" s="6"/>
      <c r="CR1441" s="6"/>
      <c r="CS1441" s="6"/>
      <c r="CT1441" s="6"/>
      <c r="CU1441" s="6"/>
      <c r="CV1441" s="6"/>
      <c r="CW1441" s="6"/>
      <c r="CX1441" s="6"/>
      <c r="CY1441" s="6"/>
      <c r="CZ1441" s="6"/>
      <c r="DA1441" s="6"/>
      <c r="DB1441" s="6"/>
      <c r="DC1441" s="6"/>
      <c r="DD1441" s="6"/>
    </row>
    <row r="1442" spans="1:108" ht="12.75" hidden="1" customHeight="1" outlineLevel="5" collapsed="1">
      <c r="A1442" s="104" t="s">
        <v>305</v>
      </c>
      <c r="B1442" s="104"/>
      <c r="C1442" s="11"/>
      <c r="D1442" s="6" t="str">
        <f>"&lt;" &amp; A1442 &amp; "&gt;"</f>
        <v>&lt;Sect_Parms&gt;</v>
      </c>
      <c r="E1442" s="175"/>
      <c r="F1442" s="6" t="s">
        <v>912</v>
      </c>
      <c r="G1442" s="6"/>
      <c r="H1442" s="6"/>
      <c r="I1442" s="6"/>
      <c r="J1442" s="6"/>
      <c r="K1442" s="6"/>
      <c r="L1442" s="6"/>
      <c r="M1442" s="6"/>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c r="BU1442" s="6"/>
      <c r="BV1442" s="6"/>
      <c r="BW1442" s="6"/>
      <c r="BX1442" s="6"/>
      <c r="BY1442" s="6"/>
      <c r="BZ1442" s="6"/>
      <c r="CA1442" s="6"/>
      <c r="CB1442" s="6"/>
      <c r="CC1442" s="6"/>
      <c r="CD1442" s="6"/>
      <c r="CE1442" s="6"/>
      <c r="CF1442" s="6"/>
      <c r="CG1442" s="6"/>
      <c r="CH1442" s="6"/>
      <c r="CI1442" s="6"/>
      <c r="CJ1442" s="6"/>
      <c r="CK1442" s="6"/>
      <c r="CL1442" s="6"/>
      <c r="CM1442" s="6"/>
      <c r="CN1442" s="6"/>
      <c r="CO1442" s="6"/>
      <c r="CP1442" s="6"/>
      <c r="CQ1442" s="6"/>
      <c r="CR1442" s="6"/>
      <c r="CS1442" s="6"/>
      <c r="CT1442" s="6"/>
      <c r="CU1442" s="6"/>
      <c r="CV1442" s="6"/>
      <c r="CW1442" s="6"/>
      <c r="CX1442" s="6"/>
      <c r="CY1442" s="6"/>
      <c r="CZ1442" s="6"/>
      <c r="DA1442" s="6"/>
      <c r="DB1442" s="6"/>
      <c r="DC1442" s="6"/>
      <c r="DD1442" s="6"/>
    </row>
    <row r="1443" spans="1:108" ht="12.75" hidden="1" customHeight="1" outlineLevel="6">
      <c r="A1443" s="104" t="s">
        <v>306</v>
      </c>
      <c r="B1443" s="95">
        <v>0.5</v>
      </c>
      <c r="C1443" s="11"/>
      <c r="D1443" s="18" t="str">
        <f>"&lt;" &amp; A1443 &amp; "&gt;" &amp; TEXT(B1443,"0.000000") &amp; "&lt;/" &amp; A1443 &amp; "&gt;"</f>
        <v>&lt;X_Off&gt;0.500000&lt;/X_Off&gt;</v>
      </c>
      <c r="E1443" s="175"/>
      <c r="F1443" s="6" t="s">
        <v>923</v>
      </c>
      <c r="G1443" s="6"/>
      <c r="H1443" s="6"/>
      <c r="I1443" s="6"/>
      <c r="J1443" s="6"/>
      <c r="K1443" s="6"/>
      <c r="L1443" s="6"/>
      <c r="M1443" s="6"/>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c r="BU1443" s="6"/>
      <c r="BV1443" s="6"/>
      <c r="BW1443" s="6"/>
      <c r="BX1443" s="6"/>
      <c r="BY1443" s="6"/>
      <c r="BZ1443" s="6"/>
      <c r="CA1443" s="6"/>
      <c r="CB1443" s="6"/>
      <c r="CC1443" s="6"/>
      <c r="CD1443" s="6"/>
      <c r="CE1443" s="6"/>
      <c r="CF1443" s="6"/>
      <c r="CG1443" s="6"/>
      <c r="CH1443" s="6"/>
      <c r="CI1443" s="6"/>
      <c r="CJ1443" s="6"/>
      <c r="CK1443" s="6"/>
      <c r="CL1443" s="6"/>
      <c r="CM1443" s="6"/>
      <c r="CN1443" s="6"/>
      <c r="CO1443" s="6"/>
      <c r="CP1443" s="6"/>
      <c r="CQ1443" s="6"/>
      <c r="CR1443" s="6"/>
      <c r="CS1443" s="6"/>
      <c r="CT1443" s="6"/>
      <c r="CU1443" s="6"/>
      <c r="CV1443" s="6"/>
      <c r="CW1443" s="6"/>
      <c r="CX1443" s="6"/>
      <c r="CY1443" s="6"/>
      <c r="CZ1443" s="6"/>
      <c r="DA1443" s="6"/>
      <c r="DB1443" s="6"/>
      <c r="DC1443" s="6"/>
      <c r="DD1443" s="6"/>
    </row>
    <row r="1444" spans="1:108" ht="12.75" hidden="1" customHeight="1" outlineLevel="6">
      <c r="A1444" s="104" t="s">
        <v>307</v>
      </c>
      <c r="B1444" s="95">
        <v>0</v>
      </c>
      <c r="C1444" s="11"/>
      <c r="D1444" s="18" t="str">
        <f>"&lt;" &amp; A1444 &amp; "&gt;" &amp; TEXT(B1444,"0.000000") &amp; "&lt;/" &amp; A1444 &amp; "&gt;"</f>
        <v>&lt;Y_Off&gt;0.000000&lt;/Y_Off&gt;</v>
      </c>
      <c r="E1444" s="175"/>
      <c r="F1444" s="6" t="s">
        <v>914</v>
      </c>
      <c r="G1444" s="6"/>
      <c r="H1444" s="6"/>
      <c r="I1444" s="6"/>
      <c r="J1444" s="6"/>
      <c r="K1444" s="6"/>
      <c r="L1444" s="6"/>
      <c r="M1444" s="6"/>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c r="BU1444" s="6"/>
      <c r="BV1444" s="6"/>
      <c r="BW1444" s="6"/>
      <c r="BX1444" s="6"/>
      <c r="BY1444" s="6"/>
      <c r="BZ1444" s="6"/>
      <c r="CA1444" s="6"/>
      <c r="CB1444" s="6"/>
      <c r="CC1444" s="6"/>
      <c r="CD1444" s="6"/>
      <c r="CE1444" s="6"/>
      <c r="CF1444" s="6"/>
      <c r="CG1444" s="6"/>
      <c r="CH1444" s="6"/>
      <c r="CI1444" s="6"/>
      <c r="CJ1444" s="6"/>
      <c r="CK1444" s="6"/>
      <c r="CL1444" s="6"/>
      <c r="CM1444" s="6"/>
      <c r="CN1444" s="6"/>
      <c r="CO1444" s="6"/>
      <c r="CP1444" s="6"/>
      <c r="CQ1444" s="6"/>
      <c r="CR1444" s="6"/>
      <c r="CS1444" s="6"/>
      <c r="CT1444" s="6"/>
      <c r="CU1444" s="6"/>
      <c r="CV1444" s="6"/>
      <c r="CW1444" s="6"/>
      <c r="CX1444" s="6"/>
      <c r="CY1444" s="6"/>
      <c r="CZ1444" s="6"/>
      <c r="DA1444" s="6"/>
      <c r="DB1444" s="6"/>
      <c r="DC1444" s="6"/>
      <c r="DD1444" s="6"/>
    </row>
    <row r="1445" spans="1:108" ht="12.75" hidden="1" customHeight="1" outlineLevel="6">
      <c r="A1445" s="104" t="s">
        <v>287</v>
      </c>
      <c r="B1445" s="95">
        <v>0.12</v>
      </c>
      <c r="C1445" s="11"/>
      <c r="D1445" s="18" t="str">
        <f>"&lt;" &amp; A1445 &amp; "&gt;" &amp; TEXT(B1445,"0.000000") &amp; "&lt;/" &amp; A1445 &amp; "&gt;"</f>
        <v>&lt;Chord&gt;0.120000&lt;/Chord&gt;</v>
      </c>
      <c r="E1445" s="175"/>
      <c r="F1445" s="6" t="s">
        <v>924</v>
      </c>
      <c r="G1445" s="6"/>
      <c r="H1445" s="6"/>
      <c r="I1445" s="6"/>
      <c r="J1445" s="6"/>
      <c r="K1445" s="6"/>
      <c r="L1445" s="6"/>
      <c r="M1445" s="6"/>
      <c r="N1445" s="6"/>
      <c r="O1445" s="6"/>
      <c r="P1445" s="6"/>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c r="BU1445" s="6"/>
      <c r="BV1445" s="6"/>
      <c r="BW1445" s="6"/>
      <c r="BX1445" s="6"/>
      <c r="BY1445" s="6"/>
      <c r="BZ1445" s="6"/>
      <c r="CA1445" s="6"/>
      <c r="CB1445" s="6"/>
      <c r="CC1445" s="6"/>
      <c r="CD1445" s="6"/>
      <c r="CE1445" s="6"/>
      <c r="CF1445" s="6"/>
      <c r="CG1445" s="6"/>
      <c r="CH1445" s="6"/>
      <c r="CI1445" s="6"/>
      <c r="CJ1445" s="6"/>
      <c r="CK1445" s="6"/>
      <c r="CL1445" s="6"/>
      <c r="CM1445" s="6"/>
      <c r="CN1445" s="6"/>
      <c r="CO1445" s="6"/>
      <c r="CP1445" s="6"/>
      <c r="CQ1445" s="6"/>
      <c r="CR1445" s="6"/>
      <c r="CS1445" s="6"/>
      <c r="CT1445" s="6"/>
      <c r="CU1445" s="6"/>
      <c r="CV1445" s="6"/>
      <c r="CW1445" s="6"/>
      <c r="CX1445" s="6"/>
      <c r="CY1445" s="6"/>
      <c r="CZ1445" s="6"/>
      <c r="DA1445" s="6"/>
      <c r="DB1445" s="6"/>
      <c r="DC1445" s="6"/>
      <c r="DD1445" s="6"/>
    </row>
    <row r="1446" spans="1:108" ht="12.75" hidden="1" customHeight="1" outlineLevel="6">
      <c r="A1446" s="104" t="s">
        <v>9</v>
      </c>
      <c r="B1446" s="95">
        <v>15</v>
      </c>
      <c r="C1446" s="11"/>
      <c r="D1446" s="18" t="str">
        <f>"&lt;" &amp; A1446 &amp; "&gt;" &amp; TEXT(B1446,"0.000000") &amp; "&lt;/" &amp; A1446 &amp; "&gt;"</f>
        <v>&lt;Twist&gt;15.000000&lt;/Twist&gt;</v>
      </c>
      <c r="E1446" s="175"/>
      <c r="F1446" s="6" t="s">
        <v>925</v>
      </c>
      <c r="G1446" s="6"/>
      <c r="H1446" s="6"/>
      <c r="I1446" s="6"/>
      <c r="J1446" s="6"/>
      <c r="K1446" s="6"/>
      <c r="L1446" s="6"/>
      <c r="M1446" s="6"/>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c r="BU1446" s="6"/>
      <c r="BV1446" s="6"/>
      <c r="BW1446" s="6"/>
      <c r="BX1446" s="6"/>
      <c r="BY1446" s="6"/>
      <c r="BZ1446" s="6"/>
      <c r="CA1446" s="6"/>
      <c r="CB1446" s="6"/>
      <c r="CC1446" s="6"/>
      <c r="CD1446" s="6"/>
      <c r="CE1446" s="6"/>
      <c r="CF1446" s="6"/>
      <c r="CG1446" s="6"/>
      <c r="CH1446" s="6"/>
      <c r="CI1446" s="6"/>
      <c r="CJ1446" s="6"/>
      <c r="CK1446" s="6"/>
      <c r="CL1446" s="6"/>
      <c r="CM1446" s="6"/>
      <c r="CN1446" s="6"/>
      <c r="CO1446" s="6"/>
      <c r="CP1446" s="6"/>
      <c r="CQ1446" s="6"/>
      <c r="CR1446" s="6"/>
      <c r="CS1446" s="6"/>
      <c r="CT1446" s="6"/>
      <c r="CU1446" s="6"/>
      <c r="CV1446" s="6"/>
      <c r="CW1446" s="6"/>
      <c r="CX1446" s="6"/>
      <c r="CY1446" s="6"/>
      <c r="CZ1446" s="6"/>
      <c r="DA1446" s="6"/>
      <c r="DB1446" s="6"/>
      <c r="DC1446" s="6"/>
      <c r="DD1446" s="6"/>
    </row>
    <row r="1447" spans="1:108" ht="12.75" hidden="1" customHeight="1" outlineLevel="6" collapsed="1">
      <c r="A1447" s="104" t="s">
        <v>2</v>
      </c>
      <c r="B1447" s="104"/>
      <c r="C1447" s="11"/>
      <c r="D1447" s="6" t="str">
        <f>"&lt;" &amp; A1447 &amp; "&gt;"</f>
        <v>&lt;Airfoil&gt;</v>
      </c>
      <c r="E1447" s="175"/>
      <c r="F1447" s="6" t="s">
        <v>678</v>
      </c>
      <c r="G1447" s="6"/>
      <c r="H1447" s="6"/>
      <c r="I1447" s="6"/>
      <c r="J1447" s="6"/>
      <c r="K1447" s="6"/>
      <c r="L1447" s="6"/>
      <c r="M1447" s="6"/>
      <c r="N1447" s="6"/>
      <c r="O1447" s="6"/>
      <c r="P1447" s="6"/>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c r="BU1447" s="6"/>
      <c r="BV1447" s="6"/>
      <c r="BW1447" s="6"/>
      <c r="BX1447" s="6"/>
      <c r="BY1447" s="6"/>
      <c r="BZ1447" s="6"/>
      <c r="CA1447" s="6"/>
      <c r="CB1447" s="6"/>
      <c r="CC1447" s="6"/>
      <c r="CD1447" s="6"/>
      <c r="CE1447" s="6"/>
      <c r="CF1447" s="6"/>
      <c r="CG1447" s="6"/>
      <c r="CH1447" s="6"/>
      <c r="CI1447" s="6"/>
      <c r="CJ1447" s="6"/>
      <c r="CK1447" s="6"/>
      <c r="CL1447" s="6"/>
      <c r="CM1447" s="6"/>
      <c r="CN1447" s="6"/>
      <c r="CO1447" s="6"/>
      <c r="CP1447" s="6"/>
      <c r="CQ1447" s="6"/>
      <c r="CR1447" s="6"/>
      <c r="CS1447" s="6"/>
      <c r="CT1447" s="6"/>
      <c r="CU1447" s="6"/>
      <c r="CV1447" s="6"/>
      <c r="CW1447" s="6"/>
      <c r="CX1447" s="6"/>
      <c r="CY1447" s="6"/>
      <c r="CZ1447" s="6"/>
      <c r="DA1447" s="6"/>
      <c r="DB1447" s="6"/>
      <c r="DC1447" s="6"/>
      <c r="DD1447" s="6"/>
    </row>
    <row r="1448" spans="1:108" ht="12.75" hidden="1" customHeight="1" outlineLevel="7">
      <c r="A1448" s="104" t="s">
        <v>14</v>
      </c>
      <c r="B1448" s="95">
        <v>1</v>
      </c>
      <c r="C1448" s="11"/>
      <c r="D1448" s="18" t="str">
        <f>"&lt;" &amp; A1448 &amp; "&gt;" &amp; TEXT(B1448,0) &amp; "&lt;/" &amp; A1448 &amp; "&gt;"</f>
        <v>&lt;Type&gt;1&lt;/Type&gt;</v>
      </c>
      <c r="E1448" s="175"/>
      <c r="F1448" s="6" t="s">
        <v>679</v>
      </c>
      <c r="G1448" s="6"/>
      <c r="H1448" s="6"/>
      <c r="I1448" s="6"/>
      <c r="J1448" s="6"/>
      <c r="K1448" s="6"/>
      <c r="L1448" s="6"/>
      <c r="M1448" s="6"/>
      <c r="N1448" s="6"/>
      <c r="O1448" s="6"/>
      <c r="P1448" s="6"/>
      <c r="Q1448" s="6"/>
      <c r="R1448" s="6"/>
      <c r="S1448" s="6"/>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c r="BU1448" s="6"/>
      <c r="BV1448" s="6"/>
      <c r="BW1448" s="6"/>
      <c r="BX1448" s="6"/>
      <c r="BY1448" s="6"/>
      <c r="BZ1448" s="6"/>
      <c r="CA1448" s="6"/>
      <c r="CB1448" s="6"/>
      <c r="CC1448" s="6"/>
      <c r="CD1448" s="6"/>
      <c r="CE1448" s="6"/>
      <c r="CF1448" s="6"/>
      <c r="CG1448" s="6"/>
      <c r="CH1448" s="6"/>
      <c r="CI1448" s="6"/>
      <c r="CJ1448" s="6"/>
      <c r="CK1448" s="6"/>
      <c r="CL1448" s="6"/>
      <c r="CM1448" s="6"/>
      <c r="CN1448" s="6"/>
      <c r="CO1448" s="6"/>
      <c r="CP1448" s="6"/>
      <c r="CQ1448" s="6"/>
      <c r="CR1448" s="6"/>
      <c r="CS1448" s="6"/>
      <c r="CT1448" s="6"/>
      <c r="CU1448" s="6"/>
      <c r="CV1448" s="6"/>
      <c r="CW1448" s="6"/>
      <c r="CX1448" s="6"/>
      <c r="CY1448" s="6"/>
      <c r="CZ1448" s="6"/>
      <c r="DA1448" s="6"/>
      <c r="DB1448" s="6"/>
      <c r="DC1448" s="6"/>
      <c r="DD1448" s="6"/>
    </row>
    <row r="1449" spans="1:108" ht="12.75" hidden="1" customHeight="1" outlineLevel="7">
      <c r="A1449" s="104" t="s">
        <v>102</v>
      </c>
      <c r="B1449" s="95">
        <v>0</v>
      </c>
      <c r="C1449" s="11"/>
      <c r="D1449" s="18" t="str">
        <f>"&lt;" &amp; A1449 &amp; "&gt;" &amp; TEXT(B1449,0) &amp; "&lt;/" &amp; A1449 &amp; "&gt;"</f>
        <v>&lt;Inverted_Flag&gt;0&lt;/Inverted_Flag&gt;</v>
      </c>
      <c r="E1449" s="175"/>
      <c r="F1449" s="6" t="s">
        <v>680</v>
      </c>
      <c r="G1449" s="6"/>
      <c r="H1449" s="6"/>
      <c r="I1449" s="6"/>
      <c r="J1449" s="6"/>
      <c r="K1449" s="6"/>
      <c r="L1449" s="6"/>
      <c r="M1449" s="6"/>
      <c r="N1449" s="6"/>
      <c r="O1449" s="6"/>
      <c r="P1449" s="6"/>
      <c r="Q1449" s="6"/>
      <c r="R1449" s="6"/>
      <c r="S1449" s="6"/>
      <c r="T1449" s="6"/>
      <c r="U1449" s="6"/>
      <c r="V1449" s="6"/>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c r="BU1449" s="6"/>
      <c r="BV1449" s="6"/>
      <c r="BW1449" s="6"/>
      <c r="BX1449" s="6"/>
      <c r="BY1449" s="6"/>
      <c r="BZ1449" s="6"/>
      <c r="CA1449" s="6"/>
      <c r="CB1449" s="6"/>
      <c r="CC1449" s="6"/>
      <c r="CD1449" s="6"/>
      <c r="CE1449" s="6"/>
      <c r="CF1449" s="6"/>
      <c r="CG1449" s="6"/>
      <c r="CH1449" s="6"/>
      <c r="CI1449" s="6"/>
      <c r="CJ1449" s="6"/>
      <c r="CK1449" s="6"/>
      <c r="CL1449" s="6"/>
      <c r="CM1449" s="6"/>
      <c r="CN1449" s="6"/>
      <c r="CO1449" s="6"/>
      <c r="CP1449" s="6"/>
      <c r="CQ1449" s="6"/>
      <c r="CR1449" s="6"/>
      <c r="CS1449" s="6"/>
      <c r="CT1449" s="6"/>
      <c r="CU1449" s="6"/>
      <c r="CV1449" s="6"/>
      <c r="CW1449" s="6"/>
      <c r="CX1449" s="6"/>
      <c r="CY1449" s="6"/>
      <c r="CZ1449" s="6"/>
      <c r="DA1449" s="6"/>
      <c r="DB1449" s="6"/>
      <c r="DC1449" s="6"/>
      <c r="DD1449" s="6"/>
    </row>
    <row r="1450" spans="1:108" ht="12.75" hidden="1" customHeight="1" outlineLevel="7">
      <c r="A1450" s="104" t="s">
        <v>4</v>
      </c>
      <c r="B1450" s="95">
        <v>0</v>
      </c>
      <c r="C1450" s="11"/>
      <c r="D1450" s="18" t="str">
        <f t="shared" ref="D1450:D1455" si="80">"&lt;" &amp; A1450 &amp; "&gt;" &amp; TEXT(B1450,"0.000000") &amp; "&lt;/" &amp; A1450 &amp; "&gt;"</f>
        <v>&lt;Camber&gt;0.000000&lt;/Camber&gt;</v>
      </c>
      <c r="E1450" s="175"/>
      <c r="F1450" s="6" t="s">
        <v>681</v>
      </c>
      <c r="G1450" s="6"/>
      <c r="H1450" s="6"/>
      <c r="I1450" s="6"/>
      <c r="J1450" s="6"/>
      <c r="K1450" s="6"/>
      <c r="L1450" s="6"/>
      <c r="M1450" s="6"/>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c r="BU1450" s="6"/>
      <c r="BV1450" s="6"/>
      <c r="BW1450" s="6"/>
      <c r="BX1450" s="6"/>
      <c r="BY1450" s="6"/>
      <c r="BZ1450" s="6"/>
      <c r="CA1450" s="6"/>
      <c r="CB1450" s="6"/>
      <c r="CC1450" s="6"/>
      <c r="CD1450" s="6"/>
      <c r="CE1450" s="6"/>
      <c r="CF1450" s="6"/>
      <c r="CG1450" s="6"/>
      <c r="CH1450" s="6"/>
      <c r="CI1450" s="6"/>
      <c r="CJ1450" s="6"/>
      <c r="CK1450" s="6"/>
      <c r="CL1450" s="6"/>
      <c r="CM1450" s="6"/>
      <c r="CN1450" s="6"/>
      <c r="CO1450" s="6"/>
      <c r="CP1450" s="6"/>
      <c r="CQ1450" s="6"/>
      <c r="CR1450" s="6"/>
      <c r="CS1450" s="6"/>
      <c r="CT1450" s="6"/>
      <c r="CU1450" s="6"/>
      <c r="CV1450" s="6"/>
      <c r="CW1450" s="6"/>
      <c r="CX1450" s="6"/>
      <c r="CY1450" s="6"/>
      <c r="CZ1450" s="6"/>
      <c r="DA1450" s="6"/>
      <c r="DB1450" s="6"/>
      <c r="DC1450" s="6"/>
      <c r="DD1450" s="6"/>
    </row>
    <row r="1451" spans="1:108" ht="12.75" hidden="1" customHeight="1" outlineLevel="7">
      <c r="A1451" s="104" t="s">
        <v>103</v>
      </c>
      <c r="B1451" s="95">
        <v>0.5</v>
      </c>
      <c r="C1451" s="11"/>
      <c r="D1451" s="18" t="str">
        <f t="shared" si="80"/>
        <v>&lt;Camber_Loc&gt;0.500000&lt;/Camber_Loc&gt;</v>
      </c>
      <c r="E1451" s="175"/>
      <c r="F1451" s="6" t="s">
        <v>917</v>
      </c>
      <c r="G1451" s="6"/>
      <c r="H1451" s="6"/>
      <c r="I1451" s="6"/>
      <c r="J1451" s="6"/>
      <c r="K1451" s="6"/>
      <c r="L1451" s="6"/>
      <c r="M1451" s="6"/>
      <c r="N1451" s="6"/>
      <c r="O1451" s="6"/>
      <c r="P1451" s="6"/>
      <c r="Q1451" s="6"/>
      <c r="R1451" s="6"/>
      <c r="S1451" s="6"/>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c r="BU1451" s="6"/>
      <c r="BV1451" s="6"/>
      <c r="BW1451" s="6"/>
      <c r="BX1451" s="6"/>
      <c r="BY1451" s="6"/>
      <c r="BZ1451" s="6"/>
      <c r="CA1451" s="6"/>
      <c r="CB1451" s="6"/>
      <c r="CC1451" s="6"/>
      <c r="CD1451" s="6"/>
      <c r="CE1451" s="6"/>
      <c r="CF1451" s="6"/>
      <c r="CG1451" s="6"/>
      <c r="CH1451" s="6"/>
      <c r="CI1451" s="6"/>
      <c r="CJ1451" s="6"/>
      <c r="CK1451" s="6"/>
      <c r="CL1451" s="6"/>
      <c r="CM1451" s="6"/>
      <c r="CN1451" s="6"/>
      <c r="CO1451" s="6"/>
      <c r="CP1451" s="6"/>
      <c r="CQ1451" s="6"/>
      <c r="CR1451" s="6"/>
      <c r="CS1451" s="6"/>
      <c r="CT1451" s="6"/>
      <c r="CU1451" s="6"/>
      <c r="CV1451" s="6"/>
      <c r="CW1451" s="6"/>
      <c r="CX1451" s="6"/>
      <c r="CY1451" s="6"/>
      <c r="CZ1451" s="6"/>
      <c r="DA1451" s="6"/>
      <c r="DB1451" s="6"/>
      <c r="DC1451" s="6"/>
      <c r="DD1451" s="6"/>
    </row>
    <row r="1452" spans="1:108" ht="12.75" hidden="1" customHeight="1" outlineLevel="7">
      <c r="A1452" s="104" t="s">
        <v>5</v>
      </c>
      <c r="B1452" s="95">
        <v>0.2</v>
      </c>
      <c r="C1452" s="11"/>
      <c r="D1452" s="18" t="str">
        <f t="shared" si="80"/>
        <v>&lt;Thickness&gt;0.200000&lt;/Thickness&gt;</v>
      </c>
      <c r="E1452" s="175"/>
      <c r="F1452" s="6" t="s">
        <v>918</v>
      </c>
      <c r="G1452" s="6"/>
      <c r="H1452" s="6"/>
      <c r="I1452" s="6"/>
      <c r="J1452" s="6"/>
      <c r="K1452" s="6"/>
      <c r="L1452" s="6"/>
      <c r="M1452" s="6"/>
      <c r="N1452" s="6"/>
      <c r="O1452" s="6"/>
      <c r="P1452" s="6"/>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c r="BU1452" s="6"/>
      <c r="BV1452" s="6"/>
      <c r="BW1452" s="6"/>
      <c r="BX1452" s="6"/>
      <c r="BY1452" s="6"/>
      <c r="BZ1452" s="6"/>
      <c r="CA1452" s="6"/>
      <c r="CB1452" s="6"/>
      <c r="CC1452" s="6"/>
      <c r="CD1452" s="6"/>
      <c r="CE1452" s="6"/>
      <c r="CF1452" s="6"/>
      <c r="CG1452" s="6"/>
      <c r="CH1452" s="6"/>
      <c r="CI1452" s="6"/>
      <c r="CJ1452" s="6"/>
      <c r="CK1452" s="6"/>
      <c r="CL1452" s="6"/>
      <c r="CM1452" s="6"/>
      <c r="CN1452" s="6"/>
      <c r="CO1452" s="6"/>
      <c r="CP1452" s="6"/>
      <c r="CQ1452" s="6"/>
      <c r="CR1452" s="6"/>
      <c r="CS1452" s="6"/>
      <c r="CT1452" s="6"/>
      <c r="CU1452" s="6"/>
      <c r="CV1452" s="6"/>
      <c r="CW1452" s="6"/>
      <c r="CX1452" s="6"/>
      <c r="CY1452" s="6"/>
      <c r="CZ1452" s="6"/>
      <c r="DA1452" s="6"/>
      <c r="DB1452" s="6"/>
      <c r="DC1452" s="6"/>
      <c r="DD1452" s="6"/>
    </row>
    <row r="1453" spans="1:108" ht="12.75" hidden="1" customHeight="1" outlineLevel="7">
      <c r="A1453" s="104" t="s">
        <v>104</v>
      </c>
      <c r="B1453" s="95">
        <v>0.3</v>
      </c>
      <c r="C1453" s="11"/>
      <c r="D1453" s="18" t="str">
        <f t="shared" si="80"/>
        <v>&lt;Thickness_Loc&gt;0.300000&lt;/Thickness_Loc&gt;</v>
      </c>
      <c r="E1453" s="175"/>
      <c r="F1453" s="6" t="s">
        <v>684</v>
      </c>
      <c r="G1453" s="6"/>
      <c r="H1453" s="6"/>
      <c r="I1453" s="6"/>
      <c r="J1453" s="6"/>
      <c r="K1453" s="6"/>
      <c r="L1453" s="6"/>
      <c r="M1453" s="6"/>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c r="BU1453" s="6"/>
      <c r="BV1453" s="6"/>
      <c r="BW1453" s="6"/>
      <c r="BX1453" s="6"/>
      <c r="BY1453" s="6"/>
      <c r="BZ1453" s="6"/>
      <c r="CA1453" s="6"/>
      <c r="CB1453" s="6"/>
      <c r="CC1453" s="6"/>
      <c r="CD1453" s="6"/>
      <c r="CE1453" s="6"/>
      <c r="CF1453" s="6"/>
      <c r="CG1453" s="6"/>
      <c r="CH1453" s="6"/>
      <c r="CI1453" s="6"/>
      <c r="CJ1453" s="6"/>
      <c r="CK1453" s="6"/>
      <c r="CL1453" s="6"/>
      <c r="CM1453" s="6"/>
      <c r="CN1453" s="6"/>
      <c r="CO1453" s="6"/>
      <c r="CP1453" s="6"/>
      <c r="CQ1453" s="6"/>
      <c r="CR1453" s="6"/>
      <c r="CS1453" s="6"/>
      <c r="CT1453" s="6"/>
      <c r="CU1453" s="6"/>
      <c r="CV1453" s="6"/>
      <c r="CW1453" s="6"/>
      <c r="CX1453" s="6"/>
      <c r="CY1453" s="6"/>
      <c r="CZ1453" s="6"/>
      <c r="DA1453" s="6"/>
      <c r="DB1453" s="6"/>
      <c r="DC1453" s="6"/>
      <c r="DD1453" s="6"/>
    </row>
    <row r="1454" spans="1:108" ht="12.75" hidden="1" customHeight="1" outlineLevel="7">
      <c r="A1454" s="104" t="s">
        <v>105</v>
      </c>
      <c r="B1454" s="95">
        <v>4.4075999999999997E-2</v>
      </c>
      <c r="C1454" s="11"/>
      <c r="D1454" s="18" t="str">
        <f t="shared" si="80"/>
        <v>&lt;Radius_Le&gt;0.044076&lt;/Radius_Le&gt;</v>
      </c>
      <c r="E1454" s="175"/>
      <c r="F1454" s="6" t="s">
        <v>919</v>
      </c>
      <c r="G1454" s="6"/>
      <c r="H1454" s="6"/>
      <c r="I1454" s="6"/>
      <c r="J1454" s="6"/>
      <c r="K1454" s="6"/>
      <c r="L1454" s="6"/>
      <c r="M1454" s="6"/>
      <c r="N1454" s="6"/>
      <c r="O1454" s="6"/>
      <c r="P1454" s="6"/>
      <c r="Q1454" s="6"/>
      <c r="R1454" s="6"/>
      <c r="S1454" s="6"/>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c r="BU1454" s="6"/>
      <c r="BV1454" s="6"/>
      <c r="BW1454" s="6"/>
      <c r="BX1454" s="6"/>
      <c r="BY1454" s="6"/>
      <c r="BZ1454" s="6"/>
      <c r="CA1454" s="6"/>
      <c r="CB1454" s="6"/>
      <c r="CC1454" s="6"/>
      <c r="CD1454" s="6"/>
      <c r="CE1454" s="6"/>
      <c r="CF1454" s="6"/>
      <c r="CG1454" s="6"/>
      <c r="CH1454" s="6"/>
      <c r="CI1454" s="6"/>
      <c r="CJ1454" s="6"/>
      <c r="CK1454" s="6"/>
      <c r="CL1454" s="6"/>
      <c r="CM1454" s="6"/>
      <c r="CN1454" s="6"/>
      <c r="CO1454" s="6"/>
      <c r="CP1454" s="6"/>
      <c r="CQ1454" s="6"/>
      <c r="CR1454" s="6"/>
      <c r="CS1454" s="6"/>
      <c r="CT1454" s="6"/>
      <c r="CU1454" s="6"/>
      <c r="CV1454" s="6"/>
      <c r="CW1454" s="6"/>
      <c r="CX1454" s="6"/>
      <c r="CY1454" s="6"/>
      <c r="CZ1454" s="6"/>
      <c r="DA1454" s="6"/>
      <c r="DB1454" s="6"/>
      <c r="DC1454" s="6"/>
      <c r="DD1454" s="6"/>
    </row>
    <row r="1455" spans="1:108" ht="12.75" hidden="1" customHeight="1" outlineLevel="7">
      <c r="A1455" s="104" t="s">
        <v>106</v>
      </c>
      <c r="B1455" s="95">
        <v>0</v>
      </c>
      <c r="C1455" s="11"/>
      <c r="D1455" s="18" t="str">
        <f t="shared" si="80"/>
        <v>&lt;Radius_Te&gt;0.000000&lt;/Radius_Te&gt;</v>
      </c>
      <c r="E1455" s="175"/>
      <c r="F1455" s="6" t="s">
        <v>686</v>
      </c>
      <c r="G1455" s="6"/>
      <c r="H1455" s="6"/>
      <c r="I1455" s="6"/>
      <c r="J1455" s="6"/>
      <c r="K1455" s="6"/>
      <c r="L1455" s="6"/>
      <c r="M1455" s="6"/>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c r="BU1455" s="6"/>
      <c r="BV1455" s="6"/>
      <c r="BW1455" s="6"/>
      <c r="BX1455" s="6"/>
      <c r="BY1455" s="6"/>
      <c r="BZ1455" s="6"/>
      <c r="CA1455" s="6"/>
      <c r="CB1455" s="6"/>
      <c r="CC1455" s="6"/>
      <c r="CD1455" s="6"/>
      <c r="CE1455" s="6"/>
      <c r="CF1455" s="6"/>
      <c r="CG1455" s="6"/>
      <c r="CH1455" s="6"/>
      <c r="CI1455" s="6"/>
      <c r="CJ1455" s="6"/>
      <c r="CK1455" s="6"/>
      <c r="CL1455" s="6"/>
      <c r="CM1455" s="6"/>
      <c r="CN1455" s="6"/>
      <c r="CO1455" s="6"/>
      <c r="CP1455" s="6"/>
      <c r="CQ1455" s="6"/>
      <c r="CR1455" s="6"/>
      <c r="CS1455" s="6"/>
      <c r="CT1455" s="6"/>
      <c r="CU1455" s="6"/>
      <c r="CV1455" s="6"/>
      <c r="CW1455" s="6"/>
      <c r="CX1455" s="6"/>
      <c r="CY1455" s="6"/>
      <c r="CZ1455" s="6"/>
      <c r="DA1455" s="6"/>
      <c r="DB1455" s="6"/>
      <c r="DC1455" s="6"/>
      <c r="DD1455" s="6"/>
    </row>
    <row r="1456" spans="1:108" ht="12.75" hidden="1" customHeight="1" outlineLevel="7">
      <c r="A1456" s="104" t="s">
        <v>107</v>
      </c>
      <c r="B1456" s="95">
        <v>63</v>
      </c>
      <c r="C1456" s="11"/>
      <c r="D1456" s="18" t="str">
        <f>"&lt;" &amp; A1456 &amp; "&gt;" &amp; TEXT(B1456,0) &amp; "&lt;/" &amp; A1456 &amp; "&gt;"</f>
        <v>&lt;Six_Series&gt;63&lt;/Six_Series&gt;</v>
      </c>
      <c r="E1456" s="175"/>
      <c r="F1456" s="6" t="s">
        <v>687</v>
      </c>
      <c r="G1456" s="6"/>
      <c r="H1456" s="6"/>
      <c r="I1456" s="6"/>
      <c r="J1456" s="6"/>
      <c r="K1456" s="6"/>
      <c r="L1456" s="6"/>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c r="BU1456" s="6"/>
      <c r="BV1456" s="6"/>
      <c r="BW1456" s="6"/>
      <c r="BX1456" s="6"/>
      <c r="BY1456" s="6"/>
      <c r="BZ1456" s="6"/>
      <c r="CA1456" s="6"/>
      <c r="CB1456" s="6"/>
      <c r="CC1456" s="6"/>
      <c r="CD1456" s="6"/>
      <c r="CE1456" s="6"/>
      <c r="CF1456" s="6"/>
      <c r="CG1456" s="6"/>
      <c r="CH1456" s="6"/>
      <c r="CI1456" s="6"/>
      <c r="CJ1456" s="6"/>
      <c r="CK1456" s="6"/>
      <c r="CL1456" s="6"/>
      <c r="CM1456" s="6"/>
      <c r="CN1456" s="6"/>
      <c r="CO1456" s="6"/>
      <c r="CP1456" s="6"/>
      <c r="CQ1456" s="6"/>
      <c r="CR1456" s="6"/>
      <c r="CS1456" s="6"/>
      <c r="CT1456" s="6"/>
      <c r="CU1456" s="6"/>
      <c r="CV1456" s="6"/>
      <c r="CW1456" s="6"/>
      <c r="CX1456" s="6"/>
      <c r="CY1456" s="6"/>
      <c r="CZ1456" s="6"/>
      <c r="DA1456" s="6"/>
      <c r="DB1456" s="6"/>
      <c r="DC1456" s="6"/>
      <c r="DD1456" s="6"/>
    </row>
    <row r="1457" spans="1:108" ht="12.75" hidden="1" customHeight="1" outlineLevel="7">
      <c r="A1457" s="104" t="s">
        <v>108</v>
      </c>
      <c r="B1457" s="95">
        <v>0</v>
      </c>
      <c r="C1457" s="11"/>
      <c r="D1457" s="18" t="str">
        <f>"&lt;" &amp; A1457 &amp; "&gt;" &amp; TEXT(B1457,"0.000000") &amp; "&lt;/" &amp; A1457 &amp; "&gt;"</f>
        <v>&lt;Ideal_Cl&gt;0.000000&lt;/Ideal_Cl&gt;</v>
      </c>
      <c r="E1457" s="175"/>
      <c r="F1457" s="6" t="s">
        <v>688</v>
      </c>
      <c r="G1457" s="6"/>
      <c r="H1457" s="6"/>
      <c r="I1457" s="6"/>
      <c r="J1457" s="6"/>
      <c r="K1457" s="6"/>
      <c r="L1457" s="6"/>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c r="BU1457" s="6"/>
      <c r="BV1457" s="6"/>
      <c r="BW1457" s="6"/>
      <c r="BX1457" s="6"/>
      <c r="BY1457" s="6"/>
      <c r="BZ1457" s="6"/>
      <c r="CA1457" s="6"/>
      <c r="CB1457" s="6"/>
      <c r="CC1457" s="6"/>
      <c r="CD1457" s="6"/>
      <c r="CE1457" s="6"/>
      <c r="CF1457" s="6"/>
      <c r="CG1457" s="6"/>
      <c r="CH1457" s="6"/>
      <c r="CI1457" s="6"/>
      <c r="CJ1457" s="6"/>
      <c r="CK1457" s="6"/>
      <c r="CL1457" s="6"/>
      <c r="CM1457" s="6"/>
      <c r="CN1457" s="6"/>
      <c r="CO1457" s="6"/>
      <c r="CP1457" s="6"/>
      <c r="CQ1457" s="6"/>
      <c r="CR1457" s="6"/>
      <c r="CS1457" s="6"/>
      <c r="CT1457" s="6"/>
      <c r="CU1457" s="6"/>
      <c r="CV1457" s="6"/>
      <c r="CW1457" s="6"/>
      <c r="CX1457" s="6"/>
      <c r="CY1457" s="6"/>
      <c r="CZ1457" s="6"/>
      <c r="DA1457" s="6"/>
      <c r="DB1457" s="6"/>
      <c r="DC1457" s="6"/>
      <c r="DD1457" s="6"/>
    </row>
    <row r="1458" spans="1:108" ht="12.75" hidden="1" customHeight="1" outlineLevel="7">
      <c r="A1458" s="104" t="s">
        <v>109</v>
      </c>
      <c r="B1458" s="95">
        <v>0</v>
      </c>
      <c r="C1458" s="11"/>
      <c r="D1458" s="18" t="str">
        <f>"&lt;" &amp; A1458 &amp; "&gt;" &amp; TEXT(B1458,"0.000000") &amp; "&lt;/" &amp; A1458 &amp; "&gt;"</f>
        <v>&lt;A&gt;0.000000&lt;/A&gt;</v>
      </c>
      <c r="E1458" s="175"/>
      <c r="F1458" s="6" t="s">
        <v>689</v>
      </c>
      <c r="G1458" s="6"/>
      <c r="H1458" s="6"/>
      <c r="I1458" s="6"/>
      <c r="J1458" s="6"/>
      <c r="K1458" s="6"/>
      <c r="L1458" s="6"/>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c r="BU1458" s="6"/>
      <c r="BV1458" s="6"/>
      <c r="BW1458" s="6"/>
      <c r="BX1458" s="6"/>
      <c r="BY1458" s="6"/>
      <c r="BZ1458" s="6"/>
      <c r="CA1458" s="6"/>
      <c r="CB1458" s="6"/>
      <c r="CC1458" s="6"/>
      <c r="CD1458" s="6"/>
      <c r="CE1458" s="6"/>
      <c r="CF1458" s="6"/>
      <c r="CG1458" s="6"/>
      <c r="CH1458" s="6"/>
      <c r="CI1458" s="6"/>
      <c r="CJ1458" s="6"/>
      <c r="CK1458" s="6"/>
      <c r="CL1458" s="6"/>
      <c r="CM1458" s="6"/>
      <c r="CN1458" s="6"/>
      <c r="CO1458" s="6"/>
      <c r="CP1458" s="6"/>
      <c r="CQ1458" s="6"/>
      <c r="CR1458" s="6"/>
      <c r="CS1458" s="6"/>
      <c r="CT1458" s="6"/>
      <c r="CU1458" s="6"/>
      <c r="CV1458" s="6"/>
      <c r="CW1458" s="6"/>
      <c r="CX1458" s="6"/>
      <c r="CY1458" s="6"/>
      <c r="CZ1458" s="6"/>
      <c r="DA1458" s="6"/>
      <c r="DB1458" s="6"/>
      <c r="DC1458" s="6"/>
      <c r="DD1458" s="6"/>
    </row>
    <row r="1459" spans="1:108" ht="12.75" hidden="1" customHeight="1" outlineLevel="7">
      <c r="A1459" s="104" t="s">
        <v>110</v>
      </c>
      <c r="B1459" s="95">
        <v>0</v>
      </c>
      <c r="C1459" s="11"/>
      <c r="D1459" s="18" t="str">
        <f>"&lt;" &amp; A1459 &amp; "&gt;" &amp; TEXT(B1459,0) &amp; "&lt;/" &amp; A1459 &amp; "&gt;"</f>
        <v>&lt;Slat_Flag&gt;0&lt;/Slat_Flag&gt;</v>
      </c>
      <c r="E1459" s="175"/>
      <c r="F1459" s="6" t="s">
        <v>690</v>
      </c>
      <c r="G1459" s="6"/>
      <c r="H1459" s="6"/>
      <c r="I1459" s="6"/>
      <c r="J1459" s="6"/>
      <c r="K1459" s="6"/>
      <c r="L1459" s="6"/>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c r="BU1459" s="6"/>
      <c r="BV1459" s="6"/>
      <c r="BW1459" s="6"/>
      <c r="BX1459" s="6"/>
      <c r="BY1459" s="6"/>
      <c r="BZ1459" s="6"/>
      <c r="CA1459" s="6"/>
      <c r="CB1459" s="6"/>
      <c r="CC1459" s="6"/>
      <c r="CD1459" s="6"/>
      <c r="CE1459" s="6"/>
      <c r="CF1459" s="6"/>
      <c r="CG1459" s="6"/>
      <c r="CH1459" s="6"/>
      <c r="CI1459" s="6"/>
      <c r="CJ1459" s="6"/>
      <c r="CK1459" s="6"/>
      <c r="CL1459" s="6"/>
      <c r="CM1459" s="6"/>
      <c r="CN1459" s="6"/>
      <c r="CO1459" s="6"/>
      <c r="CP1459" s="6"/>
      <c r="CQ1459" s="6"/>
      <c r="CR1459" s="6"/>
      <c r="CS1459" s="6"/>
      <c r="CT1459" s="6"/>
      <c r="CU1459" s="6"/>
      <c r="CV1459" s="6"/>
      <c r="CW1459" s="6"/>
      <c r="CX1459" s="6"/>
      <c r="CY1459" s="6"/>
      <c r="CZ1459" s="6"/>
      <c r="DA1459" s="6"/>
      <c r="DB1459" s="6"/>
      <c r="DC1459" s="6"/>
      <c r="DD1459" s="6"/>
    </row>
    <row r="1460" spans="1:108" ht="12.75" hidden="1" customHeight="1" outlineLevel="7">
      <c r="A1460" s="104" t="s">
        <v>111</v>
      </c>
      <c r="B1460" s="95">
        <v>0</v>
      </c>
      <c r="C1460" s="11"/>
      <c r="D1460" s="18" t="str">
        <f>"&lt;" &amp; A1460 &amp; "&gt;" &amp; TEXT(B1460,0) &amp; "&lt;/" &amp; A1460 &amp; "&gt;"</f>
        <v>&lt;Slat_Shear_Flag&gt;0&lt;/Slat_Shear_Flag&gt;</v>
      </c>
      <c r="E1460" s="175"/>
      <c r="F1460" s="6" t="s">
        <v>691</v>
      </c>
      <c r="G1460" s="6"/>
      <c r="H1460" s="6"/>
      <c r="I1460" s="6"/>
      <c r="J1460" s="6"/>
      <c r="K1460" s="6"/>
      <c r="L1460" s="6"/>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c r="BU1460" s="6"/>
      <c r="BV1460" s="6"/>
      <c r="BW1460" s="6"/>
      <c r="BX1460" s="6"/>
      <c r="BY1460" s="6"/>
      <c r="BZ1460" s="6"/>
      <c r="CA1460" s="6"/>
      <c r="CB1460" s="6"/>
      <c r="CC1460" s="6"/>
      <c r="CD1460" s="6"/>
      <c r="CE1460" s="6"/>
      <c r="CF1460" s="6"/>
      <c r="CG1460" s="6"/>
      <c r="CH1460" s="6"/>
      <c r="CI1460" s="6"/>
      <c r="CJ1460" s="6"/>
      <c r="CK1460" s="6"/>
      <c r="CL1460" s="6"/>
      <c r="CM1460" s="6"/>
      <c r="CN1460" s="6"/>
      <c r="CO1460" s="6"/>
      <c r="CP1460" s="6"/>
      <c r="CQ1460" s="6"/>
      <c r="CR1460" s="6"/>
      <c r="CS1460" s="6"/>
      <c r="CT1460" s="6"/>
      <c r="CU1460" s="6"/>
      <c r="CV1460" s="6"/>
      <c r="CW1460" s="6"/>
      <c r="CX1460" s="6"/>
      <c r="CY1460" s="6"/>
      <c r="CZ1460" s="6"/>
      <c r="DA1460" s="6"/>
      <c r="DB1460" s="6"/>
      <c r="DC1460" s="6"/>
      <c r="DD1460" s="6"/>
    </row>
    <row r="1461" spans="1:108" ht="12.75" hidden="1" customHeight="1" outlineLevel="7">
      <c r="A1461" s="104" t="s">
        <v>112</v>
      </c>
      <c r="B1461" s="95">
        <v>0.25</v>
      </c>
      <c r="C1461" s="11"/>
      <c r="D1461" s="18" t="str">
        <f>"&lt;" &amp; A1461 &amp; "&gt;" &amp; TEXT(B1461,"0.000000") &amp; "&lt;/" &amp; A1461 &amp; "&gt;"</f>
        <v>&lt;Slat_Chord&gt;0.250000&lt;/Slat_Chord&gt;</v>
      </c>
      <c r="E1461" s="175"/>
      <c r="F1461" s="6" t="s">
        <v>692</v>
      </c>
      <c r="G1461" s="6"/>
      <c r="H1461" s="6"/>
      <c r="I1461" s="6"/>
      <c r="J1461" s="6"/>
      <c r="K1461" s="6"/>
      <c r="L1461" s="6"/>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c r="BU1461" s="6"/>
      <c r="BV1461" s="6"/>
      <c r="BW1461" s="6"/>
      <c r="BX1461" s="6"/>
      <c r="BY1461" s="6"/>
      <c r="BZ1461" s="6"/>
      <c r="CA1461" s="6"/>
      <c r="CB1461" s="6"/>
      <c r="CC1461" s="6"/>
      <c r="CD1461" s="6"/>
      <c r="CE1461" s="6"/>
      <c r="CF1461" s="6"/>
      <c r="CG1461" s="6"/>
      <c r="CH1461" s="6"/>
      <c r="CI1461" s="6"/>
      <c r="CJ1461" s="6"/>
      <c r="CK1461" s="6"/>
      <c r="CL1461" s="6"/>
      <c r="CM1461" s="6"/>
      <c r="CN1461" s="6"/>
      <c r="CO1461" s="6"/>
      <c r="CP1461" s="6"/>
      <c r="CQ1461" s="6"/>
      <c r="CR1461" s="6"/>
      <c r="CS1461" s="6"/>
      <c r="CT1461" s="6"/>
      <c r="CU1461" s="6"/>
      <c r="CV1461" s="6"/>
      <c r="CW1461" s="6"/>
      <c r="CX1461" s="6"/>
      <c r="CY1461" s="6"/>
      <c r="CZ1461" s="6"/>
      <c r="DA1461" s="6"/>
      <c r="DB1461" s="6"/>
      <c r="DC1461" s="6"/>
      <c r="DD1461" s="6"/>
    </row>
    <row r="1462" spans="1:108" ht="12.75" hidden="1" customHeight="1" outlineLevel="7">
      <c r="A1462" s="104" t="s">
        <v>113</v>
      </c>
      <c r="B1462" s="95">
        <v>10</v>
      </c>
      <c r="C1462" s="11"/>
      <c r="D1462" s="18" t="str">
        <f>"&lt;" &amp; A1462 &amp; "&gt;" &amp; TEXT(B1462,"0.000000") &amp; "&lt;/" &amp; A1462 &amp; "&gt;"</f>
        <v>&lt;Slat_Angle&gt;10.000000&lt;/Slat_Angle&gt;</v>
      </c>
      <c r="E1462" s="175"/>
      <c r="F1462" s="6" t="s">
        <v>693</v>
      </c>
      <c r="G1462" s="6"/>
      <c r="H1462" s="6"/>
      <c r="I1462" s="6"/>
      <c r="J1462" s="6"/>
      <c r="K1462" s="6"/>
      <c r="L1462" s="6"/>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c r="BU1462" s="6"/>
      <c r="BV1462" s="6"/>
      <c r="BW1462" s="6"/>
      <c r="BX1462" s="6"/>
      <c r="BY1462" s="6"/>
      <c r="BZ1462" s="6"/>
      <c r="CA1462" s="6"/>
      <c r="CB1462" s="6"/>
      <c r="CC1462" s="6"/>
      <c r="CD1462" s="6"/>
      <c r="CE1462" s="6"/>
      <c r="CF1462" s="6"/>
      <c r="CG1462" s="6"/>
      <c r="CH1462" s="6"/>
      <c r="CI1462" s="6"/>
      <c r="CJ1462" s="6"/>
      <c r="CK1462" s="6"/>
      <c r="CL1462" s="6"/>
      <c r="CM1462" s="6"/>
      <c r="CN1462" s="6"/>
      <c r="CO1462" s="6"/>
      <c r="CP1462" s="6"/>
      <c r="CQ1462" s="6"/>
      <c r="CR1462" s="6"/>
      <c r="CS1462" s="6"/>
      <c r="CT1462" s="6"/>
      <c r="CU1462" s="6"/>
      <c r="CV1462" s="6"/>
      <c r="CW1462" s="6"/>
      <c r="CX1462" s="6"/>
      <c r="CY1462" s="6"/>
      <c r="CZ1462" s="6"/>
      <c r="DA1462" s="6"/>
      <c r="DB1462" s="6"/>
      <c r="DC1462" s="6"/>
      <c r="DD1462" s="6"/>
    </row>
    <row r="1463" spans="1:108" ht="12.75" hidden="1" customHeight="1" outlineLevel="7">
      <c r="A1463" s="104" t="s">
        <v>114</v>
      </c>
      <c r="B1463" s="95">
        <v>0</v>
      </c>
      <c r="C1463" s="11"/>
      <c r="D1463" s="18" t="str">
        <f>"&lt;" &amp; A1463 &amp; "&gt;" &amp; TEXT(B1463,0) &amp; "&lt;/" &amp; A1463 &amp; "&gt;"</f>
        <v>&lt;Flap_Flag&gt;0&lt;/Flap_Flag&gt;</v>
      </c>
      <c r="E1463" s="175"/>
      <c r="F1463" s="6" t="s">
        <v>920</v>
      </c>
      <c r="G1463" s="6"/>
      <c r="H1463" s="6"/>
      <c r="I1463" s="6"/>
      <c r="J1463" s="6"/>
      <c r="K1463" s="6"/>
      <c r="L1463" s="6"/>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c r="BU1463" s="6"/>
      <c r="BV1463" s="6"/>
      <c r="BW1463" s="6"/>
      <c r="BX1463" s="6"/>
      <c r="BY1463" s="6"/>
      <c r="BZ1463" s="6"/>
      <c r="CA1463" s="6"/>
      <c r="CB1463" s="6"/>
      <c r="CC1463" s="6"/>
      <c r="CD1463" s="6"/>
      <c r="CE1463" s="6"/>
      <c r="CF1463" s="6"/>
      <c r="CG1463" s="6"/>
      <c r="CH1463" s="6"/>
      <c r="CI1463" s="6"/>
      <c r="CJ1463" s="6"/>
      <c r="CK1463" s="6"/>
      <c r="CL1463" s="6"/>
      <c r="CM1463" s="6"/>
      <c r="CN1463" s="6"/>
      <c r="CO1463" s="6"/>
      <c r="CP1463" s="6"/>
      <c r="CQ1463" s="6"/>
      <c r="CR1463" s="6"/>
      <c r="CS1463" s="6"/>
      <c r="CT1463" s="6"/>
      <c r="CU1463" s="6"/>
      <c r="CV1463" s="6"/>
      <c r="CW1463" s="6"/>
      <c r="CX1463" s="6"/>
      <c r="CY1463" s="6"/>
      <c r="CZ1463" s="6"/>
      <c r="DA1463" s="6"/>
      <c r="DB1463" s="6"/>
      <c r="DC1463" s="6"/>
      <c r="DD1463" s="6"/>
    </row>
    <row r="1464" spans="1:108" ht="12.75" hidden="1" customHeight="1" outlineLevel="7">
      <c r="A1464" s="104" t="s">
        <v>115</v>
      </c>
      <c r="B1464" s="95">
        <v>0</v>
      </c>
      <c r="C1464" s="11"/>
      <c r="D1464" s="18" t="str">
        <f>"&lt;" &amp; A1464 &amp; "&gt;" &amp; TEXT(B1464,0) &amp; "&lt;/" &amp; A1464 &amp; "&gt;"</f>
        <v>&lt;Flap_Shear_Flag&gt;0&lt;/Flap_Shear_Flag&gt;</v>
      </c>
      <c r="E1464" s="175"/>
      <c r="F1464" s="6" t="s">
        <v>695</v>
      </c>
      <c r="G1464" s="6"/>
      <c r="H1464" s="6"/>
      <c r="I1464" s="6"/>
      <c r="J1464" s="6"/>
      <c r="K1464" s="6"/>
      <c r="L1464" s="6"/>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c r="BU1464" s="6"/>
      <c r="BV1464" s="6"/>
      <c r="BW1464" s="6"/>
      <c r="BX1464" s="6"/>
      <c r="BY1464" s="6"/>
      <c r="BZ1464" s="6"/>
      <c r="CA1464" s="6"/>
      <c r="CB1464" s="6"/>
      <c r="CC1464" s="6"/>
      <c r="CD1464" s="6"/>
      <c r="CE1464" s="6"/>
      <c r="CF1464" s="6"/>
      <c r="CG1464" s="6"/>
      <c r="CH1464" s="6"/>
      <c r="CI1464" s="6"/>
      <c r="CJ1464" s="6"/>
      <c r="CK1464" s="6"/>
      <c r="CL1464" s="6"/>
      <c r="CM1464" s="6"/>
      <c r="CN1464" s="6"/>
      <c r="CO1464" s="6"/>
      <c r="CP1464" s="6"/>
      <c r="CQ1464" s="6"/>
      <c r="CR1464" s="6"/>
      <c r="CS1464" s="6"/>
      <c r="CT1464" s="6"/>
      <c r="CU1464" s="6"/>
      <c r="CV1464" s="6"/>
      <c r="CW1464" s="6"/>
      <c r="CX1464" s="6"/>
      <c r="CY1464" s="6"/>
      <c r="CZ1464" s="6"/>
      <c r="DA1464" s="6"/>
      <c r="DB1464" s="6"/>
      <c r="DC1464" s="6"/>
      <c r="DD1464" s="6"/>
    </row>
    <row r="1465" spans="1:108" ht="12.75" hidden="1" customHeight="1" outlineLevel="7">
      <c r="A1465" s="104" t="s">
        <v>116</v>
      </c>
      <c r="B1465" s="95">
        <v>0.25</v>
      </c>
      <c r="C1465" s="11"/>
      <c r="D1465" s="18" t="str">
        <f>"&lt;" &amp; A1465 &amp; "&gt;" &amp; TEXT(B1465,"0.000000") &amp; "&lt;/" &amp; A1465 &amp; "&gt;"</f>
        <v>&lt;Flap_Chord&gt;0.250000&lt;/Flap_Chord&gt;</v>
      </c>
      <c r="E1465" s="175"/>
      <c r="F1465" s="6" t="s">
        <v>921</v>
      </c>
      <c r="G1465" s="6"/>
      <c r="H1465" s="6"/>
      <c r="I1465" s="6"/>
      <c r="J1465" s="6"/>
      <c r="K1465" s="6"/>
      <c r="L1465" s="6"/>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c r="BU1465" s="6"/>
      <c r="BV1465" s="6"/>
      <c r="BW1465" s="6"/>
      <c r="BX1465" s="6"/>
      <c r="BY1465" s="6"/>
      <c r="BZ1465" s="6"/>
      <c r="CA1465" s="6"/>
      <c r="CB1465" s="6"/>
      <c r="CC1465" s="6"/>
      <c r="CD1465" s="6"/>
      <c r="CE1465" s="6"/>
      <c r="CF1465" s="6"/>
      <c r="CG1465" s="6"/>
      <c r="CH1465" s="6"/>
      <c r="CI1465" s="6"/>
      <c r="CJ1465" s="6"/>
      <c r="CK1465" s="6"/>
      <c r="CL1465" s="6"/>
      <c r="CM1465" s="6"/>
      <c r="CN1465" s="6"/>
      <c r="CO1465" s="6"/>
      <c r="CP1465" s="6"/>
      <c r="CQ1465" s="6"/>
      <c r="CR1465" s="6"/>
      <c r="CS1465" s="6"/>
      <c r="CT1465" s="6"/>
      <c r="CU1465" s="6"/>
      <c r="CV1465" s="6"/>
      <c r="CW1465" s="6"/>
      <c r="CX1465" s="6"/>
      <c r="CY1465" s="6"/>
      <c r="CZ1465" s="6"/>
      <c r="DA1465" s="6"/>
      <c r="DB1465" s="6"/>
      <c r="DC1465" s="6"/>
      <c r="DD1465" s="6"/>
    </row>
    <row r="1466" spans="1:108" ht="12.75" hidden="1" customHeight="1" outlineLevel="7">
      <c r="A1466" s="104" t="s">
        <v>117</v>
      </c>
      <c r="B1466" s="95">
        <v>10</v>
      </c>
      <c r="C1466" s="11"/>
      <c r="D1466" s="18" t="str">
        <f>"&lt;" &amp; A1466 &amp; "&gt;" &amp; TEXT(B1466,"0.000000") &amp; "&lt;/" &amp; A1466 &amp; "&gt;"</f>
        <v>&lt;Flap_Angle&gt;10.000000&lt;/Flap_Angle&gt;</v>
      </c>
      <c r="E1466" s="175"/>
      <c r="F1466" s="6" t="s">
        <v>697</v>
      </c>
      <c r="G1466" s="6"/>
      <c r="H1466" s="6"/>
      <c r="I1466" s="6"/>
      <c r="J1466" s="6"/>
      <c r="K1466" s="6"/>
      <c r="L1466" s="6"/>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c r="BU1466" s="6"/>
      <c r="BV1466" s="6"/>
      <c r="BW1466" s="6"/>
      <c r="BX1466" s="6"/>
      <c r="BY1466" s="6"/>
      <c r="BZ1466" s="6"/>
      <c r="CA1466" s="6"/>
      <c r="CB1466" s="6"/>
      <c r="CC1466" s="6"/>
      <c r="CD1466" s="6"/>
      <c r="CE1466" s="6"/>
      <c r="CF1466" s="6"/>
      <c r="CG1466" s="6"/>
      <c r="CH1466" s="6"/>
      <c r="CI1466" s="6"/>
      <c r="CJ1466" s="6"/>
      <c r="CK1466" s="6"/>
      <c r="CL1466" s="6"/>
      <c r="CM1466" s="6"/>
      <c r="CN1466" s="6"/>
      <c r="CO1466" s="6"/>
      <c r="CP1466" s="6"/>
      <c r="CQ1466" s="6"/>
      <c r="CR1466" s="6"/>
      <c r="CS1466" s="6"/>
      <c r="CT1466" s="6"/>
      <c r="CU1466" s="6"/>
      <c r="CV1466" s="6"/>
      <c r="CW1466" s="6"/>
      <c r="CX1466" s="6"/>
      <c r="CY1466" s="6"/>
      <c r="CZ1466" s="6"/>
      <c r="DA1466" s="6"/>
      <c r="DB1466" s="6"/>
      <c r="DC1466" s="6"/>
      <c r="DD1466" s="6"/>
    </row>
    <row r="1467" spans="1:108" ht="12.75" hidden="1" customHeight="1" outlineLevel="7">
      <c r="A1467" s="104" t="s">
        <v>118</v>
      </c>
      <c r="B1467" s="104"/>
      <c r="C1467" s="11"/>
      <c r="D1467" s="6" t="str">
        <f>"&lt;" &amp; A1467 &amp; "&gt;"</f>
        <v>&lt;/Airfoil&gt;</v>
      </c>
      <c r="E1467" s="175"/>
      <c r="F1467" s="6" t="s">
        <v>698</v>
      </c>
      <c r="G1467" s="6"/>
      <c r="H1467" s="6"/>
      <c r="I1467" s="6"/>
      <c r="J1467" s="6"/>
      <c r="K1467" s="6"/>
      <c r="L1467" s="6"/>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c r="BU1467" s="6"/>
      <c r="BV1467" s="6"/>
      <c r="BW1467" s="6"/>
      <c r="BX1467" s="6"/>
      <c r="BY1467" s="6"/>
      <c r="BZ1467" s="6"/>
      <c r="CA1467" s="6"/>
      <c r="CB1467" s="6"/>
      <c r="CC1467" s="6"/>
      <c r="CD1467" s="6"/>
      <c r="CE1467" s="6"/>
      <c r="CF1467" s="6"/>
      <c r="CG1467" s="6"/>
      <c r="CH1467" s="6"/>
      <c r="CI1467" s="6"/>
      <c r="CJ1467" s="6"/>
      <c r="CK1467" s="6"/>
      <c r="CL1467" s="6"/>
      <c r="CM1467" s="6"/>
      <c r="CN1467" s="6"/>
      <c r="CO1467" s="6"/>
      <c r="CP1467" s="6"/>
      <c r="CQ1467" s="6"/>
      <c r="CR1467" s="6"/>
      <c r="CS1467" s="6"/>
      <c r="CT1467" s="6"/>
      <c r="CU1467" s="6"/>
      <c r="CV1467" s="6"/>
      <c r="CW1467" s="6"/>
      <c r="CX1467" s="6"/>
      <c r="CY1467" s="6"/>
      <c r="CZ1467" s="6"/>
      <c r="DA1467" s="6"/>
      <c r="DB1467" s="6"/>
      <c r="DC1467" s="6"/>
      <c r="DD1467" s="6"/>
    </row>
    <row r="1468" spans="1:108" ht="12.75" hidden="1" customHeight="1" outlineLevel="6">
      <c r="A1468" s="104" t="s">
        <v>308</v>
      </c>
      <c r="B1468" s="104"/>
      <c r="C1468" s="11"/>
      <c r="D1468" s="6" t="str">
        <f>"&lt;" &amp; A1468 &amp; "&gt;"</f>
        <v>&lt;/Sect_Parms&gt;</v>
      </c>
      <c r="E1468" s="175"/>
      <c r="F1468" s="6" t="s">
        <v>922</v>
      </c>
      <c r="G1468" s="6"/>
      <c r="H1468" s="6"/>
      <c r="I1468" s="6"/>
      <c r="J1468" s="6"/>
      <c r="K1468" s="6"/>
      <c r="L1468" s="6"/>
      <c r="M1468" s="6"/>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c r="BU1468" s="6"/>
      <c r="BV1468" s="6"/>
      <c r="BW1468" s="6"/>
      <c r="BX1468" s="6"/>
      <c r="BY1468" s="6"/>
      <c r="BZ1468" s="6"/>
      <c r="CA1468" s="6"/>
      <c r="CB1468" s="6"/>
      <c r="CC1468" s="6"/>
      <c r="CD1468" s="6"/>
      <c r="CE1468" s="6"/>
      <c r="CF1468" s="6"/>
      <c r="CG1468" s="6"/>
      <c r="CH1468" s="6"/>
      <c r="CI1468" s="6"/>
      <c r="CJ1468" s="6"/>
      <c r="CK1468" s="6"/>
      <c r="CL1468" s="6"/>
      <c r="CM1468" s="6"/>
      <c r="CN1468" s="6"/>
      <c r="CO1468" s="6"/>
      <c r="CP1468" s="6"/>
      <c r="CQ1468" s="6"/>
      <c r="CR1468" s="6"/>
      <c r="CS1468" s="6"/>
      <c r="CT1468" s="6"/>
      <c r="CU1468" s="6"/>
      <c r="CV1468" s="6"/>
      <c r="CW1468" s="6"/>
      <c r="CX1468" s="6"/>
      <c r="CY1468" s="6"/>
      <c r="CZ1468" s="6"/>
      <c r="DA1468" s="6"/>
      <c r="DB1468" s="6"/>
      <c r="DC1468" s="6"/>
      <c r="DD1468" s="6"/>
    </row>
    <row r="1469" spans="1:108" ht="12.75" hidden="1" customHeight="1" outlineLevel="5" collapsed="1">
      <c r="A1469" s="104" t="s">
        <v>305</v>
      </c>
      <c r="B1469" s="104"/>
      <c r="C1469" s="11"/>
      <c r="D1469" s="6" t="str">
        <f>"&lt;" &amp; A1469 &amp; "&gt;"</f>
        <v>&lt;Sect_Parms&gt;</v>
      </c>
      <c r="E1469" s="175"/>
      <c r="F1469" s="6" t="s">
        <v>912</v>
      </c>
      <c r="G1469" s="6"/>
      <c r="H1469" s="6"/>
      <c r="I1469" s="6"/>
      <c r="J1469" s="6"/>
      <c r="K1469" s="6"/>
      <c r="L1469" s="6"/>
      <c r="M1469" s="6"/>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c r="BU1469" s="6"/>
      <c r="BV1469" s="6"/>
      <c r="BW1469" s="6"/>
      <c r="BX1469" s="6"/>
      <c r="BY1469" s="6"/>
      <c r="BZ1469" s="6"/>
      <c r="CA1469" s="6"/>
      <c r="CB1469" s="6"/>
      <c r="CC1469" s="6"/>
      <c r="CD1469" s="6"/>
      <c r="CE1469" s="6"/>
      <c r="CF1469" s="6"/>
      <c r="CG1469" s="6"/>
      <c r="CH1469" s="6"/>
      <c r="CI1469" s="6"/>
      <c r="CJ1469" s="6"/>
      <c r="CK1469" s="6"/>
      <c r="CL1469" s="6"/>
      <c r="CM1469" s="6"/>
      <c r="CN1469" s="6"/>
      <c r="CO1469" s="6"/>
      <c r="CP1469" s="6"/>
      <c r="CQ1469" s="6"/>
      <c r="CR1469" s="6"/>
      <c r="CS1469" s="6"/>
      <c r="CT1469" s="6"/>
      <c r="CU1469" s="6"/>
      <c r="CV1469" s="6"/>
      <c r="CW1469" s="6"/>
      <c r="CX1469" s="6"/>
      <c r="CY1469" s="6"/>
      <c r="CZ1469" s="6"/>
      <c r="DA1469" s="6"/>
      <c r="DB1469" s="6"/>
      <c r="DC1469" s="6"/>
      <c r="DD1469" s="6"/>
    </row>
    <row r="1470" spans="1:108" ht="12.75" hidden="1" customHeight="1" outlineLevel="6">
      <c r="A1470" s="104" t="s">
        <v>306</v>
      </c>
      <c r="B1470" s="95">
        <v>0.9</v>
      </c>
      <c r="C1470" s="11"/>
      <c r="D1470" s="18" t="str">
        <f>"&lt;" &amp; A1470 &amp; "&gt;" &amp; TEXT(B1470,"0.000000") &amp; "&lt;/" &amp; A1470 &amp; "&gt;"</f>
        <v>&lt;X_Off&gt;0.900000&lt;/X_Off&gt;</v>
      </c>
      <c r="E1470" s="175"/>
      <c r="F1470" s="6" t="s">
        <v>926</v>
      </c>
      <c r="G1470" s="6"/>
      <c r="H1470" s="6"/>
      <c r="I1470" s="6"/>
      <c r="J1470" s="6"/>
      <c r="K1470" s="6"/>
      <c r="L1470" s="6"/>
      <c r="M1470" s="6"/>
      <c r="N1470" s="6"/>
      <c r="O1470" s="6"/>
      <c r="P1470" s="6"/>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c r="BU1470" s="6"/>
      <c r="BV1470" s="6"/>
      <c r="BW1470" s="6"/>
      <c r="BX1470" s="6"/>
      <c r="BY1470" s="6"/>
      <c r="BZ1470" s="6"/>
      <c r="CA1470" s="6"/>
      <c r="CB1470" s="6"/>
      <c r="CC1470" s="6"/>
      <c r="CD1470" s="6"/>
      <c r="CE1470" s="6"/>
      <c r="CF1470" s="6"/>
      <c r="CG1470" s="6"/>
      <c r="CH1470" s="6"/>
      <c r="CI1470" s="6"/>
      <c r="CJ1470" s="6"/>
      <c r="CK1470" s="6"/>
      <c r="CL1470" s="6"/>
      <c r="CM1470" s="6"/>
      <c r="CN1470" s="6"/>
      <c r="CO1470" s="6"/>
      <c r="CP1470" s="6"/>
      <c r="CQ1470" s="6"/>
      <c r="CR1470" s="6"/>
      <c r="CS1470" s="6"/>
      <c r="CT1470" s="6"/>
      <c r="CU1470" s="6"/>
      <c r="CV1470" s="6"/>
      <c r="CW1470" s="6"/>
      <c r="CX1470" s="6"/>
      <c r="CY1470" s="6"/>
      <c r="CZ1470" s="6"/>
      <c r="DA1470" s="6"/>
      <c r="DB1470" s="6"/>
      <c r="DC1470" s="6"/>
      <c r="DD1470" s="6"/>
    </row>
    <row r="1471" spans="1:108" ht="12.75" hidden="1" customHeight="1" outlineLevel="6">
      <c r="A1471" s="104" t="s">
        <v>307</v>
      </c>
      <c r="B1471" s="95">
        <v>0</v>
      </c>
      <c r="C1471" s="11"/>
      <c r="D1471" s="18" t="str">
        <f>"&lt;" &amp; A1471 &amp; "&gt;" &amp; TEXT(B1471,"0.000000") &amp; "&lt;/" &amp; A1471 &amp; "&gt;"</f>
        <v>&lt;Y_Off&gt;0.000000&lt;/Y_Off&gt;</v>
      </c>
      <c r="E1471" s="175"/>
      <c r="F1471" s="6" t="s">
        <v>914</v>
      </c>
      <c r="G1471" s="6"/>
      <c r="H1471" s="6"/>
      <c r="I1471" s="6"/>
      <c r="J1471" s="6"/>
      <c r="K1471" s="6"/>
      <c r="L1471" s="6"/>
      <c r="M1471" s="6"/>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c r="BU1471" s="6"/>
      <c r="BV1471" s="6"/>
      <c r="BW1471" s="6"/>
      <c r="BX1471" s="6"/>
      <c r="BY1471" s="6"/>
      <c r="BZ1471" s="6"/>
      <c r="CA1471" s="6"/>
      <c r="CB1471" s="6"/>
      <c r="CC1471" s="6"/>
      <c r="CD1471" s="6"/>
      <c r="CE1471" s="6"/>
      <c r="CF1471" s="6"/>
      <c r="CG1471" s="6"/>
      <c r="CH1471" s="6"/>
      <c r="CI1471" s="6"/>
      <c r="CJ1471" s="6"/>
      <c r="CK1471" s="6"/>
      <c r="CL1471" s="6"/>
      <c r="CM1471" s="6"/>
      <c r="CN1471" s="6"/>
      <c r="CO1471" s="6"/>
      <c r="CP1471" s="6"/>
      <c r="CQ1471" s="6"/>
      <c r="CR1471" s="6"/>
      <c r="CS1471" s="6"/>
      <c r="CT1471" s="6"/>
      <c r="CU1471" s="6"/>
      <c r="CV1471" s="6"/>
      <c r="CW1471" s="6"/>
      <c r="CX1471" s="6"/>
      <c r="CY1471" s="6"/>
      <c r="CZ1471" s="6"/>
      <c r="DA1471" s="6"/>
      <c r="DB1471" s="6"/>
      <c r="DC1471" s="6"/>
      <c r="DD1471" s="6"/>
    </row>
    <row r="1472" spans="1:108" ht="12.75" hidden="1" customHeight="1" outlineLevel="6">
      <c r="A1472" s="104" t="s">
        <v>287</v>
      </c>
      <c r="B1472" s="95">
        <v>7.0000000000000007E-2</v>
      </c>
      <c r="C1472" s="11"/>
      <c r="D1472" s="18" t="str">
        <f>"&lt;" &amp; A1472 &amp; "&gt;" &amp; TEXT(B1472,"0.000000") &amp; "&lt;/" &amp; A1472 &amp; "&gt;"</f>
        <v>&lt;Chord&gt;0.070000&lt;/Chord&gt;</v>
      </c>
      <c r="E1472" s="175"/>
      <c r="F1472" s="6" t="s">
        <v>927</v>
      </c>
      <c r="G1472" s="6"/>
      <c r="H1472" s="6"/>
      <c r="I1472" s="6"/>
      <c r="J1472" s="6"/>
      <c r="K1472" s="6"/>
      <c r="L1472" s="6"/>
      <c r="M1472" s="6"/>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c r="BU1472" s="6"/>
      <c r="BV1472" s="6"/>
      <c r="BW1472" s="6"/>
      <c r="BX1472" s="6"/>
      <c r="BY1472" s="6"/>
      <c r="BZ1472" s="6"/>
      <c r="CA1472" s="6"/>
      <c r="CB1472" s="6"/>
      <c r="CC1472" s="6"/>
      <c r="CD1472" s="6"/>
      <c r="CE1472" s="6"/>
      <c r="CF1472" s="6"/>
      <c r="CG1472" s="6"/>
      <c r="CH1472" s="6"/>
      <c r="CI1472" s="6"/>
      <c r="CJ1472" s="6"/>
      <c r="CK1472" s="6"/>
      <c r="CL1472" s="6"/>
      <c r="CM1472" s="6"/>
      <c r="CN1472" s="6"/>
      <c r="CO1472" s="6"/>
      <c r="CP1472" s="6"/>
      <c r="CQ1472" s="6"/>
      <c r="CR1472" s="6"/>
      <c r="CS1472" s="6"/>
      <c r="CT1472" s="6"/>
      <c r="CU1472" s="6"/>
      <c r="CV1472" s="6"/>
      <c r="CW1472" s="6"/>
      <c r="CX1472" s="6"/>
      <c r="CY1472" s="6"/>
      <c r="CZ1472" s="6"/>
      <c r="DA1472" s="6"/>
      <c r="DB1472" s="6"/>
      <c r="DC1472" s="6"/>
      <c r="DD1472" s="6"/>
    </row>
    <row r="1473" spans="1:108" ht="12.75" hidden="1" customHeight="1" outlineLevel="6">
      <c r="A1473" s="104" t="s">
        <v>9</v>
      </c>
      <c r="B1473" s="95">
        <v>5</v>
      </c>
      <c r="C1473" s="11"/>
      <c r="D1473" s="18" t="str">
        <f>"&lt;" &amp; A1473 &amp; "&gt;" &amp; TEXT(B1473,"0.000000") &amp; "&lt;/" &amp; A1473 &amp; "&gt;"</f>
        <v>&lt;Twist&gt;5.000000&lt;/Twist&gt;</v>
      </c>
      <c r="E1473" s="175"/>
      <c r="F1473" s="6" t="s">
        <v>928</v>
      </c>
      <c r="G1473" s="6"/>
      <c r="H1473" s="6"/>
      <c r="I1473" s="6"/>
      <c r="J1473" s="6"/>
      <c r="K1473" s="6"/>
      <c r="L1473" s="6"/>
      <c r="M1473" s="6"/>
      <c r="N1473" s="6"/>
      <c r="O1473" s="6"/>
      <c r="P1473" s="6"/>
      <c r="Q1473" s="6"/>
      <c r="R1473" s="6"/>
      <c r="S1473" s="6"/>
      <c r="T1473" s="6"/>
      <c r="U1473" s="6"/>
      <c r="V1473" s="6"/>
      <c r="W1473" s="6"/>
      <c r="X1473" s="6"/>
      <c r="Y1473" s="6"/>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c r="BU1473" s="6"/>
      <c r="BV1473" s="6"/>
      <c r="BW1473" s="6"/>
      <c r="BX1473" s="6"/>
      <c r="BY1473" s="6"/>
      <c r="BZ1473" s="6"/>
      <c r="CA1473" s="6"/>
      <c r="CB1473" s="6"/>
      <c r="CC1473" s="6"/>
      <c r="CD1473" s="6"/>
      <c r="CE1473" s="6"/>
      <c r="CF1473" s="6"/>
      <c r="CG1473" s="6"/>
      <c r="CH1473" s="6"/>
      <c r="CI1473" s="6"/>
      <c r="CJ1473" s="6"/>
      <c r="CK1473" s="6"/>
      <c r="CL1473" s="6"/>
      <c r="CM1473" s="6"/>
      <c r="CN1473" s="6"/>
      <c r="CO1473" s="6"/>
      <c r="CP1473" s="6"/>
      <c r="CQ1473" s="6"/>
      <c r="CR1473" s="6"/>
      <c r="CS1473" s="6"/>
      <c r="CT1473" s="6"/>
      <c r="CU1473" s="6"/>
      <c r="CV1473" s="6"/>
      <c r="CW1473" s="6"/>
      <c r="CX1473" s="6"/>
      <c r="CY1473" s="6"/>
      <c r="CZ1473" s="6"/>
      <c r="DA1473" s="6"/>
      <c r="DB1473" s="6"/>
      <c r="DC1473" s="6"/>
      <c r="DD1473" s="6"/>
    </row>
    <row r="1474" spans="1:108" ht="12.75" hidden="1" customHeight="1" outlineLevel="6" collapsed="1">
      <c r="A1474" s="104" t="s">
        <v>2</v>
      </c>
      <c r="B1474" s="104"/>
      <c r="C1474" s="11"/>
      <c r="D1474" s="6" t="str">
        <f>"&lt;" &amp; A1474 &amp; "&gt;"</f>
        <v>&lt;Airfoil&gt;</v>
      </c>
      <c r="E1474" s="175"/>
      <c r="F1474" s="6" t="s">
        <v>678</v>
      </c>
      <c r="G1474" s="6"/>
      <c r="H1474" s="6"/>
      <c r="I1474" s="6"/>
      <c r="J1474" s="6"/>
      <c r="K1474" s="6"/>
      <c r="L1474" s="6"/>
      <c r="M1474" s="6"/>
      <c r="N1474" s="6"/>
      <c r="O1474" s="6"/>
      <c r="P1474" s="6"/>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c r="BU1474" s="6"/>
      <c r="BV1474" s="6"/>
      <c r="BW1474" s="6"/>
      <c r="BX1474" s="6"/>
      <c r="BY1474" s="6"/>
      <c r="BZ1474" s="6"/>
      <c r="CA1474" s="6"/>
      <c r="CB1474" s="6"/>
      <c r="CC1474" s="6"/>
      <c r="CD1474" s="6"/>
      <c r="CE1474" s="6"/>
      <c r="CF1474" s="6"/>
      <c r="CG1474" s="6"/>
      <c r="CH1474" s="6"/>
      <c r="CI1474" s="6"/>
      <c r="CJ1474" s="6"/>
      <c r="CK1474" s="6"/>
      <c r="CL1474" s="6"/>
      <c r="CM1474" s="6"/>
      <c r="CN1474" s="6"/>
      <c r="CO1474" s="6"/>
      <c r="CP1474" s="6"/>
      <c r="CQ1474" s="6"/>
      <c r="CR1474" s="6"/>
      <c r="CS1474" s="6"/>
      <c r="CT1474" s="6"/>
      <c r="CU1474" s="6"/>
      <c r="CV1474" s="6"/>
      <c r="CW1474" s="6"/>
      <c r="CX1474" s="6"/>
      <c r="CY1474" s="6"/>
      <c r="CZ1474" s="6"/>
      <c r="DA1474" s="6"/>
      <c r="DB1474" s="6"/>
      <c r="DC1474" s="6"/>
      <c r="DD1474" s="6"/>
    </row>
    <row r="1475" spans="1:108" ht="12.75" hidden="1" customHeight="1" outlineLevel="7">
      <c r="A1475" s="104" t="s">
        <v>14</v>
      </c>
      <c r="B1475" s="95">
        <v>1</v>
      </c>
      <c r="C1475" s="11"/>
      <c r="D1475" s="18" t="str">
        <f>"&lt;" &amp; A1475 &amp; "&gt;" &amp; TEXT(B1475,0) &amp; "&lt;/" &amp; A1475 &amp; "&gt;"</f>
        <v>&lt;Type&gt;1&lt;/Type&gt;</v>
      </c>
      <c r="E1475" s="175"/>
      <c r="F1475" s="6" t="s">
        <v>679</v>
      </c>
      <c r="G1475" s="6"/>
      <c r="H1475" s="6"/>
      <c r="I1475" s="6"/>
      <c r="J1475" s="6"/>
      <c r="K1475" s="6"/>
      <c r="L1475" s="6"/>
      <c r="M1475" s="6"/>
      <c r="N1475" s="6"/>
      <c r="O1475" s="6"/>
      <c r="P1475" s="6"/>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c r="BU1475" s="6"/>
      <c r="BV1475" s="6"/>
      <c r="BW1475" s="6"/>
      <c r="BX1475" s="6"/>
      <c r="BY1475" s="6"/>
      <c r="BZ1475" s="6"/>
      <c r="CA1475" s="6"/>
      <c r="CB1475" s="6"/>
      <c r="CC1475" s="6"/>
      <c r="CD1475" s="6"/>
      <c r="CE1475" s="6"/>
      <c r="CF1475" s="6"/>
      <c r="CG1475" s="6"/>
      <c r="CH1475" s="6"/>
      <c r="CI1475" s="6"/>
      <c r="CJ1475" s="6"/>
      <c r="CK1475" s="6"/>
      <c r="CL1475" s="6"/>
      <c r="CM1475" s="6"/>
      <c r="CN1475" s="6"/>
      <c r="CO1475" s="6"/>
      <c r="CP1475" s="6"/>
      <c r="CQ1475" s="6"/>
      <c r="CR1475" s="6"/>
      <c r="CS1475" s="6"/>
      <c r="CT1475" s="6"/>
      <c r="CU1475" s="6"/>
      <c r="CV1475" s="6"/>
      <c r="CW1475" s="6"/>
      <c r="CX1475" s="6"/>
      <c r="CY1475" s="6"/>
      <c r="CZ1475" s="6"/>
      <c r="DA1475" s="6"/>
      <c r="DB1475" s="6"/>
      <c r="DC1475" s="6"/>
      <c r="DD1475" s="6"/>
    </row>
    <row r="1476" spans="1:108" ht="12.75" hidden="1" customHeight="1" outlineLevel="7">
      <c r="A1476" s="104" t="s">
        <v>102</v>
      </c>
      <c r="B1476" s="95">
        <v>0</v>
      </c>
      <c r="C1476" s="11"/>
      <c r="D1476" s="18" t="str">
        <f>"&lt;" &amp; A1476 &amp; "&gt;" &amp; TEXT(B1476,0) &amp; "&lt;/" &amp; A1476 &amp; "&gt;"</f>
        <v>&lt;Inverted_Flag&gt;0&lt;/Inverted_Flag&gt;</v>
      </c>
      <c r="E1476" s="175"/>
      <c r="F1476" s="6" t="s">
        <v>680</v>
      </c>
      <c r="G1476" s="6"/>
      <c r="H1476" s="6"/>
      <c r="I1476" s="6"/>
      <c r="J1476" s="6"/>
      <c r="K1476" s="6"/>
      <c r="L1476" s="6"/>
      <c r="M1476" s="6"/>
      <c r="N1476" s="6"/>
      <c r="O1476" s="6"/>
      <c r="P1476" s="6"/>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c r="BU1476" s="6"/>
      <c r="BV1476" s="6"/>
      <c r="BW1476" s="6"/>
      <c r="BX1476" s="6"/>
      <c r="BY1476" s="6"/>
      <c r="BZ1476" s="6"/>
      <c r="CA1476" s="6"/>
      <c r="CB1476" s="6"/>
      <c r="CC1476" s="6"/>
      <c r="CD1476" s="6"/>
      <c r="CE1476" s="6"/>
      <c r="CF1476" s="6"/>
      <c r="CG1476" s="6"/>
      <c r="CH1476" s="6"/>
      <c r="CI1476" s="6"/>
      <c r="CJ1476" s="6"/>
      <c r="CK1476" s="6"/>
      <c r="CL1476" s="6"/>
      <c r="CM1476" s="6"/>
      <c r="CN1476" s="6"/>
      <c r="CO1476" s="6"/>
      <c r="CP1476" s="6"/>
      <c r="CQ1476" s="6"/>
      <c r="CR1476" s="6"/>
      <c r="CS1476" s="6"/>
      <c r="CT1476" s="6"/>
      <c r="CU1476" s="6"/>
      <c r="CV1476" s="6"/>
      <c r="CW1476" s="6"/>
      <c r="CX1476" s="6"/>
      <c r="CY1476" s="6"/>
      <c r="CZ1476" s="6"/>
      <c r="DA1476" s="6"/>
      <c r="DB1476" s="6"/>
      <c r="DC1476" s="6"/>
      <c r="DD1476" s="6"/>
    </row>
    <row r="1477" spans="1:108" ht="12.75" hidden="1" customHeight="1" outlineLevel="7">
      <c r="A1477" s="104" t="s">
        <v>4</v>
      </c>
      <c r="B1477" s="95">
        <v>0</v>
      </c>
      <c r="C1477" s="11"/>
      <c r="D1477" s="18" t="str">
        <f t="shared" ref="D1477:D1482" si="81">"&lt;" &amp; A1477 &amp; "&gt;" &amp; TEXT(B1477,"0.000000") &amp; "&lt;/" &amp; A1477 &amp; "&gt;"</f>
        <v>&lt;Camber&gt;0.000000&lt;/Camber&gt;</v>
      </c>
      <c r="E1477" s="175"/>
      <c r="F1477" s="6" t="s">
        <v>681</v>
      </c>
      <c r="G1477" s="6"/>
      <c r="H1477" s="6"/>
      <c r="I1477" s="6"/>
      <c r="J1477" s="6"/>
      <c r="K1477" s="6"/>
      <c r="L1477" s="6"/>
      <c r="M1477" s="6"/>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c r="BU1477" s="6"/>
      <c r="BV1477" s="6"/>
      <c r="BW1477" s="6"/>
      <c r="BX1477" s="6"/>
      <c r="BY1477" s="6"/>
      <c r="BZ1477" s="6"/>
      <c r="CA1477" s="6"/>
      <c r="CB1477" s="6"/>
      <c r="CC1477" s="6"/>
      <c r="CD1477" s="6"/>
      <c r="CE1477" s="6"/>
      <c r="CF1477" s="6"/>
      <c r="CG1477" s="6"/>
      <c r="CH1477" s="6"/>
      <c r="CI1477" s="6"/>
      <c r="CJ1477" s="6"/>
      <c r="CK1477" s="6"/>
      <c r="CL1477" s="6"/>
      <c r="CM1477" s="6"/>
      <c r="CN1477" s="6"/>
      <c r="CO1477" s="6"/>
      <c r="CP1477" s="6"/>
      <c r="CQ1477" s="6"/>
      <c r="CR1477" s="6"/>
      <c r="CS1477" s="6"/>
      <c r="CT1477" s="6"/>
      <c r="CU1477" s="6"/>
      <c r="CV1477" s="6"/>
      <c r="CW1477" s="6"/>
      <c r="CX1477" s="6"/>
      <c r="CY1477" s="6"/>
      <c r="CZ1477" s="6"/>
      <c r="DA1477" s="6"/>
      <c r="DB1477" s="6"/>
      <c r="DC1477" s="6"/>
      <c r="DD1477" s="6"/>
    </row>
    <row r="1478" spans="1:108" ht="12.75" hidden="1" customHeight="1" outlineLevel="7">
      <c r="A1478" s="104" t="s">
        <v>103</v>
      </c>
      <c r="B1478" s="95">
        <v>0.5</v>
      </c>
      <c r="C1478" s="11"/>
      <c r="D1478" s="18" t="str">
        <f t="shared" si="81"/>
        <v>&lt;Camber_Loc&gt;0.500000&lt;/Camber_Loc&gt;</v>
      </c>
      <c r="E1478" s="175"/>
      <c r="F1478" s="6" t="s">
        <v>917</v>
      </c>
      <c r="G1478" s="6"/>
      <c r="H1478" s="6"/>
      <c r="I1478" s="6"/>
      <c r="J1478" s="6"/>
      <c r="K1478" s="6"/>
      <c r="L1478" s="6"/>
      <c r="M1478" s="6"/>
      <c r="N1478" s="6"/>
      <c r="O1478" s="6"/>
      <c r="P1478" s="6"/>
      <c r="Q1478" s="6"/>
      <c r="R1478" s="6"/>
      <c r="S1478" s="6"/>
      <c r="T1478" s="6"/>
      <c r="U1478" s="6"/>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c r="BU1478" s="6"/>
      <c r="BV1478" s="6"/>
      <c r="BW1478" s="6"/>
      <c r="BX1478" s="6"/>
      <c r="BY1478" s="6"/>
      <c r="BZ1478" s="6"/>
      <c r="CA1478" s="6"/>
      <c r="CB1478" s="6"/>
      <c r="CC1478" s="6"/>
      <c r="CD1478" s="6"/>
      <c r="CE1478" s="6"/>
      <c r="CF1478" s="6"/>
      <c r="CG1478" s="6"/>
      <c r="CH1478" s="6"/>
      <c r="CI1478" s="6"/>
      <c r="CJ1478" s="6"/>
      <c r="CK1478" s="6"/>
      <c r="CL1478" s="6"/>
      <c r="CM1478" s="6"/>
      <c r="CN1478" s="6"/>
      <c r="CO1478" s="6"/>
      <c r="CP1478" s="6"/>
      <c r="CQ1478" s="6"/>
      <c r="CR1478" s="6"/>
      <c r="CS1478" s="6"/>
      <c r="CT1478" s="6"/>
      <c r="CU1478" s="6"/>
      <c r="CV1478" s="6"/>
      <c r="CW1478" s="6"/>
      <c r="CX1478" s="6"/>
      <c r="CY1478" s="6"/>
      <c r="CZ1478" s="6"/>
      <c r="DA1478" s="6"/>
      <c r="DB1478" s="6"/>
      <c r="DC1478" s="6"/>
      <c r="DD1478" s="6"/>
    </row>
    <row r="1479" spans="1:108" ht="12.75" hidden="1" customHeight="1" outlineLevel="7">
      <c r="A1479" s="104" t="s">
        <v>5</v>
      </c>
      <c r="B1479" s="95">
        <v>0.2</v>
      </c>
      <c r="C1479" s="11"/>
      <c r="D1479" s="18" t="str">
        <f t="shared" si="81"/>
        <v>&lt;Thickness&gt;0.200000&lt;/Thickness&gt;</v>
      </c>
      <c r="E1479" s="175"/>
      <c r="F1479" s="6" t="s">
        <v>918</v>
      </c>
      <c r="G1479" s="6"/>
      <c r="H1479" s="6"/>
      <c r="I1479" s="6"/>
      <c r="J1479" s="6"/>
      <c r="K1479" s="6"/>
      <c r="L1479" s="6"/>
      <c r="M1479" s="6"/>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c r="BU1479" s="6"/>
      <c r="BV1479" s="6"/>
      <c r="BW1479" s="6"/>
      <c r="BX1479" s="6"/>
      <c r="BY1479" s="6"/>
      <c r="BZ1479" s="6"/>
      <c r="CA1479" s="6"/>
      <c r="CB1479" s="6"/>
      <c r="CC1479" s="6"/>
      <c r="CD1479" s="6"/>
      <c r="CE1479" s="6"/>
      <c r="CF1479" s="6"/>
      <c r="CG1479" s="6"/>
      <c r="CH1479" s="6"/>
      <c r="CI1479" s="6"/>
      <c r="CJ1479" s="6"/>
      <c r="CK1479" s="6"/>
      <c r="CL1479" s="6"/>
      <c r="CM1479" s="6"/>
      <c r="CN1479" s="6"/>
      <c r="CO1479" s="6"/>
      <c r="CP1479" s="6"/>
      <c r="CQ1479" s="6"/>
      <c r="CR1479" s="6"/>
      <c r="CS1479" s="6"/>
      <c r="CT1479" s="6"/>
      <c r="CU1479" s="6"/>
      <c r="CV1479" s="6"/>
      <c r="CW1479" s="6"/>
      <c r="CX1479" s="6"/>
      <c r="CY1479" s="6"/>
      <c r="CZ1479" s="6"/>
      <c r="DA1479" s="6"/>
      <c r="DB1479" s="6"/>
      <c r="DC1479" s="6"/>
      <c r="DD1479" s="6"/>
    </row>
    <row r="1480" spans="1:108" ht="12.75" hidden="1" customHeight="1" outlineLevel="7">
      <c r="A1480" s="104" t="s">
        <v>104</v>
      </c>
      <c r="B1480" s="95">
        <v>0.3</v>
      </c>
      <c r="C1480" s="11"/>
      <c r="D1480" s="18" t="str">
        <f t="shared" si="81"/>
        <v>&lt;Thickness_Loc&gt;0.300000&lt;/Thickness_Loc&gt;</v>
      </c>
      <c r="E1480" s="175"/>
      <c r="F1480" s="6" t="s">
        <v>684</v>
      </c>
      <c r="G1480" s="6"/>
      <c r="H1480" s="6"/>
      <c r="I1480" s="6"/>
      <c r="J1480" s="6"/>
      <c r="K1480" s="6"/>
      <c r="L1480" s="6"/>
      <c r="M1480" s="6"/>
      <c r="N1480" s="6"/>
      <c r="O1480" s="6"/>
      <c r="P1480" s="6"/>
      <c r="Q1480" s="6"/>
      <c r="R1480" s="6"/>
      <c r="S1480" s="6"/>
      <c r="T1480" s="6"/>
      <c r="U1480" s="6"/>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c r="BU1480" s="6"/>
      <c r="BV1480" s="6"/>
      <c r="BW1480" s="6"/>
      <c r="BX1480" s="6"/>
      <c r="BY1480" s="6"/>
      <c r="BZ1480" s="6"/>
      <c r="CA1480" s="6"/>
      <c r="CB1480" s="6"/>
      <c r="CC1480" s="6"/>
      <c r="CD1480" s="6"/>
      <c r="CE1480" s="6"/>
      <c r="CF1480" s="6"/>
      <c r="CG1480" s="6"/>
      <c r="CH1480" s="6"/>
      <c r="CI1480" s="6"/>
      <c r="CJ1480" s="6"/>
      <c r="CK1480" s="6"/>
      <c r="CL1480" s="6"/>
      <c r="CM1480" s="6"/>
      <c r="CN1480" s="6"/>
      <c r="CO1480" s="6"/>
      <c r="CP1480" s="6"/>
      <c r="CQ1480" s="6"/>
      <c r="CR1480" s="6"/>
      <c r="CS1480" s="6"/>
      <c r="CT1480" s="6"/>
      <c r="CU1480" s="6"/>
      <c r="CV1480" s="6"/>
      <c r="CW1480" s="6"/>
      <c r="CX1480" s="6"/>
      <c r="CY1480" s="6"/>
      <c r="CZ1480" s="6"/>
      <c r="DA1480" s="6"/>
      <c r="DB1480" s="6"/>
      <c r="DC1480" s="6"/>
      <c r="DD1480" s="6"/>
    </row>
    <row r="1481" spans="1:108" ht="12.75" hidden="1" customHeight="1" outlineLevel="7">
      <c r="A1481" s="104" t="s">
        <v>105</v>
      </c>
      <c r="B1481" s="95">
        <v>4.4075999999999997E-2</v>
      </c>
      <c r="C1481" s="11"/>
      <c r="D1481" s="18" t="str">
        <f t="shared" si="81"/>
        <v>&lt;Radius_Le&gt;0.044076&lt;/Radius_Le&gt;</v>
      </c>
      <c r="E1481" s="175"/>
      <c r="F1481" s="6" t="s">
        <v>919</v>
      </c>
      <c r="G1481" s="6"/>
      <c r="H1481" s="6"/>
      <c r="I1481" s="6"/>
      <c r="J1481" s="6"/>
      <c r="K1481" s="6"/>
      <c r="L1481" s="6"/>
      <c r="M1481" s="6"/>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c r="BU1481" s="6"/>
      <c r="BV1481" s="6"/>
      <c r="BW1481" s="6"/>
      <c r="BX1481" s="6"/>
      <c r="BY1481" s="6"/>
      <c r="BZ1481" s="6"/>
      <c r="CA1481" s="6"/>
      <c r="CB1481" s="6"/>
      <c r="CC1481" s="6"/>
      <c r="CD1481" s="6"/>
      <c r="CE1481" s="6"/>
      <c r="CF1481" s="6"/>
      <c r="CG1481" s="6"/>
      <c r="CH1481" s="6"/>
      <c r="CI1481" s="6"/>
      <c r="CJ1481" s="6"/>
      <c r="CK1481" s="6"/>
      <c r="CL1481" s="6"/>
      <c r="CM1481" s="6"/>
      <c r="CN1481" s="6"/>
      <c r="CO1481" s="6"/>
      <c r="CP1481" s="6"/>
      <c r="CQ1481" s="6"/>
      <c r="CR1481" s="6"/>
      <c r="CS1481" s="6"/>
      <c r="CT1481" s="6"/>
      <c r="CU1481" s="6"/>
      <c r="CV1481" s="6"/>
      <c r="CW1481" s="6"/>
      <c r="CX1481" s="6"/>
      <c r="CY1481" s="6"/>
      <c r="CZ1481" s="6"/>
      <c r="DA1481" s="6"/>
      <c r="DB1481" s="6"/>
      <c r="DC1481" s="6"/>
      <c r="DD1481" s="6"/>
    </row>
    <row r="1482" spans="1:108" ht="12.75" hidden="1" customHeight="1" outlineLevel="7">
      <c r="A1482" s="104" t="s">
        <v>106</v>
      </c>
      <c r="B1482" s="95">
        <v>0</v>
      </c>
      <c r="C1482" s="11"/>
      <c r="D1482" s="18" t="str">
        <f t="shared" si="81"/>
        <v>&lt;Radius_Te&gt;0.000000&lt;/Radius_Te&gt;</v>
      </c>
      <c r="E1482" s="175"/>
      <c r="F1482" s="6" t="s">
        <v>686</v>
      </c>
      <c r="G1482" s="6"/>
      <c r="H1482" s="6"/>
      <c r="I1482" s="6"/>
      <c r="J1482" s="6"/>
      <c r="K1482" s="6"/>
      <c r="L1482" s="6"/>
      <c r="M1482" s="6"/>
      <c r="N1482" s="6"/>
      <c r="O1482" s="6"/>
      <c r="P1482" s="6"/>
      <c r="Q1482" s="6"/>
      <c r="R1482" s="6"/>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c r="BU1482" s="6"/>
      <c r="BV1482" s="6"/>
      <c r="BW1482" s="6"/>
      <c r="BX1482" s="6"/>
      <c r="BY1482" s="6"/>
      <c r="BZ1482" s="6"/>
      <c r="CA1482" s="6"/>
      <c r="CB1482" s="6"/>
      <c r="CC1482" s="6"/>
      <c r="CD1482" s="6"/>
      <c r="CE1482" s="6"/>
      <c r="CF1482" s="6"/>
      <c r="CG1482" s="6"/>
      <c r="CH1482" s="6"/>
      <c r="CI1482" s="6"/>
      <c r="CJ1482" s="6"/>
      <c r="CK1482" s="6"/>
      <c r="CL1482" s="6"/>
      <c r="CM1482" s="6"/>
      <c r="CN1482" s="6"/>
      <c r="CO1482" s="6"/>
      <c r="CP1482" s="6"/>
      <c r="CQ1482" s="6"/>
      <c r="CR1482" s="6"/>
      <c r="CS1482" s="6"/>
      <c r="CT1482" s="6"/>
      <c r="CU1482" s="6"/>
      <c r="CV1482" s="6"/>
      <c r="CW1482" s="6"/>
      <c r="CX1482" s="6"/>
      <c r="CY1482" s="6"/>
      <c r="CZ1482" s="6"/>
      <c r="DA1482" s="6"/>
      <c r="DB1482" s="6"/>
      <c r="DC1482" s="6"/>
      <c r="DD1482" s="6"/>
    </row>
    <row r="1483" spans="1:108" ht="12.75" hidden="1" customHeight="1" outlineLevel="7">
      <c r="A1483" s="104" t="s">
        <v>107</v>
      </c>
      <c r="B1483" s="95">
        <v>63</v>
      </c>
      <c r="C1483" s="11"/>
      <c r="D1483" s="18" t="str">
        <f>"&lt;" &amp; A1483 &amp; "&gt;" &amp; TEXT(B1483,0) &amp; "&lt;/" &amp; A1483 &amp; "&gt;"</f>
        <v>&lt;Six_Series&gt;63&lt;/Six_Series&gt;</v>
      </c>
      <c r="E1483" s="175"/>
      <c r="F1483" s="6" t="s">
        <v>687</v>
      </c>
      <c r="G1483" s="6"/>
      <c r="H1483" s="6"/>
      <c r="I1483" s="6"/>
      <c r="J1483" s="6"/>
      <c r="K1483" s="6"/>
      <c r="L1483" s="6"/>
      <c r="M1483" s="6"/>
      <c r="N1483" s="6"/>
      <c r="O1483" s="6"/>
      <c r="P1483" s="6"/>
      <c r="Q1483" s="6"/>
      <c r="R1483" s="6"/>
      <c r="S1483" s="6"/>
      <c r="T1483" s="6"/>
      <c r="U1483" s="6"/>
      <c r="V1483" s="6"/>
      <c r="W1483" s="6"/>
      <c r="X1483" s="6"/>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c r="BU1483" s="6"/>
      <c r="BV1483" s="6"/>
      <c r="BW1483" s="6"/>
      <c r="BX1483" s="6"/>
      <c r="BY1483" s="6"/>
      <c r="BZ1483" s="6"/>
      <c r="CA1483" s="6"/>
      <c r="CB1483" s="6"/>
      <c r="CC1483" s="6"/>
      <c r="CD1483" s="6"/>
      <c r="CE1483" s="6"/>
      <c r="CF1483" s="6"/>
      <c r="CG1483" s="6"/>
      <c r="CH1483" s="6"/>
      <c r="CI1483" s="6"/>
      <c r="CJ1483" s="6"/>
      <c r="CK1483" s="6"/>
      <c r="CL1483" s="6"/>
      <c r="CM1483" s="6"/>
      <c r="CN1483" s="6"/>
      <c r="CO1483" s="6"/>
      <c r="CP1483" s="6"/>
      <c r="CQ1483" s="6"/>
      <c r="CR1483" s="6"/>
      <c r="CS1483" s="6"/>
      <c r="CT1483" s="6"/>
      <c r="CU1483" s="6"/>
      <c r="CV1483" s="6"/>
      <c r="CW1483" s="6"/>
      <c r="CX1483" s="6"/>
      <c r="CY1483" s="6"/>
      <c r="CZ1483" s="6"/>
      <c r="DA1483" s="6"/>
      <c r="DB1483" s="6"/>
      <c r="DC1483" s="6"/>
      <c r="DD1483" s="6"/>
    </row>
    <row r="1484" spans="1:108" ht="12.75" hidden="1" customHeight="1" outlineLevel="7">
      <c r="A1484" s="104" t="s">
        <v>108</v>
      </c>
      <c r="B1484" s="95">
        <v>0</v>
      </c>
      <c r="C1484" s="11"/>
      <c r="D1484" s="18" t="str">
        <f>"&lt;" &amp; A1484 &amp; "&gt;" &amp; TEXT(B1484,"0.000000") &amp; "&lt;/" &amp; A1484 &amp; "&gt;"</f>
        <v>&lt;Ideal_Cl&gt;0.000000&lt;/Ideal_Cl&gt;</v>
      </c>
      <c r="E1484" s="175"/>
      <c r="F1484" s="6" t="s">
        <v>688</v>
      </c>
      <c r="G1484" s="6"/>
      <c r="H1484" s="6"/>
      <c r="I1484" s="6"/>
      <c r="J1484" s="6"/>
      <c r="K1484" s="6"/>
      <c r="L1484" s="6"/>
      <c r="M1484" s="6"/>
      <c r="N1484" s="6"/>
      <c r="O1484" s="6"/>
      <c r="P1484" s="6"/>
      <c r="Q1484" s="6"/>
      <c r="R1484" s="6"/>
      <c r="S1484" s="6"/>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c r="BU1484" s="6"/>
      <c r="BV1484" s="6"/>
      <c r="BW1484" s="6"/>
      <c r="BX1484" s="6"/>
      <c r="BY1484" s="6"/>
      <c r="BZ1484" s="6"/>
      <c r="CA1484" s="6"/>
      <c r="CB1484" s="6"/>
      <c r="CC1484" s="6"/>
      <c r="CD1484" s="6"/>
      <c r="CE1484" s="6"/>
      <c r="CF1484" s="6"/>
      <c r="CG1484" s="6"/>
      <c r="CH1484" s="6"/>
      <c r="CI1484" s="6"/>
      <c r="CJ1484" s="6"/>
      <c r="CK1484" s="6"/>
      <c r="CL1484" s="6"/>
      <c r="CM1484" s="6"/>
      <c r="CN1484" s="6"/>
      <c r="CO1484" s="6"/>
      <c r="CP1484" s="6"/>
      <c r="CQ1484" s="6"/>
      <c r="CR1484" s="6"/>
      <c r="CS1484" s="6"/>
      <c r="CT1484" s="6"/>
      <c r="CU1484" s="6"/>
      <c r="CV1484" s="6"/>
      <c r="CW1484" s="6"/>
      <c r="CX1484" s="6"/>
      <c r="CY1484" s="6"/>
      <c r="CZ1484" s="6"/>
      <c r="DA1484" s="6"/>
      <c r="DB1484" s="6"/>
      <c r="DC1484" s="6"/>
      <c r="DD1484" s="6"/>
    </row>
    <row r="1485" spans="1:108" ht="12.75" hidden="1" customHeight="1" outlineLevel="7">
      <c r="A1485" s="104" t="s">
        <v>109</v>
      </c>
      <c r="B1485" s="95">
        <v>0</v>
      </c>
      <c r="C1485" s="11"/>
      <c r="D1485" s="18" t="str">
        <f>"&lt;" &amp; A1485 &amp; "&gt;" &amp; TEXT(B1485,"0.000000") &amp; "&lt;/" &amp; A1485 &amp; "&gt;"</f>
        <v>&lt;A&gt;0.000000&lt;/A&gt;</v>
      </c>
      <c r="E1485" s="175"/>
      <c r="F1485" s="6" t="s">
        <v>689</v>
      </c>
      <c r="G1485" s="6"/>
      <c r="H1485" s="6"/>
      <c r="I1485" s="6"/>
      <c r="J1485" s="6"/>
      <c r="K1485" s="6"/>
      <c r="L1485" s="6"/>
      <c r="M1485" s="6"/>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c r="BU1485" s="6"/>
      <c r="BV1485" s="6"/>
      <c r="BW1485" s="6"/>
      <c r="BX1485" s="6"/>
      <c r="BY1485" s="6"/>
      <c r="BZ1485" s="6"/>
      <c r="CA1485" s="6"/>
      <c r="CB1485" s="6"/>
      <c r="CC1485" s="6"/>
      <c r="CD1485" s="6"/>
      <c r="CE1485" s="6"/>
      <c r="CF1485" s="6"/>
      <c r="CG1485" s="6"/>
      <c r="CH1485" s="6"/>
      <c r="CI1485" s="6"/>
      <c r="CJ1485" s="6"/>
      <c r="CK1485" s="6"/>
      <c r="CL1485" s="6"/>
      <c r="CM1485" s="6"/>
      <c r="CN1485" s="6"/>
      <c r="CO1485" s="6"/>
      <c r="CP1485" s="6"/>
      <c r="CQ1485" s="6"/>
      <c r="CR1485" s="6"/>
      <c r="CS1485" s="6"/>
      <c r="CT1485" s="6"/>
      <c r="CU1485" s="6"/>
      <c r="CV1485" s="6"/>
      <c r="CW1485" s="6"/>
      <c r="CX1485" s="6"/>
      <c r="CY1485" s="6"/>
      <c r="CZ1485" s="6"/>
      <c r="DA1485" s="6"/>
      <c r="DB1485" s="6"/>
      <c r="DC1485" s="6"/>
      <c r="DD1485" s="6"/>
    </row>
    <row r="1486" spans="1:108" ht="12.75" hidden="1" customHeight="1" outlineLevel="7">
      <c r="A1486" s="104" t="s">
        <v>110</v>
      </c>
      <c r="B1486" s="95">
        <v>0</v>
      </c>
      <c r="C1486" s="11"/>
      <c r="D1486" s="18" t="str">
        <f>"&lt;" &amp; A1486 &amp; "&gt;" &amp; TEXT(B1486,0) &amp; "&lt;/" &amp; A1486 &amp; "&gt;"</f>
        <v>&lt;Slat_Flag&gt;0&lt;/Slat_Flag&gt;</v>
      </c>
      <c r="E1486" s="175"/>
      <c r="F1486" s="6" t="s">
        <v>690</v>
      </c>
      <c r="G1486" s="6"/>
      <c r="H1486" s="6"/>
      <c r="I1486" s="6"/>
      <c r="J1486" s="6"/>
      <c r="K1486" s="6"/>
      <c r="L1486" s="6"/>
      <c r="M1486" s="6"/>
      <c r="N1486" s="6"/>
      <c r="O1486" s="6"/>
      <c r="P1486" s="6"/>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c r="BU1486" s="6"/>
      <c r="BV1486" s="6"/>
      <c r="BW1486" s="6"/>
      <c r="BX1486" s="6"/>
      <c r="BY1486" s="6"/>
      <c r="BZ1486" s="6"/>
      <c r="CA1486" s="6"/>
      <c r="CB1486" s="6"/>
      <c r="CC1486" s="6"/>
      <c r="CD1486" s="6"/>
      <c r="CE1486" s="6"/>
      <c r="CF1486" s="6"/>
      <c r="CG1486" s="6"/>
      <c r="CH1486" s="6"/>
      <c r="CI1486" s="6"/>
      <c r="CJ1486" s="6"/>
      <c r="CK1486" s="6"/>
      <c r="CL1486" s="6"/>
      <c r="CM1486" s="6"/>
      <c r="CN1486" s="6"/>
      <c r="CO1486" s="6"/>
      <c r="CP1486" s="6"/>
      <c r="CQ1486" s="6"/>
      <c r="CR1486" s="6"/>
      <c r="CS1486" s="6"/>
      <c r="CT1486" s="6"/>
      <c r="CU1486" s="6"/>
      <c r="CV1486" s="6"/>
      <c r="CW1486" s="6"/>
      <c r="CX1486" s="6"/>
      <c r="CY1486" s="6"/>
      <c r="CZ1486" s="6"/>
      <c r="DA1486" s="6"/>
      <c r="DB1486" s="6"/>
      <c r="DC1486" s="6"/>
      <c r="DD1486" s="6"/>
    </row>
    <row r="1487" spans="1:108" ht="12.75" hidden="1" customHeight="1" outlineLevel="7">
      <c r="A1487" s="104" t="s">
        <v>111</v>
      </c>
      <c r="B1487" s="95">
        <v>0</v>
      </c>
      <c r="C1487" s="11"/>
      <c r="D1487" s="18" t="str">
        <f>"&lt;" &amp; A1487 &amp; "&gt;" &amp; TEXT(B1487,0) &amp; "&lt;/" &amp; A1487 &amp; "&gt;"</f>
        <v>&lt;Slat_Shear_Flag&gt;0&lt;/Slat_Shear_Flag&gt;</v>
      </c>
      <c r="E1487" s="175"/>
      <c r="F1487" s="6" t="s">
        <v>691</v>
      </c>
      <c r="G1487" s="6"/>
      <c r="H1487" s="6"/>
      <c r="I1487" s="6"/>
      <c r="J1487" s="6"/>
      <c r="K1487" s="6"/>
      <c r="L1487" s="6"/>
      <c r="M1487" s="6"/>
      <c r="N1487" s="6"/>
      <c r="O1487" s="6"/>
      <c r="P1487" s="6"/>
      <c r="Q1487" s="6"/>
      <c r="R1487" s="6"/>
      <c r="S1487" s="6"/>
      <c r="T1487" s="6"/>
      <c r="U1487" s="6"/>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c r="BU1487" s="6"/>
      <c r="BV1487" s="6"/>
      <c r="BW1487" s="6"/>
      <c r="BX1487" s="6"/>
      <c r="BY1487" s="6"/>
      <c r="BZ1487" s="6"/>
      <c r="CA1487" s="6"/>
      <c r="CB1487" s="6"/>
      <c r="CC1487" s="6"/>
      <c r="CD1487" s="6"/>
      <c r="CE1487" s="6"/>
      <c r="CF1487" s="6"/>
      <c r="CG1487" s="6"/>
      <c r="CH1487" s="6"/>
      <c r="CI1487" s="6"/>
      <c r="CJ1487" s="6"/>
      <c r="CK1487" s="6"/>
      <c r="CL1487" s="6"/>
      <c r="CM1487" s="6"/>
      <c r="CN1487" s="6"/>
      <c r="CO1487" s="6"/>
      <c r="CP1487" s="6"/>
      <c r="CQ1487" s="6"/>
      <c r="CR1487" s="6"/>
      <c r="CS1487" s="6"/>
      <c r="CT1487" s="6"/>
      <c r="CU1487" s="6"/>
      <c r="CV1487" s="6"/>
      <c r="CW1487" s="6"/>
      <c r="CX1487" s="6"/>
      <c r="CY1487" s="6"/>
      <c r="CZ1487" s="6"/>
      <c r="DA1487" s="6"/>
      <c r="DB1487" s="6"/>
      <c r="DC1487" s="6"/>
      <c r="DD1487" s="6"/>
    </row>
    <row r="1488" spans="1:108" ht="12.75" hidden="1" customHeight="1" outlineLevel="7">
      <c r="A1488" s="104" t="s">
        <v>112</v>
      </c>
      <c r="B1488" s="95">
        <v>0.25</v>
      </c>
      <c r="C1488" s="11"/>
      <c r="D1488" s="18" t="str">
        <f>"&lt;" &amp; A1488 &amp; "&gt;" &amp; TEXT(B1488,"0.000000") &amp; "&lt;/" &amp; A1488 &amp; "&gt;"</f>
        <v>&lt;Slat_Chord&gt;0.250000&lt;/Slat_Chord&gt;</v>
      </c>
      <c r="E1488" s="175"/>
      <c r="F1488" s="6" t="s">
        <v>692</v>
      </c>
      <c r="G1488" s="6"/>
      <c r="H1488" s="6"/>
      <c r="I1488" s="6"/>
      <c r="J1488" s="6"/>
      <c r="K1488" s="6"/>
      <c r="L1488" s="6"/>
      <c r="M1488" s="6"/>
      <c r="N1488" s="6"/>
      <c r="O1488" s="6"/>
      <c r="P1488" s="6"/>
      <c r="Q1488" s="6"/>
      <c r="R1488" s="6"/>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c r="BU1488" s="6"/>
      <c r="BV1488" s="6"/>
      <c r="BW1488" s="6"/>
      <c r="BX1488" s="6"/>
      <c r="BY1488" s="6"/>
      <c r="BZ1488" s="6"/>
      <c r="CA1488" s="6"/>
      <c r="CB1488" s="6"/>
      <c r="CC1488" s="6"/>
      <c r="CD1488" s="6"/>
      <c r="CE1488" s="6"/>
      <c r="CF1488" s="6"/>
      <c r="CG1488" s="6"/>
      <c r="CH1488" s="6"/>
      <c r="CI1488" s="6"/>
      <c r="CJ1488" s="6"/>
      <c r="CK1488" s="6"/>
      <c r="CL1488" s="6"/>
      <c r="CM1488" s="6"/>
      <c r="CN1488" s="6"/>
      <c r="CO1488" s="6"/>
      <c r="CP1488" s="6"/>
      <c r="CQ1488" s="6"/>
      <c r="CR1488" s="6"/>
      <c r="CS1488" s="6"/>
      <c r="CT1488" s="6"/>
      <c r="CU1488" s="6"/>
      <c r="CV1488" s="6"/>
      <c r="CW1488" s="6"/>
      <c r="CX1488" s="6"/>
      <c r="CY1488" s="6"/>
      <c r="CZ1488" s="6"/>
      <c r="DA1488" s="6"/>
      <c r="DB1488" s="6"/>
      <c r="DC1488" s="6"/>
      <c r="DD1488" s="6"/>
    </row>
    <row r="1489" spans="1:108" ht="12.75" hidden="1" customHeight="1" outlineLevel="7">
      <c r="A1489" s="104" t="s">
        <v>113</v>
      </c>
      <c r="B1489" s="95">
        <v>10</v>
      </c>
      <c r="C1489" s="11"/>
      <c r="D1489" s="18" t="str">
        <f>"&lt;" &amp; A1489 &amp; "&gt;" &amp; TEXT(B1489,"0.000000") &amp; "&lt;/" &amp; A1489 &amp; "&gt;"</f>
        <v>&lt;Slat_Angle&gt;10.000000&lt;/Slat_Angle&gt;</v>
      </c>
      <c r="E1489" s="175"/>
      <c r="F1489" s="6" t="s">
        <v>693</v>
      </c>
      <c r="G1489" s="6"/>
      <c r="H1489" s="6"/>
      <c r="I1489" s="6"/>
      <c r="J1489" s="6"/>
      <c r="K1489" s="6"/>
      <c r="L1489" s="6"/>
      <c r="M1489" s="6"/>
      <c r="N1489" s="6"/>
      <c r="O1489" s="6"/>
      <c r="P1489" s="6"/>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c r="BU1489" s="6"/>
      <c r="BV1489" s="6"/>
      <c r="BW1489" s="6"/>
      <c r="BX1489" s="6"/>
      <c r="BY1489" s="6"/>
      <c r="BZ1489" s="6"/>
      <c r="CA1489" s="6"/>
      <c r="CB1489" s="6"/>
      <c r="CC1489" s="6"/>
      <c r="CD1489" s="6"/>
      <c r="CE1489" s="6"/>
      <c r="CF1489" s="6"/>
      <c r="CG1489" s="6"/>
      <c r="CH1489" s="6"/>
      <c r="CI1489" s="6"/>
      <c r="CJ1489" s="6"/>
      <c r="CK1489" s="6"/>
      <c r="CL1489" s="6"/>
      <c r="CM1489" s="6"/>
      <c r="CN1489" s="6"/>
      <c r="CO1489" s="6"/>
      <c r="CP1489" s="6"/>
      <c r="CQ1489" s="6"/>
      <c r="CR1489" s="6"/>
      <c r="CS1489" s="6"/>
      <c r="CT1489" s="6"/>
      <c r="CU1489" s="6"/>
      <c r="CV1489" s="6"/>
      <c r="CW1489" s="6"/>
      <c r="CX1489" s="6"/>
      <c r="CY1489" s="6"/>
      <c r="CZ1489" s="6"/>
      <c r="DA1489" s="6"/>
      <c r="DB1489" s="6"/>
      <c r="DC1489" s="6"/>
      <c r="DD1489" s="6"/>
    </row>
    <row r="1490" spans="1:108" ht="12.75" hidden="1" customHeight="1" outlineLevel="7">
      <c r="A1490" s="104" t="s">
        <v>114</v>
      </c>
      <c r="B1490" s="95">
        <v>0</v>
      </c>
      <c r="C1490" s="11"/>
      <c r="D1490" s="18" t="str">
        <f>"&lt;" &amp; A1490 &amp; "&gt;" &amp; TEXT(B1490,0) &amp; "&lt;/" &amp; A1490 &amp; "&gt;"</f>
        <v>&lt;Flap_Flag&gt;0&lt;/Flap_Flag&gt;</v>
      </c>
      <c r="E1490" s="175"/>
      <c r="F1490" s="6" t="s">
        <v>920</v>
      </c>
      <c r="G1490" s="6"/>
      <c r="H1490" s="6"/>
      <c r="I1490" s="6"/>
      <c r="J1490" s="6"/>
      <c r="K1490" s="6"/>
      <c r="L1490" s="6"/>
      <c r="M1490" s="6"/>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c r="BU1490" s="6"/>
      <c r="BV1490" s="6"/>
      <c r="BW1490" s="6"/>
      <c r="BX1490" s="6"/>
      <c r="BY1490" s="6"/>
      <c r="BZ1490" s="6"/>
      <c r="CA1490" s="6"/>
      <c r="CB1490" s="6"/>
      <c r="CC1490" s="6"/>
      <c r="CD1490" s="6"/>
      <c r="CE1490" s="6"/>
      <c r="CF1490" s="6"/>
      <c r="CG1490" s="6"/>
      <c r="CH1490" s="6"/>
      <c r="CI1490" s="6"/>
      <c r="CJ1490" s="6"/>
      <c r="CK1490" s="6"/>
      <c r="CL1490" s="6"/>
      <c r="CM1490" s="6"/>
      <c r="CN1490" s="6"/>
      <c r="CO1490" s="6"/>
      <c r="CP1490" s="6"/>
      <c r="CQ1490" s="6"/>
      <c r="CR1490" s="6"/>
      <c r="CS1490" s="6"/>
      <c r="CT1490" s="6"/>
      <c r="CU1490" s="6"/>
      <c r="CV1490" s="6"/>
      <c r="CW1490" s="6"/>
      <c r="CX1490" s="6"/>
      <c r="CY1490" s="6"/>
      <c r="CZ1490" s="6"/>
      <c r="DA1490" s="6"/>
      <c r="DB1490" s="6"/>
      <c r="DC1490" s="6"/>
      <c r="DD1490" s="6"/>
    </row>
    <row r="1491" spans="1:108" ht="12.75" hidden="1" customHeight="1" outlineLevel="7">
      <c r="A1491" s="104" t="s">
        <v>115</v>
      </c>
      <c r="B1491" s="95">
        <v>0</v>
      </c>
      <c r="C1491" s="11"/>
      <c r="D1491" s="18" t="str">
        <f>"&lt;" &amp; A1491 &amp; "&gt;" &amp; TEXT(B1491,0) &amp; "&lt;/" &amp; A1491 &amp; "&gt;"</f>
        <v>&lt;Flap_Shear_Flag&gt;0&lt;/Flap_Shear_Flag&gt;</v>
      </c>
      <c r="E1491" s="175"/>
      <c r="F1491" s="6" t="s">
        <v>695</v>
      </c>
      <c r="G1491" s="6"/>
      <c r="H1491" s="6"/>
      <c r="I1491" s="6"/>
      <c r="J1491" s="6"/>
      <c r="K1491" s="134"/>
      <c r="L1491" s="6"/>
      <c r="M1491" s="6"/>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c r="BU1491" s="6"/>
      <c r="BV1491" s="6"/>
      <c r="BW1491" s="6"/>
      <c r="BX1491" s="6"/>
      <c r="BY1491" s="6"/>
      <c r="BZ1491" s="6"/>
      <c r="CA1491" s="6"/>
      <c r="CB1491" s="6"/>
      <c r="CC1491" s="6"/>
      <c r="CD1491" s="6"/>
      <c r="CE1491" s="6"/>
      <c r="CF1491" s="6"/>
      <c r="CG1491" s="6"/>
      <c r="CH1491" s="6"/>
      <c r="CI1491" s="6"/>
      <c r="CJ1491" s="6"/>
      <c r="CK1491" s="6"/>
      <c r="CL1491" s="6"/>
      <c r="CM1491" s="6"/>
      <c r="CN1491" s="6"/>
      <c r="CO1491" s="6"/>
      <c r="CP1491" s="6"/>
      <c r="CQ1491" s="6"/>
      <c r="CR1491" s="6"/>
      <c r="CS1491" s="6"/>
      <c r="CT1491" s="6"/>
      <c r="CU1491" s="6"/>
      <c r="CV1491" s="6"/>
      <c r="CW1491" s="6"/>
      <c r="CX1491" s="6"/>
      <c r="CY1491" s="6"/>
      <c r="CZ1491" s="6"/>
      <c r="DA1491" s="6"/>
      <c r="DB1491" s="6"/>
      <c r="DC1491" s="6"/>
      <c r="DD1491" s="6"/>
    </row>
    <row r="1492" spans="1:108" ht="12.75" hidden="1" customHeight="1" outlineLevel="7">
      <c r="A1492" s="104" t="s">
        <v>116</v>
      </c>
      <c r="B1492" s="95">
        <v>0.25</v>
      </c>
      <c r="C1492" s="11"/>
      <c r="D1492" s="18" t="str">
        <f>"&lt;" &amp; A1492 &amp; "&gt;" &amp; TEXT(B1492,"0.000000") &amp; "&lt;/" &amp; A1492 &amp; "&gt;"</f>
        <v>&lt;Flap_Chord&gt;0.250000&lt;/Flap_Chord&gt;</v>
      </c>
      <c r="E1492" s="175"/>
      <c r="F1492" s="6" t="s">
        <v>921</v>
      </c>
      <c r="G1492" s="6"/>
      <c r="H1492" s="6"/>
      <c r="I1492" s="6"/>
      <c r="J1492" s="6"/>
      <c r="K1492" s="134"/>
      <c r="L1492" s="6"/>
      <c r="M1492" s="6"/>
      <c r="N1492" s="6"/>
      <c r="O1492" s="6"/>
      <c r="P1492" s="6"/>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c r="BU1492" s="6"/>
      <c r="BV1492" s="6"/>
      <c r="BW1492" s="6"/>
      <c r="BX1492" s="6"/>
      <c r="BY1492" s="6"/>
      <c r="BZ1492" s="6"/>
      <c r="CA1492" s="6"/>
      <c r="CB1492" s="6"/>
      <c r="CC1492" s="6"/>
      <c r="CD1492" s="6"/>
      <c r="CE1492" s="6"/>
      <c r="CF1492" s="6"/>
      <c r="CG1492" s="6"/>
      <c r="CH1492" s="6"/>
      <c r="CI1492" s="6"/>
      <c r="CJ1492" s="6"/>
      <c r="CK1492" s="6"/>
      <c r="CL1492" s="6"/>
      <c r="CM1492" s="6"/>
      <c r="CN1492" s="6"/>
      <c r="CO1492" s="6"/>
      <c r="CP1492" s="6"/>
      <c r="CQ1492" s="6"/>
      <c r="CR1492" s="6"/>
      <c r="CS1492" s="6"/>
      <c r="CT1492" s="6"/>
      <c r="CU1492" s="6"/>
      <c r="CV1492" s="6"/>
      <c r="CW1492" s="6"/>
      <c r="CX1492" s="6"/>
      <c r="CY1492" s="6"/>
      <c r="CZ1492" s="6"/>
      <c r="DA1492" s="6"/>
      <c r="DB1492" s="6"/>
      <c r="DC1492" s="6"/>
      <c r="DD1492" s="6"/>
    </row>
    <row r="1493" spans="1:108" ht="12.75" hidden="1" customHeight="1" outlineLevel="7">
      <c r="A1493" s="104" t="s">
        <v>117</v>
      </c>
      <c r="B1493" s="95">
        <v>10</v>
      </c>
      <c r="C1493" s="11"/>
      <c r="D1493" s="18" t="str">
        <f>"&lt;" &amp; A1493 &amp; "&gt;" &amp; TEXT(B1493,"0.000000") &amp; "&lt;/" &amp; A1493 &amp; "&gt;"</f>
        <v>&lt;Flap_Angle&gt;10.000000&lt;/Flap_Angle&gt;</v>
      </c>
      <c r="E1493" s="175"/>
      <c r="F1493" s="6" t="s">
        <v>697</v>
      </c>
      <c r="G1493" s="6"/>
      <c r="H1493" s="6"/>
      <c r="I1493" s="6"/>
      <c r="J1493" s="6"/>
      <c r="K1493" s="134"/>
      <c r="L1493" s="6"/>
      <c r="M1493" s="6"/>
      <c r="N1493" s="6"/>
      <c r="O1493" s="6"/>
      <c r="P1493" s="6"/>
      <c r="Q1493" s="6"/>
      <c r="R1493" s="6"/>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c r="BU1493" s="6"/>
      <c r="BV1493" s="6"/>
      <c r="BW1493" s="6"/>
      <c r="BX1493" s="6"/>
      <c r="BY1493" s="6"/>
      <c r="BZ1493" s="6"/>
      <c r="CA1493" s="6"/>
      <c r="CB1493" s="6"/>
      <c r="CC1493" s="6"/>
      <c r="CD1493" s="6"/>
      <c r="CE1493" s="6"/>
      <c r="CF1493" s="6"/>
      <c r="CG1493" s="6"/>
      <c r="CH1493" s="6"/>
      <c r="CI1493" s="6"/>
      <c r="CJ1493" s="6"/>
      <c r="CK1493" s="6"/>
      <c r="CL1493" s="6"/>
      <c r="CM1493" s="6"/>
      <c r="CN1493" s="6"/>
      <c r="CO1493" s="6"/>
      <c r="CP1493" s="6"/>
      <c r="CQ1493" s="6"/>
      <c r="CR1493" s="6"/>
      <c r="CS1493" s="6"/>
      <c r="CT1493" s="6"/>
      <c r="CU1493" s="6"/>
      <c r="CV1493" s="6"/>
      <c r="CW1493" s="6"/>
      <c r="CX1493" s="6"/>
      <c r="CY1493" s="6"/>
      <c r="CZ1493" s="6"/>
      <c r="DA1493" s="6"/>
      <c r="DB1493" s="6"/>
      <c r="DC1493" s="6"/>
      <c r="DD1493" s="6"/>
    </row>
    <row r="1494" spans="1:108" ht="12.75" hidden="1" customHeight="1" outlineLevel="7">
      <c r="A1494" s="104" t="s">
        <v>118</v>
      </c>
      <c r="B1494" s="104"/>
      <c r="C1494" s="11"/>
      <c r="D1494" s="6" t="str">
        <f>"&lt;" &amp; A1494 &amp; "&gt;"</f>
        <v>&lt;/Airfoil&gt;</v>
      </c>
      <c r="E1494" s="175"/>
      <c r="F1494" s="6" t="s">
        <v>698</v>
      </c>
      <c r="G1494" s="6"/>
      <c r="H1494" s="6"/>
      <c r="I1494" s="6"/>
      <c r="J1494" s="6"/>
      <c r="K1494" s="134"/>
      <c r="L1494" s="6"/>
      <c r="M1494" s="6"/>
      <c r="N1494" s="6"/>
      <c r="O1494" s="6"/>
      <c r="P1494" s="6"/>
      <c r="Q1494" s="6"/>
      <c r="R1494" s="6"/>
      <c r="S1494" s="6"/>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c r="BU1494" s="6"/>
      <c r="BV1494" s="6"/>
      <c r="BW1494" s="6"/>
      <c r="BX1494" s="6"/>
      <c r="BY1494" s="6"/>
      <c r="BZ1494" s="6"/>
      <c r="CA1494" s="6"/>
      <c r="CB1494" s="6"/>
      <c r="CC1494" s="6"/>
      <c r="CD1494" s="6"/>
      <c r="CE1494" s="6"/>
      <c r="CF1494" s="6"/>
      <c r="CG1494" s="6"/>
      <c r="CH1494" s="6"/>
      <c r="CI1494" s="6"/>
      <c r="CJ1494" s="6"/>
      <c r="CK1494" s="6"/>
      <c r="CL1494" s="6"/>
      <c r="CM1494" s="6"/>
      <c r="CN1494" s="6"/>
      <c r="CO1494" s="6"/>
      <c r="CP1494" s="6"/>
      <c r="CQ1494" s="6"/>
      <c r="CR1494" s="6"/>
      <c r="CS1494" s="6"/>
      <c r="CT1494" s="6"/>
      <c r="CU1494" s="6"/>
      <c r="CV1494" s="6"/>
      <c r="CW1494" s="6"/>
      <c r="CX1494" s="6"/>
      <c r="CY1494" s="6"/>
      <c r="CZ1494" s="6"/>
      <c r="DA1494" s="6"/>
      <c r="DB1494" s="6"/>
      <c r="DC1494" s="6"/>
      <c r="DD1494" s="6"/>
    </row>
    <row r="1495" spans="1:108" ht="12.75" hidden="1" customHeight="1" outlineLevel="6">
      <c r="A1495" s="104" t="s">
        <v>308</v>
      </c>
      <c r="B1495" s="104"/>
      <c r="C1495" s="11"/>
      <c r="D1495" s="6" t="str">
        <f>"&lt;" &amp; A1495 &amp; "&gt;"</f>
        <v>&lt;/Sect_Parms&gt;</v>
      </c>
      <c r="E1495" s="175"/>
      <c r="F1495" s="6" t="s">
        <v>922</v>
      </c>
      <c r="G1495" s="6"/>
      <c r="H1495" s="6"/>
      <c r="I1495" s="6"/>
      <c r="J1495" s="6"/>
      <c r="K1495" s="134"/>
      <c r="L1495" s="6"/>
      <c r="M1495" s="6"/>
      <c r="N1495" s="6"/>
      <c r="O1495" s="6"/>
      <c r="P1495" s="6"/>
      <c r="Q1495" s="6"/>
      <c r="R1495" s="6"/>
      <c r="S1495" s="6"/>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c r="BU1495" s="6"/>
      <c r="BV1495" s="6"/>
      <c r="BW1495" s="6"/>
      <c r="BX1495" s="6"/>
      <c r="BY1495" s="6"/>
      <c r="BZ1495" s="6"/>
      <c r="CA1495" s="6"/>
      <c r="CB1495" s="6"/>
      <c r="CC1495" s="6"/>
      <c r="CD1495" s="6"/>
      <c r="CE1495" s="6"/>
      <c r="CF1495" s="6"/>
      <c r="CG1495" s="6"/>
      <c r="CH1495" s="6"/>
      <c r="CI1495" s="6"/>
      <c r="CJ1495" s="6"/>
      <c r="CK1495" s="6"/>
      <c r="CL1495" s="6"/>
      <c r="CM1495" s="6"/>
      <c r="CN1495" s="6"/>
      <c r="CO1495" s="6"/>
      <c r="CP1495" s="6"/>
      <c r="CQ1495" s="6"/>
      <c r="CR1495" s="6"/>
      <c r="CS1495" s="6"/>
      <c r="CT1495" s="6"/>
      <c r="CU1495" s="6"/>
      <c r="CV1495" s="6"/>
      <c r="CW1495" s="6"/>
      <c r="CX1495" s="6"/>
      <c r="CY1495" s="6"/>
      <c r="CZ1495" s="6"/>
      <c r="DA1495" s="6"/>
      <c r="DB1495" s="6"/>
      <c r="DC1495" s="6"/>
      <c r="DD1495" s="6"/>
    </row>
    <row r="1496" spans="1:108" ht="12.75" hidden="1" customHeight="1" outlineLevel="5" collapsed="1">
      <c r="A1496" s="104" t="s">
        <v>305</v>
      </c>
      <c r="B1496" s="104"/>
      <c r="C1496" s="11"/>
      <c r="D1496" s="6" t="str">
        <f>"&lt;" &amp; A1496 &amp; "&gt;"</f>
        <v>&lt;Sect_Parms&gt;</v>
      </c>
      <c r="E1496" s="175"/>
      <c r="F1496" s="6" t="s">
        <v>912</v>
      </c>
      <c r="G1496" s="6"/>
      <c r="H1496" s="6"/>
      <c r="I1496" s="6"/>
      <c r="J1496" s="6"/>
      <c r="K1496" s="134"/>
      <c r="L1496" s="6"/>
      <c r="M1496" s="6"/>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c r="BU1496" s="6"/>
      <c r="BV1496" s="6"/>
      <c r="BW1496" s="6"/>
      <c r="BX1496" s="6"/>
      <c r="BY1496" s="6"/>
      <c r="BZ1496" s="6"/>
      <c r="CA1496" s="6"/>
      <c r="CB1496" s="6"/>
      <c r="CC1496" s="6"/>
      <c r="CD1496" s="6"/>
      <c r="CE1496" s="6"/>
      <c r="CF1496" s="6"/>
      <c r="CG1496" s="6"/>
      <c r="CH1496" s="6"/>
      <c r="CI1496" s="6"/>
      <c r="CJ1496" s="6"/>
      <c r="CK1496" s="6"/>
      <c r="CL1496" s="6"/>
      <c r="CM1496" s="6"/>
      <c r="CN1496" s="6"/>
      <c r="CO1496" s="6"/>
      <c r="CP1496" s="6"/>
      <c r="CQ1496" s="6"/>
      <c r="CR1496" s="6"/>
      <c r="CS1496" s="6"/>
      <c r="CT1496" s="6"/>
      <c r="CU1496" s="6"/>
      <c r="CV1496" s="6"/>
      <c r="CW1496" s="6"/>
      <c r="CX1496" s="6"/>
      <c r="CY1496" s="6"/>
      <c r="CZ1496" s="6"/>
      <c r="DA1496" s="6"/>
      <c r="DB1496" s="6"/>
      <c r="DC1496" s="6"/>
      <c r="DD1496" s="6"/>
    </row>
    <row r="1497" spans="1:108" ht="12.75" hidden="1" customHeight="1" outlineLevel="6">
      <c r="A1497" s="104" t="s">
        <v>306</v>
      </c>
      <c r="B1497" s="95">
        <v>1</v>
      </c>
      <c r="C1497" s="11"/>
      <c r="D1497" s="18" t="str">
        <f>"&lt;" &amp; A1497 &amp; "&gt;" &amp; TEXT(B1497,"0.000000") &amp; "&lt;/" &amp; A1497 &amp; "&gt;"</f>
        <v>&lt;X_Off&gt;1.000000&lt;/X_Off&gt;</v>
      </c>
      <c r="E1497" s="175"/>
      <c r="F1497" s="6" t="s">
        <v>929</v>
      </c>
      <c r="G1497" s="6"/>
      <c r="H1497" s="6"/>
      <c r="I1497" s="6"/>
      <c r="J1497" s="6"/>
      <c r="K1497" s="134"/>
      <c r="L1497" s="6"/>
      <c r="M1497" s="6"/>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c r="BU1497" s="6"/>
      <c r="BV1497" s="6"/>
      <c r="BW1497" s="6"/>
      <c r="BX1497" s="6"/>
      <c r="BY1497" s="6"/>
      <c r="BZ1497" s="6"/>
      <c r="CA1497" s="6"/>
      <c r="CB1497" s="6"/>
      <c r="CC1497" s="6"/>
      <c r="CD1497" s="6"/>
      <c r="CE1497" s="6"/>
      <c r="CF1497" s="6"/>
      <c r="CG1497" s="6"/>
      <c r="CH1497" s="6"/>
      <c r="CI1497" s="6"/>
      <c r="CJ1497" s="6"/>
      <c r="CK1497" s="6"/>
      <c r="CL1497" s="6"/>
      <c r="CM1497" s="6"/>
      <c r="CN1497" s="6"/>
      <c r="CO1497" s="6"/>
      <c r="CP1497" s="6"/>
      <c r="CQ1497" s="6"/>
      <c r="CR1497" s="6"/>
      <c r="CS1497" s="6"/>
      <c r="CT1497" s="6"/>
      <c r="CU1497" s="6"/>
      <c r="CV1497" s="6"/>
      <c r="CW1497" s="6"/>
      <c r="CX1497" s="6"/>
      <c r="CY1497" s="6"/>
      <c r="CZ1497" s="6"/>
      <c r="DA1497" s="6"/>
      <c r="DB1497" s="6"/>
      <c r="DC1497" s="6"/>
      <c r="DD1497" s="6"/>
    </row>
    <row r="1498" spans="1:108" ht="12.75" hidden="1" customHeight="1" outlineLevel="6">
      <c r="A1498" s="104" t="s">
        <v>307</v>
      </c>
      <c r="B1498" s="95">
        <v>0</v>
      </c>
      <c r="C1498" s="11"/>
      <c r="D1498" s="18" t="str">
        <f>"&lt;" &amp; A1498 &amp; "&gt;" &amp; TEXT(B1498,"0.000000") &amp; "&lt;/" &amp; A1498 &amp; "&gt;"</f>
        <v>&lt;Y_Off&gt;0.000000&lt;/Y_Off&gt;</v>
      </c>
      <c r="E1498" s="175"/>
      <c r="F1498" s="6" t="s">
        <v>914</v>
      </c>
      <c r="G1498" s="6"/>
      <c r="H1498" s="6"/>
      <c r="I1498" s="6"/>
      <c r="J1498" s="6"/>
      <c r="K1498" s="134"/>
      <c r="L1498" s="6"/>
      <c r="M1498" s="6"/>
      <c r="N1498" s="6"/>
      <c r="O1498" s="6"/>
      <c r="P1498" s="6"/>
      <c r="Q1498" s="6"/>
      <c r="R1498" s="6"/>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c r="BU1498" s="6"/>
      <c r="BV1498" s="6"/>
      <c r="BW1498" s="6"/>
      <c r="BX1498" s="6"/>
      <c r="BY1498" s="6"/>
      <c r="BZ1498" s="6"/>
      <c r="CA1498" s="6"/>
      <c r="CB1498" s="6"/>
      <c r="CC1498" s="6"/>
      <c r="CD1498" s="6"/>
      <c r="CE1498" s="6"/>
      <c r="CF1498" s="6"/>
      <c r="CG1498" s="6"/>
      <c r="CH1498" s="6"/>
      <c r="CI1498" s="6"/>
      <c r="CJ1498" s="6"/>
      <c r="CK1498" s="6"/>
      <c r="CL1498" s="6"/>
      <c r="CM1498" s="6"/>
      <c r="CN1498" s="6"/>
      <c r="CO1498" s="6"/>
      <c r="CP1498" s="6"/>
      <c r="CQ1498" s="6"/>
      <c r="CR1498" s="6"/>
      <c r="CS1498" s="6"/>
      <c r="CT1498" s="6"/>
      <c r="CU1498" s="6"/>
      <c r="CV1498" s="6"/>
      <c r="CW1498" s="6"/>
      <c r="CX1498" s="6"/>
      <c r="CY1498" s="6"/>
      <c r="CZ1498" s="6"/>
      <c r="DA1498" s="6"/>
      <c r="DB1498" s="6"/>
      <c r="DC1498" s="6"/>
      <c r="DD1498" s="6"/>
    </row>
    <row r="1499" spans="1:108" ht="12.75" hidden="1" customHeight="1" outlineLevel="6">
      <c r="A1499" s="104" t="s">
        <v>287</v>
      </c>
      <c r="B1499" s="95">
        <v>0.02</v>
      </c>
      <c r="C1499" s="11"/>
      <c r="D1499" s="18" t="str">
        <f>"&lt;" &amp; A1499 &amp; "&gt;" &amp; TEXT(B1499,"0.000000") &amp; "&lt;/" &amp; A1499 &amp; "&gt;"</f>
        <v>&lt;Chord&gt;0.020000&lt;/Chord&gt;</v>
      </c>
      <c r="E1499" s="175"/>
      <c r="F1499" s="6" t="s">
        <v>930</v>
      </c>
      <c r="G1499" s="6"/>
      <c r="H1499" s="6"/>
      <c r="I1499" s="6"/>
      <c r="J1499" s="6"/>
      <c r="K1499" s="134"/>
      <c r="L1499" s="6"/>
      <c r="M1499" s="6"/>
      <c r="N1499" s="6"/>
      <c r="O1499" s="6"/>
      <c r="P1499" s="6"/>
      <c r="Q1499" s="6"/>
      <c r="R1499" s="6"/>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c r="BU1499" s="6"/>
      <c r="BV1499" s="6"/>
      <c r="BW1499" s="6"/>
      <c r="BX1499" s="6"/>
      <c r="BY1499" s="6"/>
      <c r="BZ1499" s="6"/>
      <c r="CA1499" s="6"/>
      <c r="CB1499" s="6"/>
      <c r="CC1499" s="6"/>
      <c r="CD1499" s="6"/>
      <c r="CE1499" s="6"/>
      <c r="CF1499" s="6"/>
      <c r="CG1499" s="6"/>
      <c r="CH1499" s="6"/>
      <c r="CI1499" s="6"/>
      <c r="CJ1499" s="6"/>
      <c r="CK1499" s="6"/>
      <c r="CL1499" s="6"/>
      <c r="CM1499" s="6"/>
      <c r="CN1499" s="6"/>
      <c r="CO1499" s="6"/>
      <c r="CP1499" s="6"/>
      <c r="CQ1499" s="6"/>
      <c r="CR1499" s="6"/>
      <c r="CS1499" s="6"/>
      <c r="CT1499" s="6"/>
      <c r="CU1499" s="6"/>
      <c r="CV1499" s="6"/>
      <c r="CW1499" s="6"/>
      <c r="CX1499" s="6"/>
      <c r="CY1499" s="6"/>
      <c r="CZ1499" s="6"/>
      <c r="DA1499" s="6"/>
      <c r="DB1499" s="6"/>
      <c r="DC1499" s="6"/>
      <c r="DD1499" s="6"/>
    </row>
    <row r="1500" spans="1:108" ht="12.75" hidden="1" customHeight="1" outlineLevel="6">
      <c r="A1500" s="104" t="s">
        <v>9</v>
      </c>
      <c r="B1500" s="95">
        <v>2</v>
      </c>
      <c r="C1500" s="11"/>
      <c r="D1500" s="18" t="str">
        <f>"&lt;" &amp; A1500 &amp; "&gt;" &amp; TEXT(B1500,"0.000000") &amp; "&lt;/" &amp; A1500 &amp; "&gt;"</f>
        <v>&lt;Twist&gt;2.000000&lt;/Twist&gt;</v>
      </c>
      <c r="E1500" s="175"/>
      <c r="F1500" s="6" t="s">
        <v>931</v>
      </c>
      <c r="G1500" s="6"/>
      <c r="H1500" s="6"/>
      <c r="I1500" s="6"/>
      <c r="J1500" s="6"/>
      <c r="K1500" s="134"/>
      <c r="L1500" s="6"/>
      <c r="M1500" s="6"/>
      <c r="N1500" s="6"/>
      <c r="O1500" s="6"/>
      <c r="P1500" s="6"/>
      <c r="Q1500" s="6"/>
      <c r="R1500" s="6"/>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c r="BU1500" s="6"/>
      <c r="BV1500" s="6"/>
      <c r="BW1500" s="6"/>
      <c r="BX1500" s="6"/>
      <c r="BY1500" s="6"/>
      <c r="BZ1500" s="6"/>
      <c r="CA1500" s="6"/>
      <c r="CB1500" s="6"/>
      <c r="CC1500" s="6"/>
      <c r="CD1500" s="6"/>
      <c r="CE1500" s="6"/>
      <c r="CF1500" s="6"/>
      <c r="CG1500" s="6"/>
      <c r="CH1500" s="6"/>
      <c r="CI1500" s="6"/>
      <c r="CJ1500" s="6"/>
      <c r="CK1500" s="6"/>
      <c r="CL1500" s="6"/>
      <c r="CM1500" s="6"/>
      <c r="CN1500" s="6"/>
      <c r="CO1500" s="6"/>
      <c r="CP1500" s="6"/>
      <c r="CQ1500" s="6"/>
      <c r="CR1500" s="6"/>
      <c r="CS1500" s="6"/>
      <c r="CT1500" s="6"/>
      <c r="CU1500" s="6"/>
      <c r="CV1500" s="6"/>
      <c r="CW1500" s="6"/>
      <c r="CX1500" s="6"/>
      <c r="CY1500" s="6"/>
      <c r="CZ1500" s="6"/>
      <c r="DA1500" s="6"/>
      <c r="DB1500" s="6"/>
      <c r="DC1500" s="6"/>
      <c r="DD1500" s="6"/>
    </row>
    <row r="1501" spans="1:108" ht="12.75" hidden="1" customHeight="1" outlineLevel="6" collapsed="1">
      <c r="A1501" s="104" t="s">
        <v>2</v>
      </c>
      <c r="B1501" s="104"/>
      <c r="C1501" s="11"/>
      <c r="D1501" s="6" t="str">
        <f>"&lt;" &amp; A1501 &amp; "&gt;"</f>
        <v>&lt;Airfoil&gt;</v>
      </c>
      <c r="E1501" s="175"/>
      <c r="F1501" s="6" t="s">
        <v>678</v>
      </c>
      <c r="G1501" s="6"/>
      <c r="H1501" s="6"/>
      <c r="I1501" s="6"/>
      <c r="J1501" s="6"/>
      <c r="K1501" s="134"/>
      <c r="L1501" s="6"/>
      <c r="M1501" s="6"/>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c r="BU1501" s="6"/>
      <c r="BV1501" s="6"/>
      <c r="BW1501" s="6"/>
      <c r="BX1501" s="6"/>
      <c r="BY1501" s="6"/>
      <c r="BZ1501" s="6"/>
      <c r="CA1501" s="6"/>
      <c r="CB1501" s="6"/>
      <c r="CC1501" s="6"/>
      <c r="CD1501" s="6"/>
      <c r="CE1501" s="6"/>
      <c r="CF1501" s="6"/>
      <c r="CG1501" s="6"/>
      <c r="CH1501" s="6"/>
      <c r="CI1501" s="6"/>
      <c r="CJ1501" s="6"/>
      <c r="CK1501" s="6"/>
      <c r="CL1501" s="6"/>
      <c r="CM1501" s="6"/>
      <c r="CN1501" s="6"/>
      <c r="CO1501" s="6"/>
      <c r="CP1501" s="6"/>
      <c r="CQ1501" s="6"/>
      <c r="CR1501" s="6"/>
      <c r="CS1501" s="6"/>
      <c r="CT1501" s="6"/>
      <c r="CU1501" s="6"/>
      <c r="CV1501" s="6"/>
      <c r="CW1501" s="6"/>
      <c r="CX1501" s="6"/>
      <c r="CY1501" s="6"/>
      <c r="CZ1501" s="6"/>
      <c r="DA1501" s="6"/>
      <c r="DB1501" s="6"/>
      <c r="DC1501" s="6"/>
      <c r="DD1501" s="6"/>
    </row>
    <row r="1502" spans="1:108" ht="12.75" hidden="1" customHeight="1" outlineLevel="7">
      <c r="A1502" s="104" t="s">
        <v>14</v>
      </c>
      <c r="B1502" s="95">
        <v>1</v>
      </c>
      <c r="C1502" s="11"/>
      <c r="D1502" s="18" t="str">
        <f>"&lt;" &amp; A1502 &amp; "&gt;" &amp; TEXT(B1502,0) &amp; "&lt;/" &amp; A1502 &amp; "&gt;"</f>
        <v>&lt;Type&gt;1&lt;/Type&gt;</v>
      </c>
      <c r="E1502" s="175"/>
      <c r="F1502" s="6" t="s">
        <v>679</v>
      </c>
      <c r="G1502" s="6"/>
      <c r="H1502" s="6"/>
      <c r="I1502" s="6"/>
      <c r="J1502" s="6"/>
      <c r="K1502" s="134"/>
      <c r="L1502" s="6"/>
      <c r="M1502" s="6"/>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c r="BU1502" s="6"/>
      <c r="BV1502" s="6"/>
      <c r="BW1502" s="6"/>
      <c r="BX1502" s="6"/>
      <c r="BY1502" s="6"/>
      <c r="BZ1502" s="6"/>
      <c r="CA1502" s="6"/>
      <c r="CB1502" s="6"/>
      <c r="CC1502" s="6"/>
      <c r="CD1502" s="6"/>
      <c r="CE1502" s="6"/>
      <c r="CF1502" s="6"/>
      <c r="CG1502" s="6"/>
      <c r="CH1502" s="6"/>
      <c r="CI1502" s="6"/>
      <c r="CJ1502" s="6"/>
      <c r="CK1502" s="6"/>
      <c r="CL1502" s="6"/>
      <c r="CM1502" s="6"/>
      <c r="CN1502" s="6"/>
      <c r="CO1502" s="6"/>
      <c r="CP1502" s="6"/>
      <c r="CQ1502" s="6"/>
      <c r="CR1502" s="6"/>
      <c r="CS1502" s="6"/>
      <c r="CT1502" s="6"/>
      <c r="CU1502" s="6"/>
      <c r="CV1502" s="6"/>
      <c r="CW1502" s="6"/>
      <c r="CX1502" s="6"/>
      <c r="CY1502" s="6"/>
      <c r="CZ1502" s="6"/>
      <c r="DA1502" s="6"/>
      <c r="DB1502" s="6"/>
      <c r="DC1502" s="6"/>
      <c r="DD1502" s="6"/>
    </row>
    <row r="1503" spans="1:108" ht="12.75" hidden="1" customHeight="1" outlineLevel="7">
      <c r="A1503" s="104" t="s">
        <v>102</v>
      </c>
      <c r="B1503" s="95">
        <v>0</v>
      </c>
      <c r="C1503" s="11"/>
      <c r="D1503" s="18" t="str">
        <f>"&lt;" &amp; A1503 &amp; "&gt;" &amp; TEXT(B1503,0) &amp; "&lt;/" &amp; A1503 &amp; "&gt;"</f>
        <v>&lt;Inverted_Flag&gt;0&lt;/Inverted_Flag&gt;</v>
      </c>
      <c r="E1503" s="175"/>
      <c r="F1503" s="6" t="s">
        <v>680</v>
      </c>
      <c r="G1503" s="6"/>
      <c r="H1503" s="6"/>
      <c r="I1503" s="6"/>
      <c r="J1503" s="6"/>
      <c r="K1503" s="134"/>
      <c r="L1503" s="6"/>
      <c r="M1503" s="6"/>
      <c r="N1503" s="6"/>
      <c r="O1503" s="6"/>
      <c r="P1503" s="6"/>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c r="BU1503" s="6"/>
      <c r="BV1503" s="6"/>
      <c r="BW1503" s="6"/>
      <c r="BX1503" s="6"/>
      <c r="BY1503" s="6"/>
      <c r="BZ1503" s="6"/>
      <c r="CA1503" s="6"/>
      <c r="CB1503" s="6"/>
      <c r="CC1503" s="6"/>
      <c r="CD1503" s="6"/>
      <c r="CE1503" s="6"/>
      <c r="CF1503" s="6"/>
      <c r="CG1503" s="6"/>
      <c r="CH1503" s="6"/>
      <c r="CI1503" s="6"/>
      <c r="CJ1503" s="6"/>
      <c r="CK1503" s="6"/>
      <c r="CL1503" s="6"/>
      <c r="CM1503" s="6"/>
      <c r="CN1503" s="6"/>
      <c r="CO1503" s="6"/>
      <c r="CP1503" s="6"/>
      <c r="CQ1503" s="6"/>
      <c r="CR1503" s="6"/>
      <c r="CS1503" s="6"/>
      <c r="CT1503" s="6"/>
      <c r="CU1503" s="6"/>
      <c r="CV1503" s="6"/>
      <c r="CW1503" s="6"/>
      <c r="CX1503" s="6"/>
      <c r="CY1503" s="6"/>
      <c r="CZ1503" s="6"/>
      <c r="DA1503" s="6"/>
      <c r="DB1503" s="6"/>
      <c r="DC1503" s="6"/>
      <c r="DD1503" s="6"/>
    </row>
    <row r="1504" spans="1:108" ht="12.75" hidden="1" customHeight="1" outlineLevel="7">
      <c r="A1504" s="104" t="s">
        <v>4</v>
      </c>
      <c r="B1504" s="95">
        <v>0</v>
      </c>
      <c r="C1504" s="11"/>
      <c r="D1504" s="18" t="str">
        <f t="shared" ref="D1504:D1509" si="82">"&lt;" &amp; A1504 &amp; "&gt;" &amp; TEXT(B1504,"0.000000") &amp; "&lt;/" &amp; A1504 &amp; "&gt;"</f>
        <v>&lt;Camber&gt;0.000000&lt;/Camber&gt;</v>
      </c>
      <c r="E1504" s="175"/>
      <c r="F1504" s="6" t="s">
        <v>681</v>
      </c>
      <c r="G1504" s="6"/>
      <c r="H1504" s="6"/>
      <c r="I1504" s="6"/>
      <c r="J1504" s="6"/>
      <c r="K1504" s="134"/>
      <c r="L1504" s="6"/>
      <c r="M1504" s="6"/>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c r="BU1504" s="6"/>
      <c r="BV1504" s="6"/>
      <c r="BW1504" s="6"/>
      <c r="BX1504" s="6"/>
      <c r="BY1504" s="6"/>
      <c r="BZ1504" s="6"/>
      <c r="CA1504" s="6"/>
      <c r="CB1504" s="6"/>
      <c r="CC1504" s="6"/>
      <c r="CD1504" s="6"/>
      <c r="CE1504" s="6"/>
      <c r="CF1504" s="6"/>
      <c r="CG1504" s="6"/>
      <c r="CH1504" s="6"/>
      <c r="CI1504" s="6"/>
      <c r="CJ1504" s="6"/>
      <c r="CK1504" s="6"/>
      <c r="CL1504" s="6"/>
      <c r="CM1504" s="6"/>
      <c r="CN1504" s="6"/>
      <c r="CO1504" s="6"/>
      <c r="CP1504" s="6"/>
      <c r="CQ1504" s="6"/>
      <c r="CR1504" s="6"/>
      <c r="CS1504" s="6"/>
      <c r="CT1504" s="6"/>
      <c r="CU1504" s="6"/>
      <c r="CV1504" s="6"/>
      <c r="CW1504" s="6"/>
      <c r="CX1504" s="6"/>
      <c r="CY1504" s="6"/>
      <c r="CZ1504" s="6"/>
      <c r="DA1504" s="6"/>
      <c r="DB1504" s="6"/>
      <c r="DC1504" s="6"/>
      <c r="DD1504" s="6"/>
    </row>
    <row r="1505" spans="1:108" ht="12.75" hidden="1" customHeight="1" outlineLevel="7">
      <c r="A1505" s="104" t="s">
        <v>103</v>
      </c>
      <c r="B1505" s="95">
        <v>0.5</v>
      </c>
      <c r="C1505" s="11"/>
      <c r="D1505" s="18" t="str">
        <f t="shared" si="82"/>
        <v>&lt;Camber_Loc&gt;0.500000&lt;/Camber_Loc&gt;</v>
      </c>
      <c r="E1505" s="175"/>
      <c r="F1505" s="6" t="s">
        <v>917</v>
      </c>
      <c r="G1505" s="6"/>
      <c r="H1505" s="6"/>
      <c r="I1505" s="6"/>
      <c r="J1505" s="6"/>
      <c r="K1505" s="134"/>
      <c r="L1505" s="6"/>
      <c r="M1505" s="6"/>
      <c r="N1505" s="6"/>
      <c r="O1505" s="6"/>
      <c r="P1505" s="6"/>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c r="BU1505" s="6"/>
      <c r="BV1505" s="6"/>
      <c r="BW1505" s="6"/>
      <c r="BX1505" s="6"/>
      <c r="BY1505" s="6"/>
      <c r="BZ1505" s="6"/>
      <c r="CA1505" s="6"/>
      <c r="CB1505" s="6"/>
      <c r="CC1505" s="6"/>
      <c r="CD1505" s="6"/>
      <c r="CE1505" s="6"/>
      <c r="CF1505" s="6"/>
      <c r="CG1505" s="6"/>
      <c r="CH1505" s="6"/>
      <c r="CI1505" s="6"/>
      <c r="CJ1505" s="6"/>
      <c r="CK1505" s="6"/>
      <c r="CL1505" s="6"/>
      <c r="CM1505" s="6"/>
      <c r="CN1505" s="6"/>
      <c r="CO1505" s="6"/>
      <c r="CP1505" s="6"/>
      <c r="CQ1505" s="6"/>
      <c r="CR1505" s="6"/>
      <c r="CS1505" s="6"/>
      <c r="CT1505" s="6"/>
      <c r="CU1505" s="6"/>
      <c r="CV1505" s="6"/>
      <c r="CW1505" s="6"/>
      <c r="CX1505" s="6"/>
      <c r="CY1505" s="6"/>
      <c r="CZ1505" s="6"/>
      <c r="DA1505" s="6"/>
      <c r="DB1505" s="6"/>
      <c r="DC1505" s="6"/>
      <c r="DD1505" s="6"/>
    </row>
    <row r="1506" spans="1:108" ht="12.75" hidden="1" customHeight="1" outlineLevel="7">
      <c r="A1506" s="104" t="s">
        <v>5</v>
      </c>
      <c r="B1506" s="95">
        <v>0.2</v>
      </c>
      <c r="C1506" s="11"/>
      <c r="D1506" s="18" t="str">
        <f t="shared" si="82"/>
        <v>&lt;Thickness&gt;0.200000&lt;/Thickness&gt;</v>
      </c>
      <c r="E1506" s="175"/>
      <c r="F1506" s="6" t="s">
        <v>918</v>
      </c>
      <c r="G1506" s="6"/>
      <c r="H1506" s="6"/>
      <c r="I1506" s="6"/>
      <c r="J1506" s="6"/>
      <c r="K1506" s="134"/>
      <c r="L1506" s="6"/>
      <c r="M1506" s="6"/>
      <c r="N1506" s="6"/>
      <c r="O1506" s="6"/>
      <c r="P1506" s="6"/>
      <c r="Q1506" s="6"/>
      <c r="R1506" s="6"/>
      <c r="S1506" s="6"/>
      <c r="T1506" s="6"/>
      <c r="U1506" s="6"/>
      <c r="V1506" s="6"/>
      <c r="W1506" s="6"/>
      <c r="X1506" s="6"/>
      <c r="Y1506" s="6"/>
      <c r="Z1506" s="6"/>
      <c r="AA1506" s="6"/>
      <c r="AB1506" s="6"/>
      <c r="AC1506" s="6"/>
      <c r="AD1506" s="6"/>
      <c r="AE1506" s="6"/>
      <c r="AF1506" s="6"/>
      <c r="AG1506" s="6"/>
      <c r="AH1506" s="6"/>
      <c r="AI1506" s="6"/>
      <c r="AJ1506" s="6"/>
      <c r="AK1506" s="6"/>
      <c r="AL1506" s="6"/>
      <c r="AM1506" s="6"/>
      <c r="AN1506" s="6"/>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c r="BU1506" s="6"/>
      <c r="BV1506" s="6"/>
      <c r="BW1506" s="6"/>
      <c r="BX1506" s="6"/>
      <c r="BY1506" s="6"/>
      <c r="BZ1506" s="6"/>
      <c r="CA1506" s="6"/>
      <c r="CB1506" s="6"/>
      <c r="CC1506" s="6"/>
      <c r="CD1506" s="6"/>
      <c r="CE1506" s="6"/>
      <c r="CF1506" s="6"/>
      <c r="CG1506" s="6"/>
      <c r="CH1506" s="6"/>
      <c r="CI1506" s="6"/>
      <c r="CJ1506" s="6"/>
      <c r="CK1506" s="6"/>
      <c r="CL1506" s="6"/>
      <c r="CM1506" s="6"/>
      <c r="CN1506" s="6"/>
      <c r="CO1506" s="6"/>
      <c r="CP1506" s="6"/>
      <c r="CQ1506" s="6"/>
      <c r="CR1506" s="6"/>
      <c r="CS1506" s="6"/>
      <c r="CT1506" s="6"/>
      <c r="CU1506" s="6"/>
      <c r="CV1506" s="6"/>
      <c r="CW1506" s="6"/>
      <c r="CX1506" s="6"/>
      <c r="CY1506" s="6"/>
      <c r="CZ1506" s="6"/>
      <c r="DA1506" s="6"/>
      <c r="DB1506" s="6"/>
      <c r="DC1506" s="6"/>
      <c r="DD1506" s="6"/>
    </row>
    <row r="1507" spans="1:108" ht="12.75" hidden="1" customHeight="1" outlineLevel="7">
      <c r="A1507" s="104" t="s">
        <v>104</v>
      </c>
      <c r="B1507" s="95">
        <v>0.3</v>
      </c>
      <c r="C1507" s="11"/>
      <c r="D1507" s="18" t="str">
        <f t="shared" si="82"/>
        <v>&lt;Thickness_Loc&gt;0.300000&lt;/Thickness_Loc&gt;</v>
      </c>
      <c r="E1507" s="175"/>
      <c r="F1507" s="6" t="s">
        <v>684</v>
      </c>
      <c r="G1507" s="6"/>
      <c r="H1507" s="6"/>
      <c r="I1507" s="6"/>
      <c r="J1507" s="6"/>
      <c r="K1507" s="134"/>
      <c r="L1507" s="6"/>
      <c r="M1507" s="6"/>
      <c r="N1507" s="6"/>
      <c r="O1507" s="6"/>
      <c r="P1507" s="6"/>
      <c r="Q1507" s="6"/>
      <c r="R1507" s="6"/>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c r="BU1507" s="6"/>
      <c r="BV1507" s="6"/>
      <c r="BW1507" s="6"/>
      <c r="BX1507" s="6"/>
      <c r="BY1507" s="6"/>
      <c r="BZ1507" s="6"/>
      <c r="CA1507" s="6"/>
      <c r="CB1507" s="6"/>
      <c r="CC1507" s="6"/>
      <c r="CD1507" s="6"/>
      <c r="CE1507" s="6"/>
      <c r="CF1507" s="6"/>
      <c r="CG1507" s="6"/>
      <c r="CH1507" s="6"/>
      <c r="CI1507" s="6"/>
      <c r="CJ1507" s="6"/>
      <c r="CK1507" s="6"/>
      <c r="CL1507" s="6"/>
      <c r="CM1507" s="6"/>
      <c r="CN1507" s="6"/>
      <c r="CO1507" s="6"/>
      <c r="CP1507" s="6"/>
      <c r="CQ1507" s="6"/>
      <c r="CR1507" s="6"/>
      <c r="CS1507" s="6"/>
      <c r="CT1507" s="6"/>
      <c r="CU1507" s="6"/>
      <c r="CV1507" s="6"/>
      <c r="CW1507" s="6"/>
      <c r="CX1507" s="6"/>
      <c r="CY1507" s="6"/>
      <c r="CZ1507" s="6"/>
      <c r="DA1507" s="6"/>
      <c r="DB1507" s="6"/>
      <c r="DC1507" s="6"/>
      <c r="DD1507" s="6"/>
    </row>
    <row r="1508" spans="1:108" ht="12.75" hidden="1" customHeight="1" outlineLevel="7">
      <c r="A1508" s="104" t="s">
        <v>105</v>
      </c>
      <c r="B1508" s="95">
        <v>4.4075999999999997E-2</v>
      </c>
      <c r="C1508" s="11"/>
      <c r="D1508" s="18" t="str">
        <f t="shared" si="82"/>
        <v>&lt;Radius_Le&gt;0.044076&lt;/Radius_Le&gt;</v>
      </c>
      <c r="E1508" s="175"/>
      <c r="F1508" s="6" t="s">
        <v>919</v>
      </c>
      <c r="G1508" s="6"/>
      <c r="H1508" s="6"/>
      <c r="I1508" s="6"/>
      <c r="J1508" s="6"/>
      <c r="K1508" s="6"/>
      <c r="L1508" s="6"/>
      <c r="M1508" s="6"/>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c r="BU1508" s="6"/>
      <c r="BV1508" s="6"/>
      <c r="BW1508" s="6"/>
      <c r="BX1508" s="6"/>
      <c r="BY1508" s="6"/>
      <c r="BZ1508" s="6"/>
      <c r="CA1508" s="6"/>
      <c r="CB1508" s="6"/>
      <c r="CC1508" s="6"/>
      <c r="CD1508" s="6"/>
      <c r="CE1508" s="6"/>
      <c r="CF1508" s="6"/>
      <c r="CG1508" s="6"/>
      <c r="CH1508" s="6"/>
      <c r="CI1508" s="6"/>
      <c r="CJ1508" s="6"/>
      <c r="CK1508" s="6"/>
      <c r="CL1508" s="6"/>
      <c r="CM1508" s="6"/>
      <c r="CN1508" s="6"/>
      <c r="CO1508" s="6"/>
      <c r="CP1508" s="6"/>
      <c r="CQ1508" s="6"/>
      <c r="CR1508" s="6"/>
      <c r="CS1508" s="6"/>
      <c r="CT1508" s="6"/>
      <c r="CU1508" s="6"/>
      <c r="CV1508" s="6"/>
      <c r="CW1508" s="6"/>
      <c r="CX1508" s="6"/>
      <c r="CY1508" s="6"/>
      <c r="CZ1508" s="6"/>
      <c r="DA1508" s="6"/>
      <c r="DB1508" s="6"/>
      <c r="DC1508" s="6"/>
      <c r="DD1508" s="6"/>
    </row>
    <row r="1509" spans="1:108" ht="12.75" hidden="1" customHeight="1" outlineLevel="7">
      <c r="A1509" s="104" t="s">
        <v>106</v>
      </c>
      <c r="B1509" s="95">
        <v>0</v>
      </c>
      <c r="C1509" s="11"/>
      <c r="D1509" s="18" t="str">
        <f t="shared" si="82"/>
        <v>&lt;Radius_Te&gt;0.000000&lt;/Radius_Te&gt;</v>
      </c>
      <c r="E1509" s="175"/>
      <c r="F1509" s="6" t="s">
        <v>686</v>
      </c>
      <c r="G1509" s="6"/>
      <c r="H1509" s="6"/>
      <c r="I1509" s="6"/>
      <c r="J1509" s="6"/>
      <c r="K1509" s="6"/>
      <c r="L1509" s="6"/>
      <c r="M1509" s="6"/>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c r="BU1509" s="6"/>
      <c r="BV1509" s="6"/>
      <c r="BW1509" s="6"/>
      <c r="BX1509" s="6"/>
      <c r="BY1509" s="6"/>
      <c r="BZ1509" s="6"/>
      <c r="CA1509" s="6"/>
      <c r="CB1509" s="6"/>
      <c r="CC1509" s="6"/>
      <c r="CD1509" s="6"/>
      <c r="CE1509" s="6"/>
      <c r="CF1509" s="6"/>
      <c r="CG1509" s="6"/>
      <c r="CH1509" s="6"/>
      <c r="CI1509" s="6"/>
      <c r="CJ1509" s="6"/>
      <c r="CK1509" s="6"/>
      <c r="CL1509" s="6"/>
      <c r="CM1509" s="6"/>
      <c r="CN1509" s="6"/>
      <c r="CO1509" s="6"/>
      <c r="CP1509" s="6"/>
      <c r="CQ1509" s="6"/>
      <c r="CR1509" s="6"/>
      <c r="CS1509" s="6"/>
      <c r="CT1509" s="6"/>
      <c r="CU1509" s="6"/>
      <c r="CV1509" s="6"/>
      <c r="CW1509" s="6"/>
      <c r="CX1509" s="6"/>
      <c r="CY1509" s="6"/>
      <c r="CZ1509" s="6"/>
      <c r="DA1509" s="6"/>
      <c r="DB1509" s="6"/>
      <c r="DC1509" s="6"/>
      <c r="DD1509" s="6"/>
    </row>
    <row r="1510" spans="1:108" ht="12.75" hidden="1" customHeight="1" outlineLevel="7">
      <c r="A1510" s="104" t="s">
        <v>107</v>
      </c>
      <c r="B1510" s="95">
        <v>63</v>
      </c>
      <c r="C1510" s="11"/>
      <c r="D1510" s="18" t="str">
        <f>"&lt;" &amp; A1510 &amp; "&gt;" &amp; TEXT(B1510,0) &amp; "&lt;/" &amp; A1510 &amp; "&gt;"</f>
        <v>&lt;Six_Series&gt;63&lt;/Six_Series&gt;</v>
      </c>
      <c r="E1510" s="175"/>
      <c r="F1510" s="6" t="s">
        <v>687</v>
      </c>
      <c r="G1510" s="6"/>
      <c r="H1510" s="6"/>
      <c r="I1510" s="6"/>
      <c r="J1510" s="6"/>
      <c r="K1510" s="6"/>
      <c r="L1510" s="6"/>
      <c r="M1510" s="6"/>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c r="BU1510" s="6"/>
      <c r="BV1510" s="6"/>
      <c r="BW1510" s="6"/>
      <c r="BX1510" s="6"/>
      <c r="BY1510" s="6"/>
      <c r="BZ1510" s="6"/>
      <c r="CA1510" s="6"/>
      <c r="CB1510" s="6"/>
      <c r="CC1510" s="6"/>
      <c r="CD1510" s="6"/>
      <c r="CE1510" s="6"/>
      <c r="CF1510" s="6"/>
      <c r="CG1510" s="6"/>
      <c r="CH1510" s="6"/>
      <c r="CI1510" s="6"/>
      <c r="CJ1510" s="6"/>
      <c r="CK1510" s="6"/>
      <c r="CL1510" s="6"/>
      <c r="CM1510" s="6"/>
      <c r="CN1510" s="6"/>
      <c r="CO1510" s="6"/>
      <c r="CP1510" s="6"/>
      <c r="CQ1510" s="6"/>
      <c r="CR1510" s="6"/>
      <c r="CS1510" s="6"/>
      <c r="CT1510" s="6"/>
      <c r="CU1510" s="6"/>
      <c r="CV1510" s="6"/>
      <c r="CW1510" s="6"/>
      <c r="CX1510" s="6"/>
      <c r="CY1510" s="6"/>
      <c r="CZ1510" s="6"/>
      <c r="DA1510" s="6"/>
      <c r="DB1510" s="6"/>
      <c r="DC1510" s="6"/>
      <c r="DD1510" s="6"/>
    </row>
    <row r="1511" spans="1:108" ht="12.75" hidden="1" customHeight="1" outlineLevel="7">
      <c r="A1511" s="104" t="s">
        <v>108</v>
      </c>
      <c r="B1511" s="95">
        <v>0</v>
      </c>
      <c r="C1511" s="11"/>
      <c r="D1511" s="18" t="str">
        <f>"&lt;" &amp; A1511 &amp; "&gt;" &amp; TEXT(B1511,"0.000000") &amp; "&lt;/" &amp; A1511 &amp; "&gt;"</f>
        <v>&lt;Ideal_Cl&gt;0.000000&lt;/Ideal_Cl&gt;</v>
      </c>
      <c r="E1511" s="175"/>
      <c r="F1511" s="6" t="s">
        <v>688</v>
      </c>
      <c r="G1511" s="6"/>
      <c r="H1511" s="6"/>
      <c r="I1511" s="6"/>
      <c r="J1511" s="6"/>
      <c r="K1511" s="6"/>
      <c r="L1511" s="6"/>
      <c r="M1511" s="6"/>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c r="BU1511" s="6"/>
      <c r="BV1511" s="6"/>
      <c r="BW1511" s="6"/>
      <c r="BX1511" s="6"/>
      <c r="BY1511" s="6"/>
      <c r="BZ1511" s="6"/>
      <c r="CA1511" s="6"/>
      <c r="CB1511" s="6"/>
      <c r="CC1511" s="6"/>
      <c r="CD1511" s="6"/>
      <c r="CE1511" s="6"/>
      <c r="CF1511" s="6"/>
      <c r="CG1511" s="6"/>
      <c r="CH1511" s="6"/>
      <c r="CI1511" s="6"/>
      <c r="CJ1511" s="6"/>
      <c r="CK1511" s="6"/>
      <c r="CL1511" s="6"/>
      <c r="CM1511" s="6"/>
      <c r="CN1511" s="6"/>
      <c r="CO1511" s="6"/>
      <c r="CP1511" s="6"/>
      <c r="CQ1511" s="6"/>
      <c r="CR1511" s="6"/>
      <c r="CS1511" s="6"/>
      <c r="CT1511" s="6"/>
      <c r="CU1511" s="6"/>
      <c r="CV1511" s="6"/>
      <c r="CW1511" s="6"/>
      <c r="CX1511" s="6"/>
      <c r="CY1511" s="6"/>
      <c r="CZ1511" s="6"/>
      <c r="DA1511" s="6"/>
      <c r="DB1511" s="6"/>
      <c r="DC1511" s="6"/>
      <c r="DD1511" s="6"/>
    </row>
    <row r="1512" spans="1:108" ht="12.75" hidden="1" customHeight="1" outlineLevel="7">
      <c r="A1512" s="104" t="s">
        <v>109</v>
      </c>
      <c r="B1512" s="95">
        <v>0</v>
      </c>
      <c r="C1512" s="11"/>
      <c r="D1512" s="18" t="str">
        <f>"&lt;" &amp; A1512 &amp; "&gt;" &amp; TEXT(B1512,"0.000000") &amp; "&lt;/" &amp; A1512 &amp; "&gt;"</f>
        <v>&lt;A&gt;0.000000&lt;/A&gt;</v>
      </c>
      <c r="E1512" s="175"/>
      <c r="F1512" s="6" t="s">
        <v>689</v>
      </c>
      <c r="G1512" s="6"/>
      <c r="H1512" s="6"/>
      <c r="I1512" s="6"/>
      <c r="J1512" s="6"/>
      <c r="K1512" s="6"/>
      <c r="L1512" s="6"/>
      <c r="M1512" s="6"/>
      <c r="N1512" s="6"/>
      <c r="O1512" s="6"/>
      <c r="P1512" s="6"/>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c r="BU1512" s="6"/>
      <c r="BV1512" s="6"/>
      <c r="BW1512" s="6"/>
      <c r="BX1512" s="6"/>
      <c r="BY1512" s="6"/>
      <c r="BZ1512" s="6"/>
      <c r="CA1512" s="6"/>
      <c r="CB1512" s="6"/>
      <c r="CC1512" s="6"/>
      <c r="CD1512" s="6"/>
      <c r="CE1512" s="6"/>
      <c r="CF1512" s="6"/>
      <c r="CG1512" s="6"/>
      <c r="CH1512" s="6"/>
      <c r="CI1512" s="6"/>
      <c r="CJ1512" s="6"/>
      <c r="CK1512" s="6"/>
      <c r="CL1512" s="6"/>
      <c r="CM1512" s="6"/>
      <c r="CN1512" s="6"/>
      <c r="CO1512" s="6"/>
      <c r="CP1512" s="6"/>
      <c r="CQ1512" s="6"/>
      <c r="CR1512" s="6"/>
      <c r="CS1512" s="6"/>
      <c r="CT1512" s="6"/>
      <c r="CU1512" s="6"/>
      <c r="CV1512" s="6"/>
      <c r="CW1512" s="6"/>
      <c r="CX1512" s="6"/>
      <c r="CY1512" s="6"/>
      <c r="CZ1512" s="6"/>
      <c r="DA1512" s="6"/>
      <c r="DB1512" s="6"/>
      <c r="DC1512" s="6"/>
      <c r="DD1512" s="6"/>
    </row>
    <row r="1513" spans="1:108" ht="12.75" hidden="1" customHeight="1" outlineLevel="7">
      <c r="A1513" s="104" t="s">
        <v>110</v>
      </c>
      <c r="B1513" s="95">
        <v>0</v>
      </c>
      <c r="C1513" s="11"/>
      <c r="D1513" s="18" t="str">
        <f>"&lt;" &amp; A1513 &amp; "&gt;" &amp; TEXT(B1513,0) &amp; "&lt;/" &amp; A1513 &amp; "&gt;"</f>
        <v>&lt;Slat_Flag&gt;0&lt;/Slat_Flag&gt;</v>
      </c>
      <c r="E1513" s="175"/>
      <c r="F1513" s="6" t="s">
        <v>690</v>
      </c>
      <c r="G1513" s="6"/>
      <c r="H1513" s="6"/>
      <c r="I1513" s="6"/>
      <c r="J1513" s="6"/>
      <c r="K1513" s="6"/>
      <c r="L1513" s="6"/>
      <c r="M1513" s="6"/>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c r="BU1513" s="6"/>
      <c r="BV1513" s="6"/>
      <c r="BW1513" s="6"/>
      <c r="BX1513" s="6"/>
      <c r="BY1513" s="6"/>
      <c r="BZ1513" s="6"/>
      <c r="CA1513" s="6"/>
      <c r="CB1513" s="6"/>
      <c r="CC1513" s="6"/>
      <c r="CD1513" s="6"/>
      <c r="CE1513" s="6"/>
      <c r="CF1513" s="6"/>
      <c r="CG1513" s="6"/>
      <c r="CH1513" s="6"/>
      <c r="CI1513" s="6"/>
      <c r="CJ1513" s="6"/>
      <c r="CK1513" s="6"/>
      <c r="CL1513" s="6"/>
      <c r="CM1513" s="6"/>
      <c r="CN1513" s="6"/>
      <c r="CO1513" s="6"/>
      <c r="CP1513" s="6"/>
      <c r="CQ1513" s="6"/>
      <c r="CR1513" s="6"/>
      <c r="CS1513" s="6"/>
      <c r="CT1513" s="6"/>
      <c r="CU1513" s="6"/>
      <c r="CV1513" s="6"/>
      <c r="CW1513" s="6"/>
      <c r="CX1513" s="6"/>
      <c r="CY1513" s="6"/>
      <c r="CZ1513" s="6"/>
      <c r="DA1513" s="6"/>
      <c r="DB1513" s="6"/>
      <c r="DC1513" s="6"/>
      <c r="DD1513" s="6"/>
    </row>
    <row r="1514" spans="1:108" ht="12.75" hidden="1" customHeight="1" outlineLevel="7">
      <c r="A1514" s="104" t="s">
        <v>111</v>
      </c>
      <c r="B1514" s="95">
        <v>0</v>
      </c>
      <c r="C1514" s="11"/>
      <c r="D1514" s="18" t="str">
        <f>"&lt;" &amp; A1514 &amp; "&gt;" &amp; TEXT(B1514,0) &amp; "&lt;/" &amp; A1514 &amp; "&gt;"</f>
        <v>&lt;Slat_Shear_Flag&gt;0&lt;/Slat_Shear_Flag&gt;</v>
      </c>
      <c r="E1514" s="175"/>
      <c r="F1514" s="6" t="s">
        <v>691</v>
      </c>
      <c r="G1514" s="6"/>
      <c r="H1514" s="6"/>
      <c r="I1514" s="6"/>
      <c r="J1514" s="6"/>
      <c r="K1514" s="6"/>
      <c r="L1514" s="6"/>
      <c r="M1514" s="6"/>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c r="BU1514" s="6"/>
      <c r="BV1514" s="6"/>
      <c r="BW1514" s="6"/>
      <c r="BX1514" s="6"/>
      <c r="BY1514" s="6"/>
      <c r="BZ1514" s="6"/>
      <c r="CA1514" s="6"/>
      <c r="CB1514" s="6"/>
      <c r="CC1514" s="6"/>
      <c r="CD1514" s="6"/>
      <c r="CE1514" s="6"/>
      <c r="CF1514" s="6"/>
      <c r="CG1514" s="6"/>
      <c r="CH1514" s="6"/>
      <c r="CI1514" s="6"/>
      <c r="CJ1514" s="6"/>
      <c r="CK1514" s="6"/>
      <c r="CL1514" s="6"/>
      <c r="CM1514" s="6"/>
      <c r="CN1514" s="6"/>
      <c r="CO1514" s="6"/>
      <c r="CP1514" s="6"/>
      <c r="CQ1514" s="6"/>
      <c r="CR1514" s="6"/>
      <c r="CS1514" s="6"/>
      <c r="CT1514" s="6"/>
      <c r="CU1514" s="6"/>
      <c r="CV1514" s="6"/>
      <c r="CW1514" s="6"/>
      <c r="CX1514" s="6"/>
      <c r="CY1514" s="6"/>
      <c r="CZ1514" s="6"/>
      <c r="DA1514" s="6"/>
      <c r="DB1514" s="6"/>
      <c r="DC1514" s="6"/>
      <c r="DD1514" s="6"/>
    </row>
    <row r="1515" spans="1:108" ht="12.75" hidden="1" customHeight="1" outlineLevel="7">
      <c r="A1515" s="104" t="s">
        <v>112</v>
      </c>
      <c r="B1515" s="95">
        <v>0.25</v>
      </c>
      <c r="C1515" s="11"/>
      <c r="D1515" s="18" t="str">
        <f>"&lt;" &amp; A1515 &amp; "&gt;" &amp; TEXT(B1515,"0.000000") &amp; "&lt;/" &amp; A1515 &amp; "&gt;"</f>
        <v>&lt;Slat_Chord&gt;0.250000&lt;/Slat_Chord&gt;</v>
      </c>
      <c r="E1515" s="175"/>
      <c r="F1515" s="6" t="s">
        <v>692</v>
      </c>
      <c r="G1515" s="6"/>
      <c r="H1515" s="6"/>
      <c r="I1515" s="6"/>
      <c r="J1515" s="6"/>
      <c r="K1515" s="6"/>
      <c r="L1515" s="6"/>
      <c r="M1515" s="6"/>
      <c r="N1515" s="6"/>
      <c r="O1515" s="6"/>
      <c r="P1515" s="6"/>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c r="BU1515" s="6"/>
      <c r="BV1515" s="6"/>
      <c r="BW1515" s="6"/>
      <c r="BX1515" s="6"/>
      <c r="BY1515" s="6"/>
      <c r="BZ1515" s="6"/>
      <c r="CA1515" s="6"/>
      <c r="CB1515" s="6"/>
      <c r="CC1515" s="6"/>
      <c r="CD1515" s="6"/>
      <c r="CE1515" s="6"/>
      <c r="CF1515" s="6"/>
      <c r="CG1515" s="6"/>
      <c r="CH1515" s="6"/>
      <c r="CI1515" s="6"/>
      <c r="CJ1515" s="6"/>
      <c r="CK1515" s="6"/>
      <c r="CL1515" s="6"/>
      <c r="CM1515" s="6"/>
      <c r="CN1515" s="6"/>
      <c r="CO1515" s="6"/>
      <c r="CP1515" s="6"/>
      <c r="CQ1515" s="6"/>
      <c r="CR1515" s="6"/>
      <c r="CS1515" s="6"/>
      <c r="CT1515" s="6"/>
      <c r="CU1515" s="6"/>
      <c r="CV1515" s="6"/>
      <c r="CW1515" s="6"/>
      <c r="CX1515" s="6"/>
      <c r="CY1515" s="6"/>
      <c r="CZ1515" s="6"/>
      <c r="DA1515" s="6"/>
      <c r="DB1515" s="6"/>
      <c r="DC1515" s="6"/>
      <c r="DD1515" s="6"/>
    </row>
    <row r="1516" spans="1:108" ht="12.75" hidden="1" customHeight="1" outlineLevel="7">
      <c r="A1516" s="104" t="s">
        <v>113</v>
      </c>
      <c r="B1516" s="95">
        <v>10</v>
      </c>
      <c r="C1516" s="11"/>
      <c r="D1516" s="18" t="str">
        <f>"&lt;" &amp; A1516 &amp; "&gt;" &amp; TEXT(B1516,"0.000000") &amp; "&lt;/" &amp; A1516 &amp; "&gt;"</f>
        <v>&lt;Slat_Angle&gt;10.000000&lt;/Slat_Angle&gt;</v>
      </c>
      <c r="E1516" s="175"/>
      <c r="F1516" s="6" t="s">
        <v>693</v>
      </c>
      <c r="G1516" s="6"/>
      <c r="H1516" s="6"/>
      <c r="I1516" s="6"/>
      <c r="J1516" s="6"/>
      <c r="K1516" s="6"/>
      <c r="L1516" s="6"/>
      <c r="M1516" s="6"/>
      <c r="N1516" s="6"/>
      <c r="O1516" s="6"/>
      <c r="P1516" s="6"/>
      <c r="Q1516" s="6"/>
      <c r="R1516" s="6"/>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c r="BU1516" s="6"/>
      <c r="BV1516" s="6"/>
      <c r="BW1516" s="6"/>
      <c r="BX1516" s="6"/>
      <c r="BY1516" s="6"/>
      <c r="BZ1516" s="6"/>
      <c r="CA1516" s="6"/>
      <c r="CB1516" s="6"/>
      <c r="CC1516" s="6"/>
      <c r="CD1516" s="6"/>
      <c r="CE1516" s="6"/>
      <c r="CF1516" s="6"/>
      <c r="CG1516" s="6"/>
      <c r="CH1516" s="6"/>
      <c r="CI1516" s="6"/>
      <c r="CJ1516" s="6"/>
      <c r="CK1516" s="6"/>
      <c r="CL1516" s="6"/>
      <c r="CM1516" s="6"/>
      <c r="CN1516" s="6"/>
      <c r="CO1516" s="6"/>
      <c r="CP1516" s="6"/>
      <c r="CQ1516" s="6"/>
      <c r="CR1516" s="6"/>
      <c r="CS1516" s="6"/>
      <c r="CT1516" s="6"/>
      <c r="CU1516" s="6"/>
      <c r="CV1516" s="6"/>
      <c r="CW1516" s="6"/>
      <c r="CX1516" s="6"/>
      <c r="CY1516" s="6"/>
      <c r="CZ1516" s="6"/>
      <c r="DA1516" s="6"/>
      <c r="DB1516" s="6"/>
      <c r="DC1516" s="6"/>
      <c r="DD1516" s="6"/>
    </row>
    <row r="1517" spans="1:108" ht="12.75" hidden="1" customHeight="1" outlineLevel="7">
      <c r="A1517" s="104" t="s">
        <v>114</v>
      </c>
      <c r="B1517" s="95">
        <v>0</v>
      </c>
      <c r="C1517" s="11"/>
      <c r="D1517" s="18" t="str">
        <f>"&lt;" &amp; A1517 &amp; "&gt;" &amp; TEXT(B1517,0) &amp; "&lt;/" &amp; A1517 &amp; "&gt;"</f>
        <v>&lt;Flap_Flag&gt;0&lt;/Flap_Flag&gt;</v>
      </c>
      <c r="E1517" s="175"/>
      <c r="F1517" s="6" t="s">
        <v>920</v>
      </c>
      <c r="G1517" s="6"/>
      <c r="H1517" s="6"/>
      <c r="I1517" s="6"/>
      <c r="J1517" s="6"/>
      <c r="K1517" s="6"/>
      <c r="L1517" s="6"/>
      <c r="M1517" s="6"/>
      <c r="N1517" s="6"/>
      <c r="O1517" s="6"/>
      <c r="P1517" s="6"/>
      <c r="Q1517" s="6"/>
      <c r="R1517" s="6"/>
      <c r="S1517" s="6"/>
      <c r="T1517" s="6"/>
      <c r="U1517" s="6"/>
      <c r="V1517" s="6"/>
      <c r="W1517" s="6"/>
      <c r="X1517" s="6"/>
      <c r="Y1517" s="6"/>
      <c r="Z1517" s="6"/>
      <c r="AA1517" s="6"/>
      <c r="AB1517" s="6"/>
      <c r="AC1517" s="6"/>
      <c r="AD1517" s="6"/>
      <c r="AE1517" s="6"/>
      <c r="AF1517" s="6"/>
      <c r="AG1517" s="6"/>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c r="BU1517" s="6"/>
      <c r="BV1517" s="6"/>
      <c r="BW1517" s="6"/>
      <c r="BX1517" s="6"/>
      <c r="BY1517" s="6"/>
      <c r="BZ1517" s="6"/>
      <c r="CA1517" s="6"/>
      <c r="CB1517" s="6"/>
      <c r="CC1517" s="6"/>
      <c r="CD1517" s="6"/>
      <c r="CE1517" s="6"/>
      <c r="CF1517" s="6"/>
      <c r="CG1517" s="6"/>
      <c r="CH1517" s="6"/>
      <c r="CI1517" s="6"/>
      <c r="CJ1517" s="6"/>
      <c r="CK1517" s="6"/>
      <c r="CL1517" s="6"/>
      <c r="CM1517" s="6"/>
      <c r="CN1517" s="6"/>
      <c r="CO1517" s="6"/>
      <c r="CP1517" s="6"/>
      <c r="CQ1517" s="6"/>
      <c r="CR1517" s="6"/>
      <c r="CS1517" s="6"/>
      <c r="CT1517" s="6"/>
      <c r="CU1517" s="6"/>
      <c r="CV1517" s="6"/>
      <c r="CW1517" s="6"/>
      <c r="CX1517" s="6"/>
      <c r="CY1517" s="6"/>
      <c r="CZ1517" s="6"/>
      <c r="DA1517" s="6"/>
      <c r="DB1517" s="6"/>
      <c r="DC1517" s="6"/>
      <c r="DD1517" s="6"/>
    </row>
    <row r="1518" spans="1:108" ht="12.75" hidden="1" customHeight="1" outlineLevel="7">
      <c r="A1518" s="104" t="s">
        <v>115</v>
      </c>
      <c r="B1518" s="95">
        <v>0</v>
      </c>
      <c r="C1518" s="11"/>
      <c r="D1518" s="18" t="str">
        <f>"&lt;" &amp; A1518 &amp; "&gt;" &amp; TEXT(B1518,0) &amp; "&lt;/" &amp; A1518 &amp; "&gt;"</f>
        <v>&lt;Flap_Shear_Flag&gt;0&lt;/Flap_Shear_Flag&gt;</v>
      </c>
      <c r="E1518" s="175"/>
      <c r="F1518" s="6" t="s">
        <v>695</v>
      </c>
      <c r="G1518" s="6"/>
      <c r="H1518" s="6"/>
      <c r="I1518" s="6"/>
      <c r="J1518" s="6"/>
      <c r="K1518" s="6"/>
      <c r="L1518" s="6"/>
      <c r="M1518" s="6"/>
      <c r="N1518" s="6"/>
      <c r="O1518" s="6"/>
      <c r="P1518" s="6"/>
      <c r="Q1518" s="6"/>
      <c r="R1518" s="6"/>
      <c r="S1518" s="6"/>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c r="BU1518" s="6"/>
      <c r="BV1518" s="6"/>
      <c r="BW1518" s="6"/>
      <c r="BX1518" s="6"/>
      <c r="BY1518" s="6"/>
      <c r="BZ1518" s="6"/>
      <c r="CA1518" s="6"/>
      <c r="CB1518" s="6"/>
      <c r="CC1518" s="6"/>
      <c r="CD1518" s="6"/>
      <c r="CE1518" s="6"/>
      <c r="CF1518" s="6"/>
      <c r="CG1518" s="6"/>
      <c r="CH1518" s="6"/>
      <c r="CI1518" s="6"/>
      <c r="CJ1518" s="6"/>
      <c r="CK1518" s="6"/>
      <c r="CL1518" s="6"/>
      <c r="CM1518" s="6"/>
      <c r="CN1518" s="6"/>
      <c r="CO1518" s="6"/>
      <c r="CP1518" s="6"/>
      <c r="CQ1518" s="6"/>
      <c r="CR1518" s="6"/>
      <c r="CS1518" s="6"/>
      <c r="CT1518" s="6"/>
      <c r="CU1518" s="6"/>
      <c r="CV1518" s="6"/>
      <c r="CW1518" s="6"/>
      <c r="CX1518" s="6"/>
      <c r="CY1518" s="6"/>
      <c r="CZ1518" s="6"/>
      <c r="DA1518" s="6"/>
      <c r="DB1518" s="6"/>
      <c r="DC1518" s="6"/>
      <c r="DD1518" s="6"/>
    </row>
    <row r="1519" spans="1:108" ht="12.75" hidden="1" customHeight="1" outlineLevel="7">
      <c r="A1519" s="104" t="s">
        <v>116</v>
      </c>
      <c r="B1519" s="95">
        <v>0.25</v>
      </c>
      <c r="C1519" s="11"/>
      <c r="D1519" s="18" t="str">
        <f>"&lt;" &amp; A1519 &amp; "&gt;" &amp; TEXT(B1519,"0.000000") &amp; "&lt;/" &amp; A1519 &amp; "&gt;"</f>
        <v>&lt;Flap_Chord&gt;0.250000&lt;/Flap_Chord&gt;</v>
      </c>
      <c r="E1519" s="175"/>
      <c r="F1519" s="6" t="s">
        <v>921</v>
      </c>
      <c r="G1519" s="6"/>
      <c r="H1519" s="6"/>
      <c r="I1519" s="6"/>
      <c r="J1519" s="6"/>
      <c r="K1519" s="6"/>
      <c r="L1519" s="6"/>
      <c r="M1519" s="6"/>
      <c r="N1519" s="6"/>
      <c r="O1519" s="6"/>
      <c r="P1519" s="6"/>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c r="BU1519" s="6"/>
      <c r="BV1519" s="6"/>
      <c r="BW1519" s="6"/>
      <c r="BX1519" s="6"/>
      <c r="BY1519" s="6"/>
      <c r="BZ1519" s="6"/>
      <c r="CA1519" s="6"/>
      <c r="CB1519" s="6"/>
      <c r="CC1519" s="6"/>
      <c r="CD1519" s="6"/>
      <c r="CE1519" s="6"/>
      <c r="CF1519" s="6"/>
      <c r="CG1519" s="6"/>
      <c r="CH1519" s="6"/>
      <c r="CI1519" s="6"/>
      <c r="CJ1519" s="6"/>
      <c r="CK1519" s="6"/>
      <c r="CL1519" s="6"/>
      <c r="CM1519" s="6"/>
      <c r="CN1519" s="6"/>
      <c r="CO1519" s="6"/>
      <c r="CP1519" s="6"/>
      <c r="CQ1519" s="6"/>
      <c r="CR1519" s="6"/>
      <c r="CS1519" s="6"/>
      <c r="CT1519" s="6"/>
      <c r="CU1519" s="6"/>
      <c r="CV1519" s="6"/>
      <c r="CW1519" s="6"/>
      <c r="CX1519" s="6"/>
      <c r="CY1519" s="6"/>
      <c r="CZ1519" s="6"/>
      <c r="DA1519" s="6"/>
      <c r="DB1519" s="6"/>
      <c r="DC1519" s="6"/>
      <c r="DD1519" s="6"/>
    </row>
    <row r="1520" spans="1:108" ht="12.75" hidden="1" customHeight="1" outlineLevel="7">
      <c r="A1520" s="104" t="s">
        <v>117</v>
      </c>
      <c r="B1520" s="95">
        <v>10</v>
      </c>
      <c r="C1520" s="11"/>
      <c r="D1520" s="18" t="str">
        <f>"&lt;" &amp; A1520 &amp; "&gt;" &amp; TEXT(B1520,"0.000000") &amp; "&lt;/" &amp; A1520 &amp; "&gt;"</f>
        <v>&lt;Flap_Angle&gt;10.000000&lt;/Flap_Angle&gt;</v>
      </c>
      <c r="E1520" s="175"/>
      <c r="F1520" s="6" t="s">
        <v>697</v>
      </c>
      <c r="G1520" s="6"/>
      <c r="H1520" s="6"/>
      <c r="I1520" s="6"/>
      <c r="J1520" s="6"/>
      <c r="K1520" s="6"/>
      <c r="L1520" s="6"/>
      <c r="M1520" s="6"/>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c r="BU1520" s="6"/>
      <c r="BV1520" s="6"/>
      <c r="BW1520" s="6"/>
      <c r="BX1520" s="6"/>
      <c r="BY1520" s="6"/>
      <c r="BZ1520" s="6"/>
      <c r="CA1520" s="6"/>
      <c r="CB1520" s="6"/>
      <c r="CC1520" s="6"/>
      <c r="CD1520" s="6"/>
      <c r="CE1520" s="6"/>
      <c r="CF1520" s="6"/>
      <c r="CG1520" s="6"/>
      <c r="CH1520" s="6"/>
      <c r="CI1520" s="6"/>
      <c r="CJ1520" s="6"/>
      <c r="CK1520" s="6"/>
      <c r="CL1520" s="6"/>
      <c r="CM1520" s="6"/>
      <c r="CN1520" s="6"/>
      <c r="CO1520" s="6"/>
      <c r="CP1520" s="6"/>
      <c r="CQ1520" s="6"/>
      <c r="CR1520" s="6"/>
      <c r="CS1520" s="6"/>
      <c r="CT1520" s="6"/>
      <c r="CU1520" s="6"/>
      <c r="CV1520" s="6"/>
      <c r="CW1520" s="6"/>
      <c r="CX1520" s="6"/>
      <c r="CY1520" s="6"/>
      <c r="CZ1520" s="6"/>
      <c r="DA1520" s="6"/>
      <c r="DB1520" s="6"/>
      <c r="DC1520" s="6"/>
      <c r="DD1520" s="6"/>
    </row>
    <row r="1521" spans="1:108" ht="12.75" hidden="1" customHeight="1" outlineLevel="7">
      <c r="A1521" s="104" t="s">
        <v>118</v>
      </c>
      <c r="B1521" s="104"/>
      <c r="C1521" s="11"/>
      <c r="D1521" s="6" t="str">
        <f>"&lt;" &amp; A1521 &amp; "&gt;"</f>
        <v>&lt;/Airfoil&gt;</v>
      </c>
      <c r="E1521" s="175"/>
      <c r="F1521" s="6" t="s">
        <v>698</v>
      </c>
      <c r="G1521" s="6"/>
      <c r="H1521" s="6"/>
      <c r="I1521" s="6"/>
      <c r="J1521" s="6"/>
      <c r="K1521" s="6"/>
      <c r="L1521" s="6"/>
      <c r="M1521" s="6"/>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c r="BU1521" s="6"/>
      <c r="BV1521" s="6"/>
      <c r="BW1521" s="6"/>
      <c r="BX1521" s="6"/>
      <c r="BY1521" s="6"/>
      <c r="BZ1521" s="6"/>
      <c r="CA1521" s="6"/>
      <c r="CB1521" s="6"/>
      <c r="CC1521" s="6"/>
      <c r="CD1521" s="6"/>
      <c r="CE1521" s="6"/>
      <c r="CF1521" s="6"/>
      <c r="CG1521" s="6"/>
      <c r="CH1521" s="6"/>
      <c r="CI1521" s="6"/>
      <c r="CJ1521" s="6"/>
      <c r="CK1521" s="6"/>
      <c r="CL1521" s="6"/>
      <c r="CM1521" s="6"/>
      <c r="CN1521" s="6"/>
      <c r="CO1521" s="6"/>
      <c r="CP1521" s="6"/>
      <c r="CQ1521" s="6"/>
      <c r="CR1521" s="6"/>
      <c r="CS1521" s="6"/>
      <c r="CT1521" s="6"/>
      <c r="CU1521" s="6"/>
      <c r="CV1521" s="6"/>
      <c r="CW1521" s="6"/>
      <c r="CX1521" s="6"/>
      <c r="CY1521" s="6"/>
      <c r="CZ1521" s="6"/>
      <c r="DA1521" s="6"/>
      <c r="DB1521" s="6"/>
      <c r="DC1521" s="6"/>
      <c r="DD1521" s="6"/>
    </row>
    <row r="1522" spans="1:108" ht="12.75" hidden="1" customHeight="1" outlineLevel="6">
      <c r="A1522" s="104" t="s">
        <v>308</v>
      </c>
      <c r="B1522" s="104"/>
      <c r="C1522" s="11"/>
      <c r="D1522" s="6" t="str">
        <f>"&lt;" &amp; A1522 &amp; "&gt;"</f>
        <v>&lt;/Sect_Parms&gt;</v>
      </c>
      <c r="E1522" s="175"/>
      <c r="F1522" s="6" t="s">
        <v>922</v>
      </c>
      <c r="G1522" s="6"/>
      <c r="H1522" s="6"/>
      <c r="I1522" s="6"/>
      <c r="J1522" s="6"/>
      <c r="K1522" s="6"/>
      <c r="L1522" s="6"/>
      <c r="M1522" s="6"/>
      <c r="N1522" s="6"/>
      <c r="O1522" s="6"/>
      <c r="P1522" s="6"/>
      <c r="Q1522" s="6"/>
      <c r="R1522" s="6"/>
      <c r="S1522" s="6"/>
      <c r="T1522" s="6"/>
      <c r="U1522" s="6"/>
      <c r="V1522" s="6"/>
      <c r="W1522" s="6"/>
      <c r="X1522" s="6"/>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c r="BU1522" s="6"/>
      <c r="BV1522" s="6"/>
      <c r="BW1522" s="6"/>
      <c r="BX1522" s="6"/>
      <c r="BY1522" s="6"/>
      <c r="BZ1522" s="6"/>
      <c r="CA1522" s="6"/>
      <c r="CB1522" s="6"/>
      <c r="CC1522" s="6"/>
      <c r="CD1522" s="6"/>
      <c r="CE1522" s="6"/>
      <c r="CF1522" s="6"/>
      <c r="CG1522" s="6"/>
      <c r="CH1522" s="6"/>
      <c r="CI1522" s="6"/>
      <c r="CJ1522" s="6"/>
      <c r="CK1522" s="6"/>
      <c r="CL1522" s="6"/>
      <c r="CM1522" s="6"/>
      <c r="CN1522" s="6"/>
      <c r="CO1522" s="6"/>
      <c r="CP1522" s="6"/>
      <c r="CQ1522" s="6"/>
      <c r="CR1522" s="6"/>
      <c r="CS1522" s="6"/>
      <c r="CT1522" s="6"/>
      <c r="CU1522" s="6"/>
      <c r="CV1522" s="6"/>
      <c r="CW1522" s="6"/>
      <c r="CX1522" s="6"/>
      <c r="CY1522" s="6"/>
      <c r="CZ1522" s="6"/>
      <c r="DA1522" s="6"/>
      <c r="DB1522" s="6"/>
      <c r="DC1522" s="6"/>
      <c r="DD1522" s="6"/>
    </row>
    <row r="1523" spans="1:108" ht="12.75" hidden="1" customHeight="1" outlineLevel="5">
      <c r="A1523" s="104" t="s">
        <v>309</v>
      </c>
      <c r="B1523" s="104"/>
      <c r="C1523" s="11"/>
      <c r="D1523" s="6" t="str">
        <f>"&lt;" &amp; A1523 &amp; "&gt;"</f>
        <v>&lt;/Prop_Parms&gt;</v>
      </c>
      <c r="E1523" s="175"/>
      <c r="F1523" s="6" t="s">
        <v>932</v>
      </c>
      <c r="G1523" s="6"/>
      <c r="H1523" s="6"/>
      <c r="I1523" s="6"/>
      <c r="J1523" s="6"/>
      <c r="K1523" s="6"/>
      <c r="L1523" s="6"/>
      <c r="M1523" s="6"/>
      <c r="N1523" s="6"/>
      <c r="O1523" s="6"/>
      <c r="P1523" s="6"/>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c r="BU1523" s="6"/>
      <c r="BV1523" s="6"/>
      <c r="BW1523" s="6"/>
      <c r="BX1523" s="6"/>
      <c r="BY1523" s="6"/>
      <c r="BZ1523" s="6"/>
      <c r="CA1523" s="6"/>
      <c r="CB1523" s="6"/>
      <c r="CC1523" s="6"/>
      <c r="CD1523" s="6"/>
      <c r="CE1523" s="6"/>
      <c r="CF1523" s="6"/>
      <c r="CG1523" s="6"/>
      <c r="CH1523" s="6"/>
      <c r="CI1523" s="6"/>
      <c r="CJ1523" s="6"/>
      <c r="CK1523" s="6"/>
      <c r="CL1523" s="6"/>
      <c r="CM1523" s="6"/>
      <c r="CN1523" s="6"/>
      <c r="CO1523" s="6"/>
      <c r="CP1523" s="6"/>
      <c r="CQ1523" s="6"/>
      <c r="CR1523" s="6"/>
      <c r="CS1523" s="6"/>
      <c r="CT1523" s="6"/>
      <c r="CU1523" s="6"/>
      <c r="CV1523" s="6"/>
      <c r="CW1523" s="6"/>
      <c r="CX1523" s="6"/>
      <c r="CY1523" s="6"/>
      <c r="CZ1523" s="6"/>
      <c r="DA1523" s="6"/>
      <c r="DB1523" s="6"/>
      <c r="DC1523" s="6"/>
      <c r="DD1523" s="6"/>
    </row>
    <row r="1524" spans="1:108" ht="12.75" hidden="1" customHeight="1" outlineLevel="4">
      <c r="A1524" s="104" t="s">
        <v>138</v>
      </c>
      <c r="B1524" s="104"/>
      <c r="C1524" s="11" t="str">
        <f>C1357</f>
        <v>No</v>
      </c>
      <c r="D1524" s="133" t="str">
        <f>IF(C1524="Yes",("&lt;"&amp;A1524&amp;"&gt;"),("&lt;"&amp;A1524&amp;"--&gt;"))</f>
        <v>&lt;/Component--&gt;</v>
      </c>
      <c r="E1524" s="175"/>
      <c r="F1524" s="6" t="s">
        <v>933</v>
      </c>
      <c r="G1524" s="6"/>
      <c r="H1524" s="6"/>
      <c r="I1524" s="6"/>
      <c r="J1524" s="6"/>
      <c r="K1524" s="6"/>
      <c r="L1524" s="6"/>
      <c r="M1524" s="6"/>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c r="BU1524" s="6"/>
      <c r="BV1524" s="6"/>
      <c r="BW1524" s="6"/>
      <c r="BX1524" s="6"/>
      <c r="BY1524" s="6"/>
      <c r="BZ1524" s="6"/>
      <c r="CA1524" s="6"/>
      <c r="CB1524" s="6"/>
      <c r="CC1524" s="6"/>
      <c r="CD1524" s="6"/>
      <c r="CE1524" s="6"/>
      <c r="CF1524" s="6"/>
      <c r="CG1524" s="6"/>
      <c r="CH1524" s="6"/>
      <c r="CI1524" s="6"/>
      <c r="CJ1524" s="6"/>
      <c r="CK1524" s="6"/>
      <c r="CL1524" s="6"/>
      <c r="CM1524" s="6"/>
      <c r="CN1524" s="6"/>
      <c r="CO1524" s="6"/>
      <c r="CP1524" s="6"/>
      <c r="CQ1524" s="6"/>
      <c r="CR1524" s="6"/>
      <c r="CS1524" s="6"/>
      <c r="CT1524" s="6"/>
      <c r="CU1524" s="6"/>
      <c r="CV1524" s="6"/>
      <c r="CW1524" s="6"/>
      <c r="CX1524" s="6"/>
      <c r="CY1524" s="6"/>
      <c r="CZ1524" s="6"/>
      <c r="DA1524" s="6"/>
      <c r="DB1524" s="6"/>
      <c r="DC1524" s="6"/>
      <c r="DD1524" s="6"/>
    </row>
    <row r="1525" spans="1:108" ht="12.75" hidden="1" customHeight="1" outlineLevel="3" collapsed="1">
      <c r="A1525" s="104" t="s">
        <v>40</v>
      </c>
      <c r="B1525" s="110" t="s">
        <v>542</v>
      </c>
      <c r="C1525" s="27" t="str">
        <f>IF(Type_e="Jet", IF(n_e = 1, "No", "Yes"),"No")</f>
        <v>Yes</v>
      </c>
      <c r="D1525" s="6" t="str">
        <f>IF(C1525="Yes",("&lt;"&amp;A1525&amp;"&gt;"),("&lt;!--"&amp;A1525&amp;"&gt;"))</f>
        <v>&lt;Component&gt;</v>
      </c>
      <c r="E1525" s="175"/>
      <c r="F1525" s="6" t="s">
        <v>283</v>
      </c>
      <c r="G1525" s="6"/>
      <c r="H1525" s="6"/>
      <c r="I1525" s="6"/>
      <c r="J1525" s="6"/>
      <c r="K1525" s="6"/>
      <c r="L1525" s="6"/>
      <c r="M1525" s="6"/>
      <c r="N1525" s="6"/>
      <c r="O1525" s="6"/>
      <c r="P1525" s="6"/>
      <c r="Q1525" s="6"/>
      <c r="R1525" s="6"/>
      <c r="S1525" s="6"/>
      <c r="T1525" s="6"/>
      <c r="U1525" s="6"/>
      <c r="V1525" s="6"/>
      <c r="W1525" s="6"/>
      <c r="X1525" s="6"/>
      <c r="Y1525" s="6"/>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c r="BU1525" s="6"/>
      <c r="BV1525" s="6"/>
      <c r="BW1525" s="6"/>
      <c r="BX1525" s="6"/>
      <c r="BY1525" s="6"/>
      <c r="BZ1525" s="6"/>
      <c r="CA1525" s="6"/>
      <c r="CB1525" s="6"/>
      <c r="CC1525" s="6"/>
      <c r="CD1525" s="6"/>
      <c r="CE1525" s="6"/>
      <c r="CF1525" s="6"/>
      <c r="CG1525" s="6"/>
      <c r="CH1525" s="6"/>
      <c r="CI1525" s="6"/>
      <c r="CJ1525" s="6"/>
      <c r="CK1525" s="6"/>
      <c r="CL1525" s="6"/>
      <c r="CM1525" s="6"/>
      <c r="CN1525" s="6"/>
      <c r="CO1525" s="6"/>
      <c r="CP1525" s="6"/>
      <c r="CQ1525" s="6"/>
      <c r="CR1525" s="6"/>
      <c r="CS1525" s="6"/>
      <c r="CT1525" s="6"/>
      <c r="CU1525" s="6"/>
      <c r="CV1525" s="6"/>
      <c r="CW1525" s="6"/>
      <c r="CX1525" s="6"/>
      <c r="CY1525" s="6"/>
      <c r="CZ1525" s="6"/>
      <c r="DA1525" s="6"/>
      <c r="DB1525" s="6"/>
      <c r="DC1525" s="6"/>
      <c r="DD1525" s="6"/>
    </row>
    <row r="1526" spans="1:108" ht="12.75" hidden="1" customHeight="1" outlineLevel="4">
      <c r="A1526" s="104" t="s">
        <v>14</v>
      </c>
      <c r="B1526" s="100" t="s">
        <v>41</v>
      </c>
      <c r="C1526" s="11"/>
      <c r="D1526" s="18" t="str">
        <f>"&lt;" &amp; A1526 &amp; "&gt;" &amp; TEXT(B1526,"0.000000") &amp; "&lt;/" &amp; A1526 &amp; "&gt;"</f>
        <v>&lt;Type&gt;Mswing&lt;/Type&gt;</v>
      </c>
      <c r="E1526" s="175"/>
      <c r="F1526" s="6" t="s">
        <v>621</v>
      </c>
      <c r="G1526" s="6"/>
      <c r="H1526" s="6"/>
      <c r="I1526" s="6"/>
      <c r="J1526" s="6"/>
      <c r="K1526" s="6"/>
      <c r="L1526" s="6"/>
      <c r="M1526" s="6"/>
      <c r="N1526" s="6"/>
      <c r="O1526" s="6"/>
      <c r="P1526" s="6"/>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c r="BU1526" s="6"/>
      <c r="BV1526" s="6"/>
      <c r="BW1526" s="6"/>
      <c r="BX1526" s="6"/>
      <c r="BY1526" s="6"/>
      <c r="BZ1526" s="6"/>
      <c r="CA1526" s="6"/>
      <c r="CB1526" s="6"/>
      <c r="CC1526" s="6"/>
      <c r="CD1526" s="6"/>
      <c r="CE1526" s="6"/>
      <c r="CF1526" s="6"/>
      <c r="CG1526" s="6"/>
      <c r="CH1526" s="6"/>
      <c r="CI1526" s="6"/>
      <c r="CJ1526" s="6"/>
      <c r="CK1526" s="6"/>
      <c r="CL1526" s="6"/>
      <c r="CM1526" s="6"/>
      <c r="CN1526" s="6"/>
      <c r="CO1526" s="6"/>
      <c r="CP1526" s="6"/>
      <c r="CQ1526" s="6"/>
      <c r="CR1526" s="6"/>
      <c r="CS1526" s="6"/>
      <c r="CT1526" s="6"/>
      <c r="CU1526" s="6"/>
      <c r="CV1526" s="6"/>
      <c r="CW1526" s="6"/>
      <c r="CX1526" s="6"/>
      <c r="CY1526" s="6"/>
      <c r="CZ1526" s="6"/>
      <c r="DA1526" s="6"/>
      <c r="DB1526" s="6"/>
      <c r="DC1526" s="6"/>
      <c r="DD1526" s="6"/>
    </row>
    <row r="1527" spans="1:108" ht="12.75" hidden="1" customHeight="1" outlineLevel="4" collapsed="1">
      <c r="A1527" s="104" t="s">
        <v>42</v>
      </c>
      <c r="B1527" s="100"/>
      <c r="C1527" s="11"/>
      <c r="D1527" s="6" t="str">
        <f>"&lt;" &amp; A1527 &amp; "&gt;"</f>
        <v>&lt;General_Parms&gt;</v>
      </c>
      <c r="E1527" s="175"/>
      <c r="F1527" s="6" t="s">
        <v>622</v>
      </c>
      <c r="G1527" s="6"/>
      <c r="H1527" s="6"/>
      <c r="I1527" s="6"/>
      <c r="J1527" s="6"/>
      <c r="K1527" s="6"/>
      <c r="L1527" s="6"/>
      <c r="M1527" s="6"/>
      <c r="N1527" s="6"/>
      <c r="O1527" s="6"/>
      <c r="P1527" s="6"/>
      <c r="Q1527" s="6"/>
      <c r="R1527" s="6"/>
      <c r="S1527" s="6"/>
      <c r="T1527" s="6"/>
      <c r="U1527" s="6"/>
      <c r="V1527" s="6"/>
      <c r="W1527" s="6"/>
      <c r="X1527" s="6"/>
      <c r="Y1527" s="6"/>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c r="BU1527" s="6"/>
      <c r="BV1527" s="6"/>
      <c r="BW1527" s="6"/>
      <c r="BX1527" s="6"/>
      <c r="BY1527" s="6"/>
      <c r="BZ1527" s="6"/>
      <c r="CA1527" s="6"/>
      <c r="CB1527" s="6"/>
      <c r="CC1527" s="6"/>
      <c r="CD1527" s="6"/>
      <c r="CE1527" s="6"/>
      <c r="CF1527" s="6"/>
      <c r="CG1527" s="6"/>
      <c r="CH1527" s="6"/>
      <c r="CI1527" s="6"/>
      <c r="CJ1527" s="6"/>
      <c r="CK1527" s="6"/>
      <c r="CL1527" s="6"/>
      <c r="CM1527" s="6"/>
      <c r="CN1527" s="6"/>
      <c r="CO1527" s="6"/>
      <c r="CP1527" s="6"/>
      <c r="CQ1527" s="6"/>
      <c r="CR1527" s="6"/>
      <c r="CS1527" s="6"/>
      <c r="CT1527" s="6"/>
      <c r="CU1527" s="6"/>
      <c r="CV1527" s="6"/>
      <c r="CW1527" s="6"/>
      <c r="CX1527" s="6"/>
      <c r="CY1527" s="6"/>
      <c r="CZ1527" s="6"/>
      <c r="DA1527" s="6"/>
      <c r="DB1527" s="6"/>
      <c r="DC1527" s="6"/>
      <c r="DD1527" s="6"/>
    </row>
    <row r="1528" spans="1:108" ht="12.75" hidden="1" customHeight="1" outlineLevel="5">
      <c r="A1528" s="104" t="s">
        <v>1</v>
      </c>
      <c r="B1528" s="100" t="s">
        <v>383</v>
      </c>
      <c r="C1528" s="11"/>
      <c r="D1528" s="18" t="str">
        <f>"&lt;" &amp; A1528 &amp; "&gt;" &amp; TEXT(B1528,"0.000000") &amp; "&lt;/" &amp; A1528 &amp; "&gt;"</f>
        <v>&lt;Name&gt;pylon&lt;/Name&gt;</v>
      </c>
      <c r="E1528" s="175"/>
      <c r="F1528" s="6" t="s">
        <v>934</v>
      </c>
      <c r="G1528" s="6"/>
      <c r="H1528" s="6"/>
      <c r="I1528" s="6"/>
      <c r="J1528" s="6"/>
      <c r="K1528" s="6"/>
      <c r="L1528" s="6"/>
      <c r="M1528" s="6"/>
      <c r="N1528" s="6"/>
      <c r="O1528" s="6"/>
      <c r="P1528" s="6"/>
      <c r="Q1528" s="6"/>
      <c r="R1528" s="6"/>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c r="BU1528" s="6"/>
      <c r="BV1528" s="6"/>
      <c r="BW1528" s="6"/>
      <c r="BX1528" s="6"/>
      <c r="BY1528" s="6"/>
      <c r="BZ1528" s="6"/>
      <c r="CA1528" s="6"/>
      <c r="CB1528" s="6"/>
      <c r="CC1528" s="6"/>
      <c r="CD1528" s="6"/>
      <c r="CE1528" s="6"/>
      <c r="CF1528" s="6"/>
      <c r="CG1528" s="6"/>
      <c r="CH1528" s="6"/>
      <c r="CI1528" s="6"/>
      <c r="CJ1528" s="6"/>
      <c r="CK1528" s="6"/>
      <c r="CL1528" s="6"/>
      <c r="CM1528" s="6"/>
      <c r="CN1528" s="6"/>
      <c r="CO1528" s="6"/>
      <c r="CP1528" s="6"/>
      <c r="CQ1528" s="6"/>
      <c r="CR1528" s="6"/>
      <c r="CS1528" s="6"/>
      <c r="CT1528" s="6"/>
      <c r="CU1528" s="6"/>
      <c r="CV1528" s="6"/>
      <c r="CW1528" s="6"/>
      <c r="CX1528" s="6"/>
      <c r="CY1528" s="6"/>
      <c r="CZ1528" s="6"/>
      <c r="DA1528" s="6"/>
      <c r="DB1528" s="6"/>
      <c r="DC1528" s="6"/>
      <c r="DD1528" s="6"/>
    </row>
    <row r="1529" spans="1:108" ht="12.75" hidden="1" customHeight="1" outlineLevel="5">
      <c r="A1529" s="104" t="s">
        <v>43</v>
      </c>
      <c r="B1529" s="28">
        <v>0</v>
      </c>
      <c r="C1529" s="11"/>
      <c r="D1529" s="18" t="str">
        <f>"&lt;" &amp; A1529 &amp; "&gt;" &amp; TEXT(B1529,"0.000000") &amp; "&lt;/" &amp; A1529 &amp; "&gt;"</f>
        <v>&lt;ColorR&gt;0.000000&lt;/ColorR&gt;</v>
      </c>
      <c r="E1529" s="175"/>
      <c r="F1529" s="6" t="s">
        <v>845</v>
      </c>
      <c r="G1529" s="6"/>
      <c r="H1529" s="6"/>
      <c r="I1529" s="6"/>
      <c r="J1529" s="6"/>
      <c r="K1529" s="6"/>
      <c r="L1529" s="6"/>
      <c r="M1529" s="6"/>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c r="BU1529" s="6"/>
      <c r="BV1529" s="6"/>
      <c r="BW1529" s="6"/>
      <c r="BX1529" s="6"/>
      <c r="BY1529" s="6"/>
      <c r="BZ1529" s="6"/>
      <c r="CA1529" s="6"/>
      <c r="CB1529" s="6"/>
      <c r="CC1529" s="6"/>
      <c r="CD1529" s="6"/>
      <c r="CE1529" s="6"/>
      <c r="CF1529" s="6"/>
      <c r="CG1529" s="6"/>
      <c r="CH1529" s="6"/>
      <c r="CI1529" s="6"/>
      <c r="CJ1529" s="6"/>
      <c r="CK1529" s="6"/>
      <c r="CL1529" s="6"/>
      <c r="CM1529" s="6"/>
      <c r="CN1529" s="6"/>
      <c r="CO1529" s="6"/>
      <c r="CP1529" s="6"/>
      <c r="CQ1529" s="6"/>
      <c r="CR1529" s="6"/>
      <c r="CS1529" s="6"/>
      <c r="CT1529" s="6"/>
      <c r="CU1529" s="6"/>
      <c r="CV1529" s="6"/>
      <c r="CW1529" s="6"/>
      <c r="CX1529" s="6"/>
      <c r="CY1529" s="6"/>
      <c r="CZ1529" s="6"/>
      <c r="DA1529" s="6"/>
      <c r="DB1529" s="6"/>
      <c r="DC1529" s="6"/>
      <c r="DD1529" s="6"/>
    </row>
    <row r="1530" spans="1:108" ht="12.75" hidden="1" customHeight="1" outlineLevel="5">
      <c r="A1530" s="104" t="s">
        <v>44</v>
      </c>
      <c r="B1530" s="28">
        <v>255</v>
      </c>
      <c r="C1530" s="11"/>
      <c r="D1530" s="18" t="str">
        <f>"&lt;" &amp; A1530 &amp; "&gt;" &amp; TEXT(B1530,"0.000000") &amp; "&lt;/" &amp; A1530 &amp; "&gt;"</f>
        <v>&lt;ColorG&gt;255.000000&lt;/ColorG&gt;</v>
      </c>
      <c r="E1530" s="175"/>
      <c r="F1530" s="6" t="s">
        <v>935</v>
      </c>
      <c r="G1530" s="6"/>
      <c r="H1530" s="6"/>
      <c r="I1530" s="6"/>
      <c r="J1530" s="6"/>
      <c r="K1530" s="6"/>
      <c r="L1530" s="6"/>
      <c r="M1530" s="6"/>
      <c r="N1530" s="6"/>
      <c r="O1530" s="6"/>
      <c r="P1530" s="6"/>
      <c r="Q1530" s="6"/>
      <c r="R1530" s="6"/>
      <c r="S1530" s="6"/>
      <c r="T1530" s="6"/>
      <c r="U1530" s="6"/>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c r="BU1530" s="6"/>
      <c r="BV1530" s="6"/>
      <c r="BW1530" s="6"/>
      <c r="BX1530" s="6"/>
      <c r="BY1530" s="6"/>
      <c r="BZ1530" s="6"/>
      <c r="CA1530" s="6"/>
      <c r="CB1530" s="6"/>
      <c r="CC1530" s="6"/>
      <c r="CD1530" s="6"/>
      <c r="CE1530" s="6"/>
      <c r="CF1530" s="6"/>
      <c r="CG1530" s="6"/>
      <c r="CH1530" s="6"/>
      <c r="CI1530" s="6"/>
      <c r="CJ1530" s="6"/>
      <c r="CK1530" s="6"/>
      <c r="CL1530" s="6"/>
      <c r="CM1530" s="6"/>
      <c r="CN1530" s="6"/>
      <c r="CO1530" s="6"/>
      <c r="CP1530" s="6"/>
      <c r="CQ1530" s="6"/>
      <c r="CR1530" s="6"/>
      <c r="CS1530" s="6"/>
      <c r="CT1530" s="6"/>
      <c r="CU1530" s="6"/>
      <c r="CV1530" s="6"/>
      <c r="CW1530" s="6"/>
      <c r="CX1530" s="6"/>
      <c r="CY1530" s="6"/>
      <c r="CZ1530" s="6"/>
      <c r="DA1530" s="6"/>
      <c r="DB1530" s="6"/>
      <c r="DC1530" s="6"/>
      <c r="DD1530" s="6"/>
    </row>
    <row r="1531" spans="1:108" ht="12.75" hidden="1" customHeight="1" outlineLevel="5">
      <c r="A1531" s="104" t="s">
        <v>45</v>
      </c>
      <c r="B1531" s="28">
        <v>0</v>
      </c>
      <c r="C1531" s="11"/>
      <c r="D1531" s="18" t="str">
        <f>"&lt;" &amp; A1531 &amp; "&gt;" &amp; TEXT(B1531,"0.000000") &amp; "&lt;/" &amp; A1531 &amp; "&gt;"</f>
        <v>&lt;ColorB&gt;0.000000&lt;/ColorB&gt;</v>
      </c>
      <c r="E1531" s="175"/>
      <c r="F1531" s="6" t="s">
        <v>626</v>
      </c>
      <c r="G1531" s="6"/>
      <c r="H1531" s="6"/>
      <c r="I1531" s="6"/>
      <c r="J1531" s="6"/>
      <c r="K1531" s="6"/>
      <c r="L1531" s="6"/>
      <c r="M1531" s="6"/>
      <c r="N1531" s="6"/>
      <c r="O1531" s="6"/>
      <c r="P1531" s="6"/>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c r="BU1531" s="6"/>
      <c r="BV1531" s="6"/>
      <c r="BW1531" s="6"/>
      <c r="BX1531" s="6"/>
      <c r="BY1531" s="6"/>
      <c r="BZ1531" s="6"/>
      <c r="CA1531" s="6"/>
      <c r="CB1531" s="6"/>
      <c r="CC1531" s="6"/>
      <c r="CD1531" s="6"/>
      <c r="CE1531" s="6"/>
      <c r="CF1531" s="6"/>
      <c r="CG1531" s="6"/>
      <c r="CH1531" s="6"/>
      <c r="CI1531" s="6"/>
      <c r="CJ1531" s="6"/>
      <c r="CK1531" s="6"/>
      <c r="CL1531" s="6"/>
      <c r="CM1531" s="6"/>
      <c r="CN1531" s="6"/>
      <c r="CO1531" s="6"/>
      <c r="CP1531" s="6"/>
      <c r="CQ1531" s="6"/>
      <c r="CR1531" s="6"/>
      <c r="CS1531" s="6"/>
      <c r="CT1531" s="6"/>
      <c r="CU1531" s="6"/>
      <c r="CV1531" s="6"/>
      <c r="CW1531" s="6"/>
      <c r="CX1531" s="6"/>
      <c r="CY1531" s="6"/>
      <c r="CZ1531" s="6"/>
      <c r="DA1531" s="6"/>
      <c r="DB1531" s="6"/>
      <c r="DC1531" s="6"/>
      <c r="DD1531" s="6"/>
    </row>
    <row r="1532" spans="1:108" ht="12.75" hidden="1" customHeight="1" outlineLevel="5">
      <c r="A1532" s="104" t="s">
        <v>46</v>
      </c>
      <c r="B1532" s="28">
        <v>0</v>
      </c>
      <c r="C1532" s="11"/>
      <c r="D1532" s="18" t="str">
        <f t="shared" ref="D1532:D1541" si="83">"&lt;" &amp; A1532 &amp; "&gt;" &amp; TEXT(B1532,0) &amp; "&lt;/" &amp; A1532 &amp; "&gt;"</f>
        <v>&lt;Symmetry&gt;0&lt;/Symmetry&gt;</v>
      </c>
      <c r="E1532" s="175"/>
      <c r="F1532" s="6" t="s">
        <v>720</v>
      </c>
      <c r="G1532" s="6"/>
      <c r="H1532" s="6"/>
      <c r="I1532" s="6"/>
      <c r="J1532" s="6"/>
      <c r="K1532" s="6"/>
      <c r="L1532" s="6"/>
      <c r="M1532" s="6"/>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c r="BU1532" s="6"/>
      <c r="BV1532" s="6"/>
      <c r="BW1532" s="6"/>
      <c r="BX1532" s="6"/>
      <c r="BY1532" s="6"/>
      <c r="BZ1532" s="6"/>
      <c r="CA1532" s="6"/>
      <c r="CB1532" s="6"/>
      <c r="CC1532" s="6"/>
      <c r="CD1532" s="6"/>
      <c r="CE1532" s="6"/>
      <c r="CF1532" s="6"/>
      <c r="CG1532" s="6"/>
      <c r="CH1532" s="6"/>
      <c r="CI1532" s="6"/>
      <c r="CJ1532" s="6"/>
      <c r="CK1532" s="6"/>
      <c r="CL1532" s="6"/>
      <c r="CM1532" s="6"/>
      <c r="CN1532" s="6"/>
      <c r="CO1532" s="6"/>
      <c r="CP1532" s="6"/>
      <c r="CQ1532" s="6"/>
      <c r="CR1532" s="6"/>
      <c r="CS1532" s="6"/>
      <c r="CT1532" s="6"/>
      <c r="CU1532" s="6"/>
      <c r="CV1532" s="6"/>
      <c r="CW1532" s="6"/>
      <c r="CX1532" s="6"/>
      <c r="CY1532" s="6"/>
      <c r="CZ1532" s="6"/>
      <c r="DA1532" s="6"/>
      <c r="DB1532" s="6"/>
      <c r="DC1532" s="6"/>
      <c r="DD1532" s="6"/>
    </row>
    <row r="1533" spans="1:108" ht="12.75" hidden="1" customHeight="1" outlineLevel="5">
      <c r="A1533" s="104" t="s">
        <v>47</v>
      </c>
      <c r="B1533" s="28">
        <v>0</v>
      </c>
      <c r="C1533" s="11"/>
      <c r="D1533" s="18" t="str">
        <f t="shared" si="83"/>
        <v>&lt;RelXFormFlag&gt;0&lt;/RelXFormFlag&gt;</v>
      </c>
      <c r="E1533" s="175"/>
      <c r="F1533" s="6" t="s">
        <v>628</v>
      </c>
      <c r="G1533" s="6"/>
      <c r="H1533" s="6"/>
      <c r="I1533" s="6"/>
      <c r="J1533" s="6"/>
      <c r="K1533" s="6"/>
      <c r="L1533" s="6"/>
      <c r="M1533" s="6"/>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c r="BU1533" s="6"/>
      <c r="BV1533" s="6"/>
      <c r="BW1533" s="6"/>
      <c r="BX1533" s="6"/>
      <c r="BY1533" s="6"/>
      <c r="BZ1533" s="6"/>
      <c r="CA1533" s="6"/>
      <c r="CB1533" s="6"/>
      <c r="CC1533" s="6"/>
      <c r="CD1533" s="6"/>
      <c r="CE1533" s="6"/>
      <c r="CF1533" s="6"/>
      <c r="CG1533" s="6"/>
      <c r="CH1533" s="6"/>
      <c r="CI1533" s="6"/>
      <c r="CJ1533" s="6"/>
      <c r="CK1533" s="6"/>
      <c r="CL1533" s="6"/>
      <c r="CM1533" s="6"/>
      <c r="CN1533" s="6"/>
      <c r="CO1533" s="6"/>
      <c r="CP1533" s="6"/>
      <c r="CQ1533" s="6"/>
      <c r="CR1533" s="6"/>
      <c r="CS1533" s="6"/>
      <c r="CT1533" s="6"/>
      <c r="CU1533" s="6"/>
      <c r="CV1533" s="6"/>
      <c r="CW1533" s="6"/>
      <c r="CX1533" s="6"/>
      <c r="CY1533" s="6"/>
      <c r="CZ1533" s="6"/>
      <c r="DA1533" s="6"/>
      <c r="DB1533" s="6"/>
      <c r="DC1533" s="6"/>
      <c r="DD1533" s="6"/>
    </row>
    <row r="1534" spans="1:108" ht="12.75" hidden="1" customHeight="1" outlineLevel="5">
      <c r="A1534" s="104" t="s">
        <v>48</v>
      </c>
      <c r="B1534" s="28">
        <v>2</v>
      </c>
      <c r="C1534" s="11"/>
      <c r="D1534" s="18" t="str">
        <f t="shared" si="83"/>
        <v>&lt;MaterialID&gt;2&lt;/MaterialID&gt;</v>
      </c>
      <c r="E1534" s="175"/>
      <c r="F1534" s="6" t="s">
        <v>861</v>
      </c>
      <c r="G1534" s="6"/>
      <c r="H1534" s="6"/>
      <c r="I1534" s="6"/>
      <c r="J1534" s="6"/>
      <c r="K1534" s="6"/>
      <c r="L1534" s="6"/>
      <c r="M1534" s="6"/>
      <c r="N1534" s="6"/>
      <c r="O1534" s="6"/>
      <c r="P1534" s="6"/>
      <c r="Q1534" s="6"/>
      <c r="R1534" s="6"/>
      <c r="S1534" s="6"/>
      <c r="T1534" s="6"/>
      <c r="U1534" s="6"/>
      <c r="V1534" s="6"/>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c r="BU1534" s="6"/>
      <c r="BV1534" s="6"/>
      <c r="BW1534" s="6"/>
      <c r="BX1534" s="6"/>
      <c r="BY1534" s="6"/>
      <c r="BZ1534" s="6"/>
      <c r="CA1534" s="6"/>
      <c r="CB1534" s="6"/>
      <c r="CC1534" s="6"/>
      <c r="CD1534" s="6"/>
      <c r="CE1534" s="6"/>
      <c r="CF1534" s="6"/>
      <c r="CG1534" s="6"/>
      <c r="CH1534" s="6"/>
      <c r="CI1534" s="6"/>
      <c r="CJ1534" s="6"/>
      <c r="CK1534" s="6"/>
      <c r="CL1534" s="6"/>
      <c r="CM1534" s="6"/>
      <c r="CN1534" s="6"/>
      <c r="CO1534" s="6"/>
      <c r="CP1534" s="6"/>
      <c r="CQ1534" s="6"/>
      <c r="CR1534" s="6"/>
      <c r="CS1534" s="6"/>
      <c r="CT1534" s="6"/>
      <c r="CU1534" s="6"/>
      <c r="CV1534" s="6"/>
      <c r="CW1534" s="6"/>
      <c r="CX1534" s="6"/>
      <c r="CY1534" s="6"/>
      <c r="CZ1534" s="6"/>
      <c r="DA1534" s="6"/>
      <c r="DB1534" s="6"/>
      <c r="DC1534" s="6"/>
      <c r="DD1534" s="6"/>
    </row>
    <row r="1535" spans="1:108" ht="12.75" hidden="1" customHeight="1" outlineLevel="5">
      <c r="A1535" s="104" t="s">
        <v>49</v>
      </c>
      <c r="B1535" s="28">
        <v>1</v>
      </c>
      <c r="C1535" s="11"/>
      <c r="D1535" s="18" t="str">
        <f t="shared" si="83"/>
        <v>&lt;OutputFlag&gt;1&lt;/OutputFlag&gt;</v>
      </c>
      <c r="E1535" s="175"/>
      <c r="F1535" s="6" t="s">
        <v>630</v>
      </c>
      <c r="G1535" s="6"/>
      <c r="H1535" s="6"/>
      <c r="I1535" s="6"/>
      <c r="J1535" s="6"/>
      <c r="K1535" s="6"/>
      <c r="L1535" s="6"/>
      <c r="M1535" s="6"/>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c r="BU1535" s="6"/>
      <c r="BV1535" s="6"/>
      <c r="BW1535" s="6"/>
      <c r="BX1535" s="6"/>
      <c r="BY1535" s="6"/>
      <c r="BZ1535" s="6"/>
      <c r="CA1535" s="6"/>
      <c r="CB1535" s="6"/>
      <c r="CC1535" s="6"/>
      <c r="CD1535" s="6"/>
      <c r="CE1535" s="6"/>
      <c r="CF1535" s="6"/>
      <c r="CG1535" s="6"/>
      <c r="CH1535" s="6"/>
      <c r="CI1535" s="6"/>
      <c r="CJ1535" s="6"/>
      <c r="CK1535" s="6"/>
      <c r="CL1535" s="6"/>
      <c r="CM1535" s="6"/>
      <c r="CN1535" s="6"/>
      <c r="CO1535" s="6"/>
      <c r="CP1535" s="6"/>
      <c r="CQ1535" s="6"/>
      <c r="CR1535" s="6"/>
      <c r="CS1535" s="6"/>
      <c r="CT1535" s="6"/>
      <c r="CU1535" s="6"/>
      <c r="CV1535" s="6"/>
      <c r="CW1535" s="6"/>
      <c r="CX1535" s="6"/>
      <c r="CY1535" s="6"/>
      <c r="CZ1535" s="6"/>
      <c r="DA1535" s="6"/>
      <c r="DB1535" s="6"/>
      <c r="DC1535" s="6"/>
      <c r="DD1535" s="6"/>
    </row>
    <row r="1536" spans="1:108" ht="12.75" hidden="1" customHeight="1" outlineLevel="5">
      <c r="A1536" s="104" t="s">
        <v>50</v>
      </c>
      <c r="B1536" s="28">
        <v>0</v>
      </c>
      <c r="C1536" s="11"/>
      <c r="D1536" s="18" t="str">
        <f t="shared" si="83"/>
        <v>&lt;OutputNameID&gt;0&lt;/OutputNameID&gt;</v>
      </c>
      <c r="E1536" s="175"/>
      <c r="F1536" s="6" t="s">
        <v>631</v>
      </c>
      <c r="G1536" s="6"/>
      <c r="H1536" s="6"/>
      <c r="I1536" s="6"/>
      <c r="J1536" s="6"/>
      <c r="K1536" s="6"/>
      <c r="L1536" s="6"/>
      <c r="M1536" s="6"/>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c r="BU1536" s="6"/>
      <c r="BV1536" s="6"/>
      <c r="BW1536" s="6"/>
      <c r="BX1536" s="6"/>
      <c r="BY1536" s="6"/>
      <c r="BZ1536" s="6"/>
      <c r="CA1536" s="6"/>
      <c r="CB1536" s="6"/>
      <c r="CC1536" s="6"/>
      <c r="CD1536" s="6"/>
      <c r="CE1536" s="6"/>
      <c r="CF1536" s="6"/>
      <c r="CG1536" s="6"/>
      <c r="CH1536" s="6"/>
      <c r="CI1536" s="6"/>
      <c r="CJ1536" s="6"/>
      <c r="CK1536" s="6"/>
      <c r="CL1536" s="6"/>
      <c r="CM1536" s="6"/>
      <c r="CN1536" s="6"/>
      <c r="CO1536" s="6"/>
      <c r="CP1536" s="6"/>
      <c r="CQ1536" s="6"/>
      <c r="CR1536" s="6"/>
      <c r="CS1536" s="6"/>
      <c r="CT1536" s="6"/>
      <c r="CU1536" s="6"/>
      <c r="CV1536" s="6"/>
      <c r="CW1536" s="6"/>
      <c r="CX1536" s="6"/>
      <c r="CY1536" s="6"/>
      <c r="CZ1536" s="6"/>
      <c r="DA1536" s="6"/>
      <c r="DB1536" s="6"/>
      <c r="DC1536" s="6"/>
      <c r="DD1536" s="6"/>
    </row>
    <row r="1537" spans="1:108" ht="12.75" hidden="1" customHeight="1" outlineLevel="5">
      <c r="A1537" s="104" t="s">
        <v>51</v>
      </c>
      <c r="B1537" s="28">
        <v>1</v>
      </c>
      <c r="C1537" s="11"/>
      <c r="D1537" s="18" t="str">
        <f t="shared" si="83"/>
        <v>&lt;DisplayChildrenFlag&gt;1&lt;/DisplayChildrenFlag&gt;</v>
      </c>
      <c r="E1537" s="175"/>
      <c r="F1537" s="6" t="s">
        <v>632</v>
      </c>
      <c r="G1537" s="6"/>
      <c r="H1537" s="6"/>
      <c r="I1537" s="6"/>
      <c r="J1537" s="6"/>
      <c r="K1537" s="6"/>
      <c r="L1537" s="6"/>
      <c r="M1537" s="6"/>
      <c r="N1537" s="6"/>
      <c r="O1537" s="6"/>
      <c r="P1537" s="6"/>
      <c r="Q1537" s="6"/>
      <c r="R1537" s="6"/>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c r="BU1537" s="6"/>
      <c r="BV1537" s="6"/>
      <c r="BW1537" s="6"/>
      <c r="BX1537" s="6"/>
      <c r="BY1537" s="6"/>
      <c r="BZ1537" s="6"/>
      <c r="CA1537" s="6"/>
      <c r="CB1537" s="6"/>
      <c r="CC1537" s="6"/>
      <c r="CD1537" s="6"/>
      <c r="CE1537" s="6"/>
      <c r="CF1537" s="6"/>
      <c r="CG1537" s="6"/>
      <c r="CH1537" s="6"/>
      <c r="CI1537" s="6"/>
      <c r="CJ1537" s="6"/>
      <c r="CK1537" s="6"/>
      <c r="CL1537" s="6"/>
      <c r="CM1537" s="6"/>
      <c r="CN1537" s="6"/>
      <c r="CO1537" s="6"/>
      <c r="CP1537" s="6"/>
      <c r="CQ1537" s="6"/>
      <c r="CR1537" s="6"/>
      <c r="CS1537" s="6"/>
      <c r="CT1537" s="6"/>
      <c r="CU1537" s="6"/>
      <c r="CV1537" s="6"/>
      <c r="CW1537" s="6"/>
      <c r="CX1537" s="6"/>
      <c r="CY1537" s="6"/>
      <c r="CZ1537" s="6"/>
      <c r="DA1537" s="6"/>
      <c r="DB1537" s="6"/>
      <c r="DC1537" s="6"/>
      <c r="DD1537" s="6"/>
    </row>
    <row r="1538" spans="1:108" ht="12.75" hidden="1" customHeight="1" outlineLevel="5">
      <c r="A1538" s="104" t="s">
        <v>52</v>
      </c>
      <c r="B1538" s="28">
        <v>21</v>
      </c>
      <c r="C1538" s="11"/>
      <c r="D1538" s="18" t="str">
        <f t="shared" si="83"/>
        <v>&lt;NumPnts&gt;21&lt;/NumPnts&gt;</v>
      </c>
      <c r="E1538" s="175"/>
      <c r="F1538" s="6" t="s">
        <v>633</v>
      </c>
      <c r="G1538" s="6"/>
      <c r="H1538" s="6"/>
      <c r="I1538" s="6"/>
      <c r="J1538" s="6"/>
      <c r="K1538" s="6"/>
      <c r="L1538" s="6"/>
      <c r="M1538" s="6"/>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c r="BU1538" s="6"/>
      <c r="BV1538" s="6"/>
      <c r="BW1538" s="6"/>
      <c r="BX1538" s="6"/>
      <c r="BY1538" s="6"/>
      <c r="BZ1538" s="6"/>
      <c r="CA1538" s="6"/>
      <c r="CB1538" s="6"/>
      <c r="CC1538" s="6"/>
      <c r="CD1538" s="6"/>
      <c r="CE1538" s="6"/>
      <c r="CF1538" s="6"/>
      <c r="CG1538" s="6"/>
      <c r="CH1538" s="6"/>
      <c r="CI1538" s="6"/>
      <c r="CJ1538" s="6"/>
      <c r="CK1538" s="6"/>
      <c r="CL1538" s="6"/>
      <c r="CM1538" s="6"/>
      <c r="CN1538" s="6"/>
      <c r="CO1538" s="6"/>
      <c r="CP1538" s="6"/>
      <c r="CQ1538" s="6"/>
      <c r="CR1538" s="6"/>
      <c r="CS1538" s="6"/>
      <c r="CT1538" s="6"/>
      <c r="CU1538" s="6"/>
      <c r="CV1538" s="6"/>
      <c r="CW1538" s="6"/>
      <c r="CX1538" s="6"/>
      <c r="CY1538" s="6"/>
      <c r="CZ1538" s="6"/>
      <c r="DA1538" s="6"/>
      <c r="DB1538" s="6"/>
      <c r="DC1538" s="6"/>
      <c r="DD1538" s="6"/>
    </row>
    <row r="1539" spans="1:108" ht="12.75" hidden="1" customHeight="1" outlineLevel="5">
      <c r="A1539" s="104" t="s">
        <v>53</v>
      </c>
      <c r="B1539" s="28">
        <v>11</v>
      </c>
      <c r="C1539" s="11"/>
      <c r="D1539" s="18" t="str">
        <f t="shared" si="83"/>
        <v>&lt;NumXsecs&gt;11&lt;/NumXsecs&gt;</v>
      </c>
      <c r="E1539" s="175"/>
      <c r="F1539" s="6" t="s">
        <v>732</v>
      </c>
      <c r="G1539" s="6"/>
      <c r="H1539" s="6"/>
      <c r="I1539" s="6"/>
      <c r="J1539" s="6"/>
      <c r="K1539" s="6"/>
      <c r="L1539" s="6"/>
      <c r="M1539" s="6"/>
      <c r="N1539" s="6"/>
      <c r="O1539" s="6"/>
      <c r="P1539" s="6"/>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c r="BU1539" s="6"/>
      <c r="BV1539" s="6"/>
      <c r="BW1539" s="6"/>
      <c r="BX1539" s="6"/>
      <c r="BY1539" s="6"/>
      <c r="BZ1539" s="6"/>
      <c r="CA1539" s="6"/>
      <c r="CB1539" s="6"/>
      <c r="CC1539" s="6"/>
      <c r="CD1539" s="6"/>
      <c r="CE1539" s="6"/>
      <c r="CF1539" s="6"/>
      <c r="CG1539" s="6"/>
      <c r="CH1539" s="6"/>
      <c r="CI1539" s="6"/>
      <c r="CJ1539" s="6"/>
      <c r="CK1539" s="6"/>
      <c r="CL1539" s="6"/>
      <c r="CM1539" s="6"/>
      <c r="CN1539" s="6"/>
      <c r="CO1539" s="6"/>
      <c r="CP1539" s="6"/>
      <c r="CQ1539" s="6"/>
      <c r="CR1539" s="6"/>
      <c r="CS1539" s="6"/>
      <c r="CT1539" s="6"/>
      <c r="CU1539" s="6"/>
      <c r="CV1539" s="6"/>
      <c r="CW1539" s="6"/>
      <c r="CX1539" s="6"/>
      <c r="CY1539" s="6"/>
      <c r="CZ1539" s="6"/>
      <c r="DA1539" s="6"/>
      <c r="DB1539" s="6"/>
      <c r="DC1539" s="6"/>
      <c r="DD1539" s="6"/>
    </row>
    <row r="1540" spans="1:108" ht="12.75" hidden="1" customHeight="1" outlineLevel="5">
      <c r="A1540" s="104" t="s">
        <v>54</v>
      </c>
      <c r="B1540" s="28">
        <v>0</v>
      </c>
      <c r="C1540" s="11"/>
      <c r="D1540" s="18" t="str">
        <f t="shared" si="83"/>
        <v>&lt;MassPrior&gt;0&lt;/MassPrior&gt;</v>
      </c>
      <c r="E1540" s="175"/>
      <c r="F1540" s="6" t="s">
        <v>635</v>
      </c>
      <c r="G1540" s="6"/>
      <c r="H1540" s="6"/>
      <c r="I1540" s="6"/>
      <c r="J1540" s="6"/>
      <c r="K1540" s="6"/>
      <c r="L1540" s="6"/>
      <c r="M1540" s="6"/>
      <c r="N1540" s="6"/>
      <c r="O1540" s="6"/>
      <c r="P1540" s="6"/>
      <c r="Q1540" s="6"/>
      <c r="R1540" s="6"/>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c r="BU1540" s="6"/>
      <c r="BV1540" s="6"/>
      <c r="BW1540" s="6"/>
      <c r="BX1540" s="6"/>
      <c r="BY1540" s="6"/>
      <c r="BZ1540" s="6"/>
      <c r="CA1540" s="6"/>
      <c r="CB1540" s="6"/>
      <c r="CC1540" s="6"/>
      <c r="CD1540" s="6"/>
      <c r="CE1540" s="6"/>
      <c r="CF1540" s="6"/>
      <c r="CG1540" s="6"/>
      <c r="CH1540" s="6"/>
      <c r="CI1540" s="6"/>
      <c r="CJ1540" s="6"/>
      <c r="CK1540" s="6"/>
      <c r="CL1540" s="6"/>
      <c r="CM1540" s="6"/>
      <c r="CN1540" s="6"/>
      <c r="CO1540" s="6"/>
      <c r="CP1540" s="6"/>
      <c r="CQ1540" s="6"/>
      <c r="CR1540" s="6"/>
      <c r="CS1540" s="6"/>
      <c r="CT1540" s="6"/>
      <c r="CU1540" s="6"/>
      <c r="CV1540" s="6"/>
      <c r="CW1540" s="6"/>
      <c r="CX1540" s="6"/>
      <c r="CY1540" s="6"/>
      <c r="CZ1540" s="6"/>
      <c r="DA1540" s="6"/>
      <c r="DB1540" s="6"/>
      <c r="DC1540" s="6"/>
      <c r="DD1540" s="6"/>
    </row>
    <row r="1541" spans="1:108" ht="12.75" hidden="1" customHeight="1" outlineLevel="5">
      <c r="A1541" s="104" t="s">
        <v>55</v>
      </c>
      <c r="B1541" s="28">
        <v>0</v>
      </c>
      <c r="C1541" s="11"/>
      <c r="D1541" s="18" t="str">
        <f t="shared" si="83"/>
        <v>&lt;ShellFlag&gt;0&lt;/ShellFlag&gt;</v>
      </c>
      <c r="E1541" s="175"/>
      <c r="F1541" s="6" t="s">
        <v>636</v>
      </c>
      <c r="G1541" s="6"/>
      <c r="H1541" s="6"/>
      <c r="I1541" s="6"/>
      <c r="J1541" s="6"/>
      <c r="K1541" s="6"/>
      <c r="L1541" s="6"/>
      <c r="M1541" s="6"/>
      <c r="N1541" s="6"/>
      <c r="O1541" s="6"/>
      <c r="P1541" s="6"/>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c r="BU1541" s="6"/>
      <c r="BV1541" s="6"/>
      <c r="BW1541" s="6"/>
      <c r="BX1541" s="6"/>
      <c r="BY1541" s="6"/>
      <c r="BZ1541" s="6"/>
      <c r="CA1541" s="6"/>
      <c r="CB1541" s="6"/>
      <c r="CC1541" s="6"/>
      <c r="CD1541" s="6"/>
      <c r="CE1541" s="6"/>
      <c r="CF1541" s="6"/>
      <c r="CG1541" s="6"/>
      <c r="CH1541" s="6"/>
      <c r="CI1541" s="6"/>
      <c r="CJ1541" s="6"/>
      <c r="CK1541" s="6"/>
      <c r="CL1541" s="6"/>
      <c r="CM1541" s="6"/>
      <c r="CN1541" s="6"/>
      <c r="CO1541" s="6"/>
      <c r="CP1541" s="6"/>
      <c r="CQ1541" s="6"/>
      <c r="CR1541" s="6"/>
      <c r="CS1541" s="6"/>
      <c r="CT1541" s="6"/>
      <c r="CU1541" s="6"/>
      <c r="CV1541" s="6"/>
      <c r="CW1541" s="6"/>
      <c r="CX1541" s="6"/>
      <c r="CY1541" s="6"/>
      <c r="CZ1541" s="6"/>
      <c r="DA1541" s="6"/>
      <c r="DB1541" s="6"/>
      <c r="DC1541" s="6"/>
      <c r="DD1541" s="6"/>
    </row>
    <row r="1542" spans="1:108" ht="12.75" hidden="1" customHeight="1" outlineLevel="5">
      <c r="A1542" s="104" t="s">
        <v>56</v>
      </c>
      <c r="B1542" s="38">
        <v>0</v>
      </c>
      <c r="C1542" s="11"/>
      <c r="D1542" s="18" t="str">
        <f t="shared" ref="D1542:D1556" si="84">"&lt;" &amp; A1542 &amp; "&gt;" &amp; TEXT(B1542,"0.000000") &amp; "&lt;/" &amp; A1542 &amp; "&gt;"</f>
        <v>&lt;Tran_X&gt;0.000000&lt;/Tran_X&gt;</v>
      </c>
      <c r="E1542" s="175"/>
      <c r="F1542" s="6" t="s">
        <v>759</v>
      </c>
      <c r="G1542" s="6"/>
      <c r="H1542" s="6"/>
      <c r="I1542" s="6"/>
      <c r="J1542" s="6"/>
      <c r="K1542" s="6"/>
      <c r="L1542" s="6"/>
      <c r="M1542" s="6"/>
      <c r="N1542" s="6"/>
      <c r="O1542" s="6"/>
      <c r="P1542" s="6"/>
      <c r="Q1542" s="6"/>
      <c r="R1542" s="6"/>
      <c r="S1542" s="6"/>
      <c r="T1542" s="6"/>
      <c r="U1542" s="6"/>
      <c r="V1542" s="6"/>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c r="BU1542" s="6"/>
      <c r="BV1542" s="6"/>
      <c r="BW1542" s="6"/>
      <c r="BX1542" s="6"/>
      <c r="BY1542" s="6"/>
      <c r="BZ1542" s="6"/>
      <c r="CA1542" s="6"/>
      <c r="CB1542" s="6"/>
      <c r="CC1542" s="6"/>
      <c r="CD1542" s="6"/>
      <c r="CE1542" s="6"/>
      <c r="CF1542" s="6"/>
      <c r="CG1542" s="6"/>
      <c r="CH1542" s="6"/>
      <c r="CI1542" s="6"/>
      <c r="CJ1542" s="6"/>
      <c r="CK1542" s="6"/>
      <c r="CL1542" s="6"/>
      <c r="CM1542" s="6"/>
      <c r="CN1542" s="6"/>
      <c r="CO1542" s="6"/>
      <c r="CP1542" s="6"/>
      <c r="CQ1542" s="6"/>
      <c r="CR1542" s="6"/>
      <c r="CS1542" s="6"/>
      <c r="CT1542" s="6"/>
      <c r="CU1542" s="6"/>
      <c r="CV1542" s="6"/>
      <c r="CW1542" s="6"/>
      <c r="CX1542" s="6"/>
      <c r="CY1542" s="6"/>
      <c r="CZ1542" s="6"/>
      <c r="DA1542" s="6"/>
      <c r="DB1542" s="6"/>
      <c r="DC1542" s="6"/>
      <c r="DD1542" s="6"/>
    </row>
    <row r="1543" spans="1:108" ht="12.75" hidden="1" customHeight="1" outlineLevel="5">
      <c r="A1543" s="104" t="s">
        <v>57</v>
      </c>
      <c r="B1543" s="38">
        <v>0</v>
      </c>
      <c r="C1543" s="11"/>
      <c r="D1543" s="18" t="str">
        <f t="shared" si="84"/>
        <v>&lt;Tran_Y&gt;0.000000&lt;/Tran_Y&gt;</v>
      </c>
      <c r="E1543" s="175"/>
      <c r="F1543" s="6" t="s">
        <v>638</v>
      </c>
      <c r="G1543" s="6"/>
      <c r="H1543" s="6"/>
      <c r="I1543" s="6"/>
      <c r="J1543" s="6"/>
      <c r="K1543" s="6"/>
      <c r="L1543" s="6"/>
      <c r="M1543" s="6"/>
      <c r="N1543" s="6"/>
      <c r="O1543" s="6"/>
      <c r="P1543" s="6"/>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c r="BU1543" s="6"/>
      <c r="BV1543" s="6"/>
      <c r="BW1543" s="6"/>
      <c r="BX1543" s="6"/>
      <c r="BY1543" s="6"/>
      <c r="BZ1543" s="6"/>
      <c r="CA1543" s="6"/>
      <c r="CB1543" s="6"/>
      <c r="CC1543" s="6"/>
      <c r="CD1543" s="6"/>
      <c r="CE1543" s="6"/>
      <c r="CF1543" s="6"/>
      <c r="CG1543" s="6"/>
      <c r="CH1543" s="6"/>
      <c r="CI1543" s="6"/>
      <c r="CJ1543" s="6"/>
      <c r="CK1543" s="6"/>
      <c r="CL1543" s="6"/>
      <c r="CM1543" s="6"/>
      <c r="CN1543" s="6"/>
      <c r="CO1543" s="6"/>
      <c r="CP1543" s="6"/>
      <c r="CQ1543" s="6"/>
      <c r="CR1543" s="6"/>
      <c r="CS1543" s="6"/>
      <c r="CT1543" s="6"/>
      <c r="CU1543" s="6"/>
      <c r="CV1543" s="6"/>
      <c r="CW1543" s="6"/>
      <c r="CX1543" s="6"/>
      <c r="CY1543" s="6"/>
      <c r="CZ1543" s="6"/>
      <c r="DA1543" s="6"/>
      <c r="DB1543" s="6"/>
      <c r="DC1543" s="6"/>
      <c r="DD1543" s="6"/>
    </row>
    <row r="1544" spans="1:108" ht="12.75" hidden="1" customHeight="1" outlineLevel="5">
      <c r="A1544" s="104" t="s">
        <v>58</v>
      </c>
      <c r="B1544" s="38">
        <f>d_e.j/2</f>
        <v>0.82173499999999999</v>
      </c>
      <c r="C1544" s="11"/>
      <c r="D1544" s="18" t="str">
        <f t="shared" si="84"/>
        <v>&lt;Tran_Z&gt;0.821735&lt;/Tran_Z&gt;</v>
      </c>
      <c r="E1544" s="175"/>
      <c r="F1544" s="6" t="s">
        <v>1004</v>
      </c>
      <c r="G1544" s="6"/>
      <c r="H1544" s="6"/>
      <c r="I1544" s="6"/>
      <c r="J1544" s="6"/>
      <c r="K1544" s="6"/>
      <c r="L1544" s="6"/>
      <c r="M1544" s="6"/>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c r="BU1544" s="6"/>
      <c r="BV1544" s="6"/>
      <c r="BW1544" s="6"/>
      <c r="BX1544" s="6"/>
      <c r="BY1544" s="6"/>
      <c r="BZ1544" s="6"/>
      <c r="CA1544" s="6"/>
      <c r="CB1544" s="6"/>
      <c r="CC1544" s="6"/>
      <c r="CD1544" s="6"/>
      <c r="CE1544" s="6"/>
      <c r="CF1544" s="6"/>
      <c r="CG1544" s="6"/>
      <c r="CH1544" s="6"/>
      <c r="CI1544" s="6"/>
      <c r="CJ1544" s="6"/>
      <c r="CK1544" s="6"/>
      <c r="CL1544" s="6"/>
      <c r="CM1544" s="6"/>
      <c r="CN1544" s="6"/>
      <c r="CO1544" s="6"/>
      <c r="CP1544" s="6"/>
      <c r="CQ1544" s="6"/>
      <c r="CR1544" s="6"/>
      <c r="CS1544" s="6"/>
      <c r="CT1544" s="6"/>
      <c r="CU1544" s="6"/>
      <c r="CV1544" s="6"/>
      <c r="CW1544" s="6"/>
      <c r="CX1544" s="6"/>
      <c r="CY1544" s="6"/>
      <c r="CZ1544" s="6"/>
      <c r="DA1544" s="6"/>
      <c r="DB1544" s="6"/>
      <c r="DC1544" s="6"/>
      <c r="DD1544" s="6"/>
    </row>
    <row r="1545" spans="1:108" ht="12.75" hidden="1" customHeight="1" outlineLevel="5">
      <c r="A1545" s="104" t="s">
        <v>59</v>
      </c>
      <c r="B1545" s="28">
        <v>0</v>
      </c>
      <c r="C1545" s="11"/>
      <c r="D1545" s="18" t="str">
        <f t="shared" si="84"/>
        <v>&lt;TranRel_X&gt;0.000000&lt;/TranRel_X&gt;</v>
      </c>
      <c r="E1545" s="175"/>
      <c r="F1545" s="6" t="s">
        <v>639</v>
      </c>
      <c r="G1545" s="6"/>
      <c r="H1545" s="6"/>
      <c r="I1545" s="6"/>
      <c r="J1545" s="6"/>
      <c r="K1545" s="6"/>
      <c r="L1545" s="6"/>
      <c r="M1545" s="6"/>
      <c r="N1545" s="6"/>
      <c r="O1545" s="6"/>
      <c r="P1545" s="6"/>
      <c r="Q1545" s="6"/>
      <c r="R1545" s="6"/>
      <c r="S1545" s="6"/>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c r="BU1545" s="6"/>
      <c r="BV1545" s="6"/>
      <c r="BW1545" s="6"/>
      <c r="BX1545" s="6"/>
      <c r="BY1545" s="6"/>
      <c r="BZ1545" s="6"/>
      <c r="CA1545" s="6"/>
      <c r="CB1545" s="6"/>
      <c r="CC1545" s="6"/>
      <c r="CD1545" s="6"/>
      <c r="CE1545" s="6"/>
      <c r="CF1545" s="6"/>
      <c r="CG1545" s="6"/>
      <c r="CH1545" s="6"/>
      <c r="CI1545" s="6"/>
      <c r="CJ1545" s="6"/>
      <c r="CK1545" s="6"/>
      <c r="CL1545" s="6"/>
      <c r="CM1545" s="6"/>
      <c r="CN1545" s="6"/>
      <c r="CO1545" s="6"/>
      <c r="CP1545" s="6"/>
      <c r="CQ1545" s="6"/>
      <c r="CR1545" s="6"/>
      <c r="CS1545" s="6"/>
      <c r="CT1545" s="6"/>
      <c r="CU1545" s="6"/>
      <c r="CV1545" s="6"/>
      <c r="CW1545" s="6"/>
      <c r="CX1545" s="6"/>
      <c r="CY1545" s="6"/>
      <c r="CZ1545" s="6"/>
      <c r="DA1545" s="6"/>
      <c r="DB1545" s="6"/>
      <c r="DC1545" s="6"/>
      <c r="DD1545" s="6"/>
    </row>
    <row r="1546" spans="1:108" ht="12.75" hidden="1" customHeight="1" outlineLevel="5">
      <c r="A1546" s="104" t="s">
        <v>60</v>
      </c>
      <c r="B1546" s="28">
        <v>0</v>
      </c>
      <c r="C1546" s="11"/>
      <c r="D1546" s="18" t="str">
        <f t="shared" si="84"/>
        <v>&lt;TranRel_Y&gt;0.000000&lt;/TranRel_Y&gt;</v>
      </c>
      <c r="E1546" s="175"/>
      <c r="F1546" s="6" t="s">
        <v>640</v>
      </c>
      <c r="G1546" s="6"/>
      <c r="H1546" s="6"/>
      <c r="I1546" s="6"/>
      <c r="J1546" s="6"/>
      <c r="K1546" s="6"/>
      <c r="L1546" s="6"/>
      <c r="M1546" s="6"/>
      <c r="N1546" s="6"/>
      <c r="O1546" s="6"/>
      <c r="P1546" s="6"/>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c r="BU1546" s="6"/>
      <c r="BV1546" s="6"/>
      <c r="BW1546" s="6"/>
      <c r="BX1546" s="6"/>
      <c r="BY1546" s="6"/>
      <c r="BZ1546" s="6"/>
      <c r="CA1546" s="6"/>
      <c r="CB1546" s="6"/>
      <c r="CC1546" s="6"/>
      <c r="CD1546" s="6"/>
      <c r="CE1546" s="6"/>
      <c r="CF1546" s="6"/>
      <c r="CG1546" s="6"/>
      <c r="CH1546" s="6"/>
      <c r="CI1546" s="6"/>
      <c r="CJ1546" s="6"/>
      <c r="CK1546" s="6"/>
      <c r="CL1546" s="6"/>
      <c r="CM1546" s="6"/>
      <c r="CN1546" s="6"/>
      <c r="CO1546" s="6"/>
      <c r="CP1546" s="6"/>
      <c r="CQ1546" s="6"/>
      <c r="CR1546" s="6"/>
      <c r="CS1546" s="6"/>
      <c r="CT1546" s="6"/>
      <c r="CU1546" s="6"/>
      <c r="CV1546" s="6"/>
      <c r="CW1546" s="6"/>
      <c r="CX1546" s="6"/>
      <c r="CY1546" s="6"/>
      <c r="CZ1546" s="6"/>
      <c r="DA1546" s="6"/>
      <c r="DB1546" s="6"/>
      <c r="DC1546" s="6"/>
      <c r="DD1546" s="6"/>
    </row>
    <row r="1547" spans="1:108" ht="12.75" hidden="1" customHeight="1" outlineLevel="5">
      <c r="A1547" s="104" t="s">
        <v>61</v>
      </c>
      <c r="B1547" s="28">
        <v>0</v>
      </c>
      <c r="C1547" s="11"/>
      <c r="D1547" s="18" t="str">
        <f t="shared" si="84"/>
        <v>&lt;TranRel_Z&gt;0.000000&lt;/TranRel_Z&gt;</v>
      </c>
      <c r="E1547" s="175"/>
      <c r="F1547" s="6" t="s">
        <v>641</v>
      </c>
      <c r="G1547" s="6"/>
      <c r="H1547" s="6"/>
      <c r="I1547" s="6"/>
      <c r="J1547" s="6"/>
      <c r="K1547" s="6"/>
      <c r="L1547" s="6"/>
      <c r="M1547" s="6"/>
      <c r="N1547" s="6"/>
      <c r="O1547" s="6"/>
      <c r="P1547" s="6"/>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c r="BU1547" s="6"/>
      <c r="BV1547" s="6"/>
      <c r="BW1547" s="6"/>
      <c r="BX1547" s="6"/>
      <c r="BY1547" s="6"/>
      <c r="BZ1547" s="6"/>
      <c r="CA1547" s="6"/>
      <c r="CB1547" s="6"/>
      <c r="CC1547" s="6"/>
      <c r="CD1547" s="6"/>
      <c r="CE1547" s="6"/>
      <c r="CF1547" s="6"/>
      <c r="CG1547" s="6"/>
      <c r="CH1547" s="6"/>
      <c r="CI1547" s="6"/>
      <c r="CJ1547" s="6"/>
      <c r="CK1547" s="6"/>
      <c r="CL1547" s="6"/>
      <c r="CM1547" s="6"/>
      <c r="CN1547" s="6"/>
      <c r="CO1547" s="6"/>
      <c r="CP1547" s="6"/>
      <c r="CQ1547" s="6"/>
      <c r="CR1547" s="6"/>
      <c r="CS1547" s="6"/>
      <c r="CT1547" s="6"/>
      <c r="CU1547" s="6"/>
      <c r="CV1547" s="6"/>
      <c r="CW1547" s="6"/>
      <c r="CX1547" s="6"/>
      <c r="CY1547" s="6"/>
      <c r="CZ1547" s="6"/>
      <c r="DA1547" s="6"/>
      <c r="DB1547" s="6"/>
      <c r="DC1547" s="6"/>
      <c r="DD1547" s="6"/>
    </row>
    <row r="1548" spans="1:108" ht="12.75" hidden="1" customHeight="1" outlineLevel="5">
      <c r="A1548" s="104" t="s">
        <v>62</v>
      </c>
      <c r="B1548" s="28">
        <v>90</v>
      </c>
      <c r="C1548" s="11"/>
      <c r="D1548" s="18" t="str">
        <f t="shared" si="84"/>
        <v>&lt;Rot_X&gt;90.000000&lt;/Rot_X&gt;</v>
      </c>
      <c r="E1548" s="175"/>
      <c r="F1548" s="6" t="s">
        <v>723</v>
      </c>
      <c r="G1548" s="6"/>
      <c r="H1548" s="6"/>
      <c r="I1548" s="6"/>
      <c r="J1548" s="6"/>
      <c r="K1548" s="6"/>
      <c r="L1548" s="6"/>
      <c r="M1548" s="6"/>
      <c r="N1548" s="6"/>
      <c r="O1548" s="6"/>
      <c r="P1548" s="6"/>
      <c r="Q1548" s="6"/>
      <c r="R1548" s="6"/>
      <c r="S1548" s="6"/>
      <c r="T1548" s="6"/>
      <c r="U1548" s="6"/>
      <c r="V1548" s="6"/>
      <c r="W1548" s="6"/>
      <c r="X1548" s="6"/>
      <c r="Y1548" s="6"/>
      <c r="Z1548" s="6"/>
      <c r="AA1548" s="6"/>
      <c r="AB1548" s="6"/>
      <c r="AC1548" s="6"/>
      <c r="AD1548" s="6"/>
      <c r="AE1548" s="6"/>
      <c r="AF1548" s="6"/>
      <c r="AG1548" s="6"/>
      <c r="AH1548" s="6"/>
      <c r="AI1548" s="6"/>
      <c r="AJ1548" s="6"/>
      <c r="AK1548" s="6"/>
      <c r="AL1548" s="6"/>
      <c r="AM1548" s="6"/>
      <c r="AN1548" s="6"/>
      <c r="AO1548" s="6"/>
      <c r="AP1548" s="6"/>
      <c r="AQ1548" s="6"/>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c r="BU1548" s="6"/>
      <c r="BV1548" s="6"/>
      <c r="BW1548" s="6"/>
      <c r="BX1548" s="6"/>
      <c r="BY1548" s="6"/>
      <c r="BZ1548" s="6"/>
      <c r="CA1548" s="6"/>
      <c r="CB1548" s="6"/>
      <c r="CC1548" s="6"/>
      <c r="CD1548" s="6"/>
      <c r="CE1548" s="6"/>
      <c r="CF1548" s="6"/>
      <c r="CG1548" s="6"/>
      <c r="CH1548" s="6"/>
      <c r="CI1548" s="6"/>
      <c r="CJ1548" s="6"/>
      <c r="CK1548" s="6"/>
      <c r="CL1548" s="6"/>
      <c r="CM1548" s="6"/>
      <c r="CN1548" s="6"/>
      <c r="CO1548" s="6"/>
      <c r="CP1548" s="6"/>
      <c r="CQ1548" s="6"/>
      <c r="CR1548" s="6"/>
      <c r="CS1548" s="6"/>
      <c r="CT1548" s="6"/>
      <c r="CU1548" s="6"/>
      <c r="CV1548" s="6"/>
      <c r="CW1548" s="6"/>
      <c r="CX1548" s="6"/>
      <c r="CY1548" s="6"/>
      <c r="CZ1548" s="6"/>
      <c r="DA1548" s="6"/>
      <c r="DB1548" s="6"/>
      <c r="DC1548" s="6"/>
      <c r="DD1548" s="6"/>
    </row>
    <row r="1549" spans="1:108" ht="12.75" hidden="1" customHeight="1" outlineLevel="5">
      <c r="A1549" s="104" t="s">
        <v>63</v>
      </c>
      <c r="B1549" s="28">
        <v>0</v>
      </c>
      <c r="C1549" s="11"/>
      <c r="D1549" s="18" t="str">
        <f t="shared" si="84"/>
        <v>&lt;Rot_Y&gt;0.000000&lt;/Rot_Y&gt;</v>
      </c>
      <c r="E1549" s="175"/>
      <c r="F1549" s="6" t="s">
        <v>643</v>
      </c>
      <c r="G1549" s="6"/>
      <c r="H1549" s="6"/>
      <c r="I1549" s="6"/>
      <c r="J1549" s="6"/>
      <c r="K1549" s="6"/>
      <c r="L1549" s="6"/>
      <c r="M1549" s="6"/>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c r="BU1549" s="6"/>
      <c r="BV1549" s="6"/>
      <c r="BW1549" s="6"/>
      <c r="BX1549" s="6"/>
      <c r="BY1549" s="6"/>
      <c r="BZ1549" s="6"/>
      <c r="CA1549" s="6"/>
      <c r="CB1549" s="6"/>
      <c r="CC1549" s="6"/>
      <c r="CD1549" s="6"/>
      <c r="CE1549" s="6"/>
      <c r="CF1549" s="6"/>
      <c r="CG1549" s="6"/>
      <c r="CH1549" s="6"/>
      <c r="CI1549" s="6"/>
      <c r="CJ1549" s="6"/>
      <c r="CK1549" s="6"/>
      <c r="CL1549" s="6"/>
      <c r="CM1549" s="6"/>
      <c r="CN1549" s="6"/>
      <c r="CO1549" s="6"/>
      <c r="CP1549" s="6"/>
      <c r="CQ1549" s="6"/>
      <c r="CR1549" s="6"/>
      <c r="CS1549" s="6"/>
      <c r="CT1549" s="6"/>
      <c r="CU1549" s="6"/>
      <c r="CV1549" s="6"/>
      <c r="CW1549" s="6"/>
      <c r="CX1549" s="6"/>
      <c r="CY1549" s="6"/>
      <c r="CZ1549" s="6"/>
      <c r="DA1549" s="6"/>
      <c r="DB1549" s="6"/>
      <c r="DC1549" s="6"/>
      <c r="DD1549" s="6"/>
    </row>
    <row r="1550" spans="1:108" ht="12.75" hidden="1" customHeight="1" outlineLevel="5">
      <c r="A1550" s="104" t="s">
        <v>64</v>
      </c>
      <c r="B1550" s="28">
        <v>0</v>
      </c>
      <c r="C1550" s="11"/>
      <c r="D1550" s="18" t="str">
        <f t="shared" si="84"/>
        <v>&lt;Rot_Z&gt;0.000000&lt;/Rot_Z&gt;</v>
      </c>
      <c r="E1550" s="175"/>
      <c r="F1550" s="6" t="s">
        <v>644</v>
      </c>
      <c r="G1550" s="6"/>
      <c r="H1550" s="6"/>
      <c r="I1550" s="6"/>
      <c r="J1550" s="6"/>
      <c r="K1550" s="6"/>
      <c r="L1550" s="6"/>
      <c r="M1550" s="6"/>
      <c r="N1550" s="6"/>
      <c r="O1550" s="6"/>
      <c r="P1550" s="6"/>
      <c r="Q1550" s="6"/>
      <c r="R1550" s="6"/>
      <c r="S1550" s="6"/>
      <c r="T1550" s="6"/>
      <c r="U1550" s="6"/>
      <c r="V1550" s="6"/>
      <c r="W1550" s="6"/>
      <c r="X1550" s="6"/>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c r="BU1550" s="6"/>
      <c r="BV1550" s="6"/>
      <c r="BW1550" s="6"/>
      <c r="BX1550" s="6"/>
      <c r="BY1550" s="6"/>
      <c r="BZ1550" s="6"/>
      <c r="CA1550" s="6"/>
      <c r="CB1550" s="6"/>
      <c r="CC1550" s="6"/>
      <c r="CD1550" s="6"/>
      <c r="CE1550" s="6"/>
      <c r="CF1550" s="6"/>
      <c r="CG1550" s="6"/>
      <c r="CH1550" s="6"/>
      <c r="CI1550" s="6"/>
      <c r="CJ1550" s="6"/>
      <c r="CK1550" s="6"/>
      <c r="CL1550" s="6"/>
      <c r="CM1550" s="6"/>
      <c r="CN1550" s="6"/>
      <c r="CO1550" s="6"/>
      <c r="CP1550" s="6"/>
      <c r="CQ1550" s="6"/>
      <c r="CR1550" s="6"/>
      <c r="CS1550" s="6"/>
      <c r="CT1550" s="6"/>
      <c r="CU1550" s="6"/>
      <c r="CV1550" s="6"/>
      <c r="CW1550" s="6"/>
      <c r="CX1550" s="6"/>
      <c r="CY1550" s="6"/>
      <c r="CZ1550" s="6"/>
      <c r="DA1550" s="6"/>
      <c r="DB1550" s="6"/>
      <c r="DC1550" s="6"/>
      <c r="DD1550" s="6"/>
    </row>
    <row r="1551" spans="1:108" ht="12.75" hidden="1" customHeight="1" outlineLevel="5">
      <c r="A1551" s="104" t="s">
        <v>65</v>
      </c>
      <c r="B1551" s="28">
        <v>0</v>
      </c>
      <c r="C1551" s="11"/>
      <c r="D1551" s="18" t="str">
        <f t="shared" si="84"/>
        <v>&lt;RotRel_X&gt;0.000000&lt;/RotRel_X&gt;</v>
      </c>
      <c r="E1551" s="175"/>
      <c r="F1551" s="6" t="s">
        <v>645</v>
      </c>
      <c r="G1551" s="6"/>
      <c r="H1551" s="6"/>
      <c r="I1551" s="6"/>
      <c r="J1551" s="6"/>
      <c r="K1551" s="6"/>
      <c r="L1551" s="6"/>
      <c r="M1551" s="6"/>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c r="BU1551" s="6"/>
      <c r="BV1551" s="6"/>
      <c r="BW1551" s="6"/>
      <c r="BX1551" s="6"/>
      <c r="BY1551" s="6"/>
      <c r="BZ1551" s="6"/>
      <c r="CA1551" s="6"/>
      <c r="CB1551" s="6"/>
      <c r="CC1551" s="6"/>
      <c r="CD1551" s="6"/>
      <c r="CE1551" s="6"/>
      <c r="CF1551" s="6"/>
      <c r="CG1551" s="6"/>
      <c r="CH1551" s="6"/>
      <c r="CI1551" s="6"/>
      <c r="CJ1551" s="6"/>
      <c r="CK1551" s="6"/>
      <c r="CL1551" s="6"/>
      <c r="CM1551" s="6"/>
      <c r="CN1551" s="6"/>
      <c r="CO1551" s="6"/>
      <c r="CP1551" s="6"/>
      <c r="CQ1551" s="6"/>
      <c r="CR1551" s="6"/>
      <c r="CS1551" s="6"/>
      <c r="CT1551" s="6"/>
      <c r="CU1551" s="6"/>
      <c r="CV1551" s="6"/>
      <c r="CW1551" s="6"/>
      <c r="CX1551" s="6"/>
      <c r="CY1551" s="6"/>
      <c r="CZ1551" s="6"/>
      <c r="DA1551" s="6"/>
      <c r="DB1551" s="6"/>
      <c r="DC1551" s="6"/>
      <c r="DD1551" s="6"/>
    </row>
    <row r="1552" spans="1:108" ht="12.75" hidden="1" customHeight="1" outlineLevel="5">
      <c r="A1552" s="104" t="s">
        <v>66</v>
      </c>
      <c r="B1552" s="28">
        <v>0</v>
      </c>
      <c r="C1552" s="11"/>
      <c r="D1552" s="18" t="str">
        <f t="shared" si="84"/>
        <v>&lt;RotRel_Y&gt;0.000000&lt;/RotRel_Y&gt;</v>
      </c>
      <c r="E1552" s="175"/>
      <c r="F1552" s="6" t="s">
        <v>646</v>
      </c>
      <c r="G1552" s="6"/>
      <c r="H1552" s="6"/>
      <c r="I1552" s="6"/>
      <c r="J1552" s="6"/>
      <c r="K1552" s="6"/>
      <c r="L1552" s="6"/>
      <c r="M1552" s="6"/>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c r="BU1552" s="6"/>
      <c r="BV1552" s="6"/>
      <c r="BW1552" s="6"/>
      <c r="BX1552" s="6"/>
      <c r="BY1552" s="6"/>
      <c r="BZ1552" s="6"/>
      <c r="CA1552" s="6"/>
      <c r="CB1552" s="6"/>
      <c r="CC1552" s="6"/>
      <c r="CD1552" s="6"/>
      <c r="CE1552" s="6"/>
      <c r="CF1552" s="6"/>
      <c r="CG1552" s="6"/>
      <c r="CH1552" s="6"/>
      <c r="CI1552" s="6"/>
      <c r="CJ1552" s="6"/>
      <c r="CK1552" s="6"/>
      <c r="CL1552" s="6"/>
      <c r="CM1552" s="6"/>
      <c r="CN1552" s="6"/>
      <c r="CO1552" s="6"/>
      <c r="CP1552" s="6"/>
      <c r="CQ1552" s="6"/>
      <c r="CR1552" s="6"/>
      <c r="CS1552" s="6"/>
      <c r="CT1552" s="6"/>
      <c r="CU1552" s="6"/>
      <c r="CV1552" s="6"/>
      <c r="CW1552" s="6"/>
      <c r="CX1552" s="6"/>
      <c r="CY1552" s="6"/>
      <c r="CZ1552" s="6"/>
      <c r="DA1552" s="6"/>
      <c r="DB1552" s="6"/>
      <c r="DC1552" s="6"/>
      <c r="DD1552" s="6"/>
    </row>
    <row r="1553" spans="1:108" ht="12.75" hidden="1" customHeight="1" outlineLevel="5">
      <c r="A1553" s="104" t="s">
        <v>67</v>
      </c>
      <c r="B1553" s="28">
        <v>0</v>
      </c>
      <c r="C1553" s="11"/>
      <c r="D1553" s="18" t="str">
        <f t="shared" si="84"/>
        <v>&lt;RotRel_Z&gt;0.000000&lt;/RotRel_Z&gt;</v>
      </c>
      <c r="E1553" s="175"/>
      <c r="F1553" s="6" t="s">
        <v>647</v>
      </c>
      <c r="G1553" s="6"/>
      <c r="H1553" s="6"/>
      <c r="I1553" s="6"/>
      <c r="J1553" s="6"/>
      <c r="K1553" s="6"/>
      <c r="L1553" s="6"/>
      <c r="M1553" s="6"/>
      <c r="N1553" s="6"/>
      <c r="O1553" s="6"/>
      <c r="P1553" s="6"/>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c r="BU1553" s="6"/>
      <c r="BV1553" s="6"/>
      <c r="BW1553" s="6"/>
      <c r="BX1553" s="6"/>
      <c r="BY1553" s="6"/>
      <c r="BZ1553" s="6"/>
      <c r="CA1553" s="6"/>
      <c r="CB1553" s="6"/>
      <c r="CC1553" s="6"/>
      <c r="CD1553" s="6"/>
      <c r="CE1553" s="6"/>
      <c r="CF1553" s="6"/>
      <c r="CG1553" s="6"/>
      <c r="CH1553" s="6"/>
      <c r="CI1553" s="6"/>
      <c r="CJ1553" s="6"/>
      <c r="CK1553" s="6"/>
      <c r="CL1553" s="6"/>
      <c r="CM1553" s="6"/>
      <c r="CN1553" s="6"/>
      <c r="CO1553" s="6"/>
      <c r="CP1553" s="6"/>
      <c r="CQ1553" s="6"/>
      <c r="CR1553" s="6"/>
      <c r="CS1553" s="6"/>
      <c r="CT1553" s="6"/>
      <c r="CU1553" s="6"/>
      <c r="CV1553" s="6"/>
      <c r="CW1553" s="6"/>
      <c r="CX1553" s="6"/>
      <c r="CY1553" s="6"/>
      <c r="CZ1553" s="6"/>
      <c r="DA1553" s="6"/>
      <c r="DB1553" s="6"/>
      <c r="DC1553" s="6"/>
      <c r="DD1553" s="6"/>
    </row>
    <row r="1554" spans="1:108" ht="12.75" hidden="1" customHeight="1" outlineLevel="5">
      <c r="A1554" s="104" t="s">
        <v>68</v>
      </c>
      <c r="B1554" s="28">
        <v>0</v>
      </c>
      <c r="C1554" s="11"/>
      <c r="D1554" s="18" t="str">
        <f t="shared" si="84"/>
        <v>&lt;Origin&gt;0.000000&lt;/Origin&gt;</v>
      </c>
      <c r="E1554" s="175"/>
      <c r="F1554" s="6" t="s">
        <v>648</v>
      </c>
      <c r="G1554" s="6"/>
      <c r="H1554" s="6"/>
      <c r="I1554" s="6"/>
      <c r="J1554" s="6"/>
      <c r="K1554" s="6"/>
      <c r="L1554" s="6"/>
      <c r="M1554" s="6"/>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c r="BU1554" s="6"/>
      <c r="BV1554" s="6"/>
      <c r="BW1554" s="6"/>
      <c r="BX1554" s="6"/>
      <c r="BY1554" s="6"/>
      <c r="BZ1554" s="6"/>
      <c r="CA1554" s="6"/>
      <c r="CB1554" s="6"/>
      <c r="CC1554" s="6"/>
      <c r="CD1554" s="6"/>
      <c r="CE1554" s="6"/>
      <c r="CF1554" s="6"/>
      <c r="CG1554" s="6"/>
      <c r="CH1554" s="6"/>
      <c r="CI1554" s="6"/>
      <c r="CJ1554" s="6"/>
      <c r="CK1554" s="6"/>
      <c r="CL1554" s="6"/>
      <c r="CM1554" s="6"/>
      <c r="CN1554" s="6"/>
      <c r="CO1554" s="6"/>
      <c r="CP1554" s="6"/>
      <c r="CQ1554" s="6"/>
      <c r="CR1554" s="6"/>
      <c r="CS1554" s="6"/>
      <c r="CT1554" s="6"/>
      <c r="CU1554" s="6"/>
      <c r="CV1554" s="6"/>
      <c r="CW1554" s="6"/>
      <c r="CX1554" s="6"/>
      <c r="CY1554" s="6"/>
      <c r="CZ1554" s="6"/>
      <c r="DA1554" s="6"/>
      <c r="DB1554" s="6"/>
      <c r="DC1554" s="6"/>
      <c r="DD1554" s="6"/>
    </row>
    <row r="1555" spans="1:108" ht="12.75" hidden="1" customHeight="1" outlineLevel="5">
      <c r="A1555" s="104" t="s">
        <v>69</v>
      </c>
      <c r="B1555" s="28">
        <v>1</v>
      </c>
      <c r="C1555" s="11"/>
      <c r="D1555" s="18" t="str">
        <f t="shared" si="84"/>
        <v>&lt;Density&gt;1.000000&lt;/Density&gt;</v>
      </c>
      <c r="E1555" s="175"/>
      <c r="F1555" s="6" t="s">
        <v>649</v>
      </c>
      <c r="G1555" s="6"/>
      <c r="H1555" s="6"/>
      <c r="I1555" s="6"/>
      <c r="J1555" s="6"/>
      <c r="K1555" s="6"/>
      <c r="L1555" s="6"/>
      <c r="M1555" s="6"/>
      <c r="N1555" s="6"/>
      <c r="O1555" s="6"/>
      <c r="P1555" s="6"/>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c r="BU1555" s="6"/>
      <c r="BV1555" s="6"/>
      <c r="BW1555" s="6"/>
      <c r="BX1555" s="6"/>
      <c r="BY1555" s="6"/>
      <c r="BZ1555" s="6"/>
      <c r="CA1555" s="6"/>
      <c r="CB1555" s="6"/>
      <c r="CC1555" s="6"/>
      <c r="CD1555" s="6"/>
      <c r="CE1555" s="6"/>
      <c r="CF1555" s="6"/>
      <c r="CG1555" s="6"/>
      <c r="CH1555" s="6"/>
      <c r="CI1555" s="6"/>
      <c r="CJ1555" s="6"/>
      <c r="CK1555" s="6"/>
      <c r="CL1555" s="6"/>
      <c r="CM1555" s="6"/>
      <c r="CN1555" s="6"/>
      <c r="CO1555" s="6"/>
      <c r="CP1555" s="6"/>
      <c r="CQ1555" s="6"/>
      <c r="CR1555" s="6"/>
      <c r="CS1555" s="6"/>
      <c r="CT1555" s="6"/>
      <c r="CU1555" s="6"/>
      <c r="CV1555" s="6"/>
      <c r="CW1555" s="6"/>
      <c r="CX1555" s="6"/>
      <c r="CY1555" s="6"/>
      <c r="CZ1555" s="6"/>
      <c r="DA1555" s="6"/>
      <c r="DB1555" s="6"/>
      <c r="DC1555" s="6"/>
      <c r="DD1555" s="6"/>
    </row>
    <row r="1556" spans="1:108" ht="12.75" hidden="1" customHeight="1" outlineLevel="5">
      <c r="A1556" s="104" t="s">
        <v>70</v>
      </c>
      <c r="B1556" s="28">
        <v>1</v>
      </c>
      <c r="C1556" s="11"/>
      <c r="D1556" s="18" t="str">
        <f t="shared" si="84"/>
        <v>&lt;ShellMassArea&gt;1.000000&lt;/ShellMassArea&gt;</v>
      </c>
      <c r="E1556" s="175"/>
      <c r="F1556" s="6" t="s">
        <v>650</v>
      </c>
      <c r="G1556" s="6"/>
      <c r="H1556" s="6"/>
      <c r="I1556" s="6"/>
      <c r="J1556" s="6"/>
      <c r="K1556" s="6"/>
      <c r="L1556" s="6"/>
      <c r="M1556" s="6"/>
      <c r="N1556" s="6"/>
      <c r="O1556" s="6"/>
      <c r="P1556" s="6"/>
      <c r="Q1556" s="6"/>
      <c r="R1556" s="6"/>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c r="BU1556" s="6"/>
      <c r="BV1556" s="6"/>
      <c r="BW1556" s="6"/>
      <c r="BX1556" s="6"/>
      <c r="BY1556" s="6"/>
      <c r="BZ1556" s="6"/>
      <c r="CA1556" s="6"/>
      <c r="CB1556" s="6"/>
      <c r="CC1556" s="6"/>
      <c r="CD1556" s="6"/>
      <c r="CE1556" s="6"/>
      <c r="CF1556" s="6"/>
      <c r="CG1556" s="6"/>
      <c r="CH1556" s="6"/>
      <c r="CI1556" s="6"/>
      <c r="CJ1556" s="6"/>
      <c r="CK1556" s="6"/>
      <c r="CL1556" s="6"/>
      <c r="CM1556" s="6"/>
      <c r="CN1556" s="6"/>
      <c r="CO1556" s="6"/>
      <c r="CP1556" s="6"/>
      <c r="CQ1556" s="6"/>
      <c r="CR1556" s="6"/>
      <c r="CS1556" s="6"/>
      <c r="CT1556" s="6"/>
      <c r="CU1556" s="6"/>
      <c r="CV1556" s="6"/>
      <c r="CW1556" s="6"/>
      <c r="CX1556" s="6"/>
      <c r="CY1556" s="6"/>
      <c r="CZ1556" s="6"/>
      <c r="DA1556" s="6"/>
      <c r="DB1556" s="6"/>
      <c r="DC1556" s="6"/>
      <c r="DD1556" s="6"/>
    </row>
    <row r="1557" spans="1:108" ht="12.75" hidden="1" customHeight="1" outlineLevel="5">
      <c r="A1557" s="104" t="s">
        <v>71</v>
      </c>
      <c r="B1557" s="28">
        <v>0</v>
      </c>
      <c r="C1557" s="11"/>
      <c r="D1557" s="18" t="str">
        <f>"&lt;" &amp; A1557 &amp; "&gt;" &amp; TEXT(B1557,0) &amp; "&lt;/" &amp; A1557 &amp; "&gt;"</f>
        <v>&lt;RefFlag&gt;0&lt;/RefFlag&gt;</v>
      </c>
      <c r="E1557" s="175"/>
      <c r="F1557" s="6" t="s">
        <v>651</v>
      </c>
      <c r="G1557" s="6"/>
      <c r="H1557" s="6"/>
      <c r="I1557" s="6"/>
      <c r="J1557" s="6"/>
      <c r="K1557" s="6"/>
      <c r="L1557" s="6"/>
      <c r="M1557" s="6"/>
      <c r="N1557" s="6"/>
      <c r="O1557" s="6"/>
      <c r="P1557" s="6"/>
      <c r="Q1557" s="6"/>
      <c r="R1557" s="6"/>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c r="BU1557" s="6"/>
      <c r="BV1557" s="6"/>
      <c r="BW1557" s="6"/>
      <c r="BX1557" s="6"/>
      <c r="BY1557" s="6"/>
      <c r="BZ1557" s="6"/>
      <c r="CA1557" s="6"/>
      <c r="CB1557" s="6"/>
      <c r="CC1557" s="6"/>
      <c r="CD1557" s="6"/>
      <c r="CE1557" s="6"/>
      <c r="CF1557" s="6"/>
      <c r="CG1557" s="6"/>
      <c r="CH1557" s="6"/>
      <c r="CI1557" s="6"/>
      <c r="CJ1557" s="6"/>
      <c r="CK1557" s="6"/>
      <c r="CL1557" s="6"/>
      <c r="CM1557" s="6"/>
      <c r="CN1557" s="6"/>
      <c r="CO1557" s="6"/>
      <c r="CP1557" s="6"/>
      <c r="CQ1557" s="6"/>
      <c r="CR1557" s="6"/>
      <c r="CS1557" s="6"/>
      <c r="CT1557" s="6"/>
      <c r="CU1557" s="6"/>
      <c r="CV1557" s="6"/>
      <c r="CW1557" s="6"/>
      <c r="CX1557" s="6"/>
      <c r="CY1557" s="6"/>
      <c r="CZ1557" s="6"/>
      <c r="DA1557" s="6"/>
      <c r="DB1557" s="6"/>
      <c r="DC1557" s="6"/>
      <c r="DD1557" s="6"/>
    </row>
    <row r="1558" spans="1:108" ht="12.75" hidden="1" customHeight="1" outlineLevel="5">
      <c r="A1558" s="104" t="s">
        <v>72</v>
      </c>
      <c r="B1558" s="28">
        <v>100</v>
      </c>
      <c r="C1558" s="11"/>
      <c r="D1558" s="18" t="str">
        <f>"&lt;" &amp; A1558 &amp; "&gt;" &amp; TEXT(B1558,"0.000000") &amp; "&lt;/" &amp; A1558 &amp; "&gt;"</f>
        <v>&lt;RefArea&gt;100.000000&lt;/RefArea&gt;</v>
      </c>
      <c r="E1558" s="175"/>
      <c r="F1558" s="6" t="s">
        <v>724</v>
      </c>
      <c r="G1558" s="6"/>
      <c r="H1558" s="6"/>
      <c r="I1558" s="6"/>
      <c r="J1558" s="6"/>
      <c r="K1558" s="6"/>
      <c r="L1558" s="6"/>
      <c r="M1558" s="6"/>
      <c r="N1558" s="6"/>
      <c r="O1558" s="6"/>
      <c r="P1558" s="6"/>
      <c r="Q1558" s="6"/>
      <c r="R1558" s="6"/>
      <c r="S1558" s="6"/>
      <c r="T1558" s="6"/>
      <c r="U1558" s="6"/>
      <c r="V1558" s="6"/>
      <c r="W1558" s="6"/>
      <c r="X1558" s="6"/>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c r="BU1558" s="6"/>
      <c r="BV1558" s="6"/>
      <c r="BW1558" s="6"/>
      <c r="BX1558" s="6"/>
      <c r="BY1558" s="6"/>
      <c r="BZ1558" s="6"/>
      <c r="CA1558" s="6"/>
      <c r="CB1558" s="6"/>
      <c r="CC1558" s="6"/>
      <c r="CD1558" s="6"/>
      <c r="CE1558" s="6"/>
      <c r="CF1558" s="6"/>
      <c r="CG1558" s="6"/>
      <c r="CH1558" s="6"/>
      <c r="CI1558" s="6"/>
      <c r="CJ1558" s="6"/>
      <c r="CK1558" s="6"/>
      <c r="CL1558" s="6"/>
      <c r="CM1558" s="6"/>
      <c r="CN1558" s="6"/>
      <c r="CO1558" s="6"/>
      <c r="CP1558" s="6"/>
      <c r="CQ1558" s="6"/>
      <c r="CR1558" s="6"/>
      <c r="CS1558" s="6"/>
      <c r="CT1558" s="6"/>
      <c r="CU1558" s="6"/>
      <c r="CV1558" s="6"/>
      <c r="CW1558" s="6"/>
      <c r="CX1558" s="6"/>
      <c r="CY1558" s="6"/>
      <c r="CZ1558" s="6"/>
      <c r="DA1558" s="6"/>
      <c r="DB1558" s="6"/>
      <c r="DC1558" s="6"/>
      <c r="DD1558" s="6"/>
    </row>
    <row r="1559" spans="1:108" ht="12.75" hidden="1" customHeight="1" outlineLevel="5">
      <c r="A1559" s="104" t="s">
        <v>73</v>
      </c>
      <c r="B1559" s="28">
        <v>10</v>
      </c>
      <c r="C1559" s="11"/>
      <c r="D1559" s="18" t="str">
        <f>"&lt;" &amp; A1559 &amp; "&gt;" &amp; TEXT(B1559,"0.000000") &amp; "&lt;/" &amp; A1559 &amp; "&gt;"</f>
        <v>&lt;RefSpan&gt;10.000000&lt;/RefSpan&gt;</v>
      </c>
      <c r="E1559" s="175"/>
      <c r="F1559" s="6" t="s">
        <v>653</v>
      </c>
      <c r="G1559" s="6"/>
      <c r="H1559" s="6"/>
      <c r="I1559" s="6"/>
      <c r="J1559" s="6"/>
      <c r="K1559" s="6"/>
      <c r="L1559" s="6"/>
      <c r="M1559" s="6"/>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c r="BU1559" s="6"/>
      <c r="BV1559" s="6"/>
      <c r="BW1559" s="6"/>
      <c r="BX1559" s="6"/>
      <c r="BY1559" s="6"/>
      <c r="BZ1559" s="6"/>
      <c r="CA1559" s="6"/>
      <c r="CB1559" s="6"/>
      <c r="CC1559" s="6"/>
      <c r="CD1559" s="6"/>
      <c r="CE1559" s="6"/>
      <c r="CF1559" s="6"/>
      <c r="CG1559" s="6"/>
      <c r="CH1559" s="6"/>
      <c r="CI1559" s="6"/>
      <c r="CJ1559" s="6"/>
      <c r="CK1559" s="6"/>
      <c r="CL1559" s="6"/>
      <c r="CM1559" s="6"/>
      <c r="CN1559" s="6"/>
      <c r="CO1559" s="6"/>
      <c r="CP1559" s="6"/>
      <c r="CQ1559" s="6"/>
      <c r="CR1559" s="6"/>
      <c r="CS1559" s="6"/>
      <c r="CT1559" s="6"/>
      <c r="CU1559" s="6"/>
      <c r="CV1559" s="6"/>
      <c r="CW1559" s="6"/>
      <c r="CX1559" s="6"/>
      <c r="CY1559" s="6"/>
      <c r="CZ1559" s="6"/>
      <c r="DA1559" s="6"/>
      <c r="DB1559" s="6"/>
      <c r="DC1559" s="6"/>
      <c r="DD1559" s="6"/>
    </row>
    <row r="1560" spans="1:108" ht="12.75" hidden="1" customHeight="1" outlineLevel="5">
      <c r="A1560" s="104" t="s">
        <v>74</v>
      </c>
      <c r="B1560" s="28">
        <v>1</v>
      </c>
      <c r="C1560" s="11"/>
      <c r="D1560" s="18" t="str">
        <f>"&lt;" &amp; A1560 &amp; "&gt;" &amp; TEXT(B1560,"0.000000") &amp; "&lt;/" &amp; A1560 &amp; "&gt;"</f>
        <v>&lt;RefCbar&gt;1.000000&lt;/RefCbar&gt;</v>
      </c>
      <c r="E1560" s="175"/>
      <c r="F1560" s="6" t="s">
        <v>654</v>
      </c>
      <c r="G1560" s="6"/>
      <c r="H1560" s="6"/>
      <c r="I1560" s="6"/>
      <c r="J1560" s="6"/>
      <c r="K1560" s="6"/>
      <c r="L1560" s="6"/>
      <c r="M1560" s="6"/>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c r="BU1560" s="6"/>
      <c r="BV1560" s="6"/>
      <c r="BW1560" s="6"/>
      <c r="BX1560" s="6"/>
      <c r="BY1560" s="6"/>
      <c r="BZ1560" s="6"/>
      <c r="CA1560" s="6"/>
      <c r="CB1560" s="6"/>
      <c r="CC1560" s="6"/>
      <c r="CD1560" s="6"/>
      <c r="CE1560" s="6"/>
      <c r="CF1560" s="6"/>
      <c r="CG1560" s="6"/>
      <c r="CH1560" s="6"/>
      <c r="CI1560" s="6"/>
      <c r="CJ1560" s="6"/>
      <c r="CK1560" s="6"/>
      <c r="CL1560" s="6"/>
      <c r="CM1560" s="6"/>
      <c r="CN1560" s="6"/>
      <c r="CO1560" s="6"/>
      <c r="CP1560" s="6"/>
      <c r="CQ1560" s="6"/>
      <c r="CR1560" s="6"/>
      <c r="CS1560" s="6"/>
      <c r="CT1560" s="6"/>
      <c r="CU1560" s="6"/>
      <c r="CV1560" s="6"/>
      <c r="CW1560" s="6"/>
      <c r="CX1560" s="6"/>
      <c r="CY1560" s="6"/>
      <c r="CZ1560" s="6"/>
      <c r="DA1560" s="6"/>
      <c r="DB1560" s="6"/>
      <c r="DC1560" s="6"/>
      <c r="DD1560" s="6"/>
    </row>
    <row r="1561" spans="1:108" ht="12.75" hidden="1" customHeight="1" outlineLevel="5">
      <c r="A1561" s="104" t="s">
        <v>75</v>
      </c>
      <c r="B1561" s="28">
        <v>1</v>
      </c>
      <c r="C1561" s="11"/>
      <c r="D1561" s="18" t="str">
        <f>"&lt;" &amp; A1561 &amp; "&gt;" &amp; TEXT(B1561,0) &amp; "&lt;/" &amp; A1561 &amp; "&gt;"</f>
        <v>&lt;AutoRefAreaFlag&gt;1&lt;/AutoRefAreaFlag&gt;</v>
      </c>
      <c r="E1561" s="175"/>
      <c r="F1561" s="6" t="s">
        <v>655</v>
      </c>
      <c r="G1561" s="6"/>
      <c r="H1561" s="6"/>
      <c r="I1561" s="6"/>
      <c r="J1561" s="6"/>
      <c r="K1561" s="6"/>
      <c r="L1561" s="6"/>
      <c r="M1561" s="6"/>
      <c r="N1561" s="6"/>
      <c r="O1561" s="6"/>
      <c r="P1561" s="6"/>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c r="BU1561" s="6"/>
      <c r="BV1561" s="6"/>
      <c r="BW1561" s="6"/>
      <c r="BX1561" s="6"/>
      <c r="BY1561" s="6"/>
      <c r="BZ1561" s="6"/>
      <c r="CA1561" s="6"/>
      <c r="CB1561" s="6"/>
      <c r="CC1561" s="6"/>
      <c r="CD1561" s="6"/>
      <c r="CE1561" s="6"/>
      <c r="CF1561" s="6"/>
      <c r="CG1561" s="6"/>
      <c r="CH1561" s="6"/>
      <c r="CI1561" s="6"/>
      <c r="CJ1561" s="6"/>
      <c r="CK1561" s="6"/>
      <c r="CL1561" s="6"/>
      <c r="CM1561" s="6"/>
      <c r="CN1561" s="6"/>
      <c r="CO1561" s="6"/>
      <c r="CP1561" s="6"/>
      <c r="CQ1561" s="6"/>
      <c r="CR1561" s="6"/>
      <c r="CS1561" s="6"/>
      <c r="CT1561" s="6"/>
      <c r="CU1561" s="6"/>
      <c r="CV1561" s="6"/>
      <c r="CW1561" s="6"/>
      <c r="CX1561" s="6"/>
      <c r="CY1561" s="6"/>
      <c r="CZ1561" s="6"/>
      <c r="DA1561" s="6"/>
      <c r="DB1561" s="6"/>
      <c r="DC1561" s="6"/>
      <c r="DD1561" s="6"/>
    </row>
    <row r="1562" spans="1:108" ht="12.75" hidden="1" customHeight="1" outlineLevel="5">
      <c r="A1562" s="104" t="s">
        <v>76</v>
      </c>
      <c r="B1562" s="28">
        <v>1</v>
      </c>
      <c r="C1562" s="11"/>
      <c r="D1562" s="18" t="str">
        <f>"&lt;" &amp; A1562 &amp; "&gt;" &amp; TEXT(B1562,0) &amp; "&lt;/" &amp; A1562 &amp; "&gt;"</f>
        <v>&lt;AutoRefSpanFlag&gt;1&lt;/AutoRefSpanFlag&gt;</v>
      </c>
      <c r="E1562" s="175"/>
      <c r="F1562" s="6" t="s">
        <v>656</v>
      </c>
      <c r="G1562" s="6"/>
      <c r="H1562" s="6"/>
      <c r="I1562" s="6"/>
      <c r="J1562" s="6"/>
      <c r="K1562" s="6"/>
      <c r="L1562" s="6"/>
      <c r="M1562" s="6"/>
      <c r="N1562" s="6"/>
      <c r="O1562" s="6"/>
      <c r="P1562" s="6"/>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c r="BU1562" s="6"/>
      <c r="BV1562" s="6"/>
      <c r="BW1562" s="6"/>
      <c r="BX1562" s="6"/>
      <c r="BY1562" s="6"/>
      <c r="BZ1562" s="6"/>
      <c r="CA1562" s="6"/>
      <c r="CB1562" s="6"/>
      <c r="CC1562" s="6"/>
      <c r="CD1562" s="6"/>
      <c r="CE1562" s="6"/>
      <c r="CF1562" s="6"/>
      <c r="CG1562" s="6"/>
      <c r="CH1562" s="6"/>
      <c r="CI1562" s="6"/>
      <c r="CJ1562" s="6"/>
      <c r="CK1562" s="6"/>
      <c r="CL1562" s="6"/>
      <c r="CM1562" s="6"/>
      <c r="CN1562" s="6"/>
      <c r="CO1562" s="6"/>
      <c r="CP1562" s="6"/>
      <c r="CQ1562" s="6"/>
      <c r="CR1562" s="6"/>
      <c r="CS1562" s="6"/>
      <c r="CT1562" s="6"/>
      <c r="CU1562" s="6"/>
      <c r="CV1562" s="6"/>
      <c r="CW1562" s="6"/>
      <c r="CX1562" s="6"/>
      <c r="CY1562" s="6"/>
      <c r="CZ1562" s="6"/>
      <c r="DA1562" s="6"/>
      <c r="DB1562" s="6"/>
      <c r="DC1562" s="6"/>
      <c r="DD1562" s="6"/>
    </row>
    <row r="1563" spans="1:108" ht="12.75" hidden="1" customHeight="1" outlineLevel="5">
      <c r="A1563" s="104" t="s">
        <v>77</v>
      </c>
      <c r="B1563" s="28">
        <v>1</v>
      </c>
      <c r="C1563" s="11"/>
      <c r="D1563" s="18" t="str">
        <f>"&lt;" &amp; A1563 &amp; "&gt;" &amp; TEXT(B1563,0) &amp; "&lt;/" &amp; A1563 &amp; "&gt;"</f>
        <v>&lt;AutoRefCbarFlag&gt;1&lt;/AutoRefCbarFlag&gt;</v>
      </c>
      <c r="E1563" s="175"/>
      <c r="F1563" s="6" t="s">
        <v>657</v>
      </c>
      <c r="G1563" s="6"/>
      <c r="H1563" s="6"/>
      <c r="I1563" s="6"/>
      <c r="J1563" s="6"/>
      <c r="K1563" s="6"/>
      <c r="L1563" s="6"/>
      <c r="M1563" s="6"/>
      <c r="N1563" s="6"/>
      <c r="O1563" s="6"/>
      <c r="P1563" s="6"/>
      <c r="Q1563" s="6"/>
      <c r="R1563" s="6"/>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c r="BU1563" s="6"/>
      <c r="BV1563" s="6"/>
      <c r="BW1563" s="6"/>
      <c r="BX1563" s="6"/>
      <c r="BY1563" s="6"/>
      <c r="BZ1563" s="6"/>
      <c r="CA1563" s="6"/>
      <c r="CB1563" s="6"/>
      <c r="CC1563" s="6"/>
      <c r="CD1563" s="6"/>
      <c r="CE1563" s="6"/>
      <c r="CF1563" s="6"/>
      <c r="CG1563" s="6"/>
      <c r="CH1563" s="6"/>
      <c r="CI1563" s="6"/>
      <c r="CJ1563" s="6"/>
      <c r="CK1563" s="6"/>
      <c r="CL1563" s="6"/>
      <c r="CM1563" s="6"/>
      <c r="CN1563" s="6"/>
      <c r="CO1563" s="6"/>
      <c r="CP1563" s="6"/>
      <c r="CQ1563" s="6"/>
      <c r="CR1563" s="6"/>
      <c r="CS1563" s="6"/>
      <c r="CT1563" s="6"/>
      <c r="CU1563" s="6"/>
      <c r="CV1563" s="6"/>
      <c r="CW1563" s="6"/>
      <c r="CX1563" s="6"/>
      <c r="CY1563" s="6"/>
      <c r="CZ1563" s="6"/>
      <c r="DA1563" s="6"/>
      <c r="DB1563" s="6"/>
      <c r="DC1563" s="6"/>
      <c r="DD1563" s="6"/>
    </row>
    <row r="1564" spans="1:108" ht="12.75" hidden="1" customHeight="1" outlineLevel="5">
      <c r="A1564" s="104" t="s">
        <v>78</v>
      </c>
      <c r="B1564" s="28">
        <v>0</v>
      </c>
      <c r="C1564" s="11"/>
      <c r="D1564" s="18" t="str">
        <f>"&lt;" &amp; A1564 &amp; "&gt;" &amp; TEXT(B1564,"0.000000") &amp; "&lt;/" &amp; A1564 &amp; "&gt;"</f>
        <v>&lt;AeroCenter_X&gt;0.000000&lt;/AeroCenter_X&gt;</v>
      </c>
      <c r="E1564" s="175"/>
      <c r="F1564" s="6" t="s">
        <v>658</v>
      </c>
      <c r="G1564" s="6"/>
      <c r="H1564" s="6"/>
      <c r="I1564" s="6"/>
      <c r="J1564" s="6"/>
      <c r="K1564" s="6"/>
      <c r="L1564" s="6"/>
      <c r="M1564" s="6"/>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c r="BU1564" s="6"/>
      <c r="BV1564" s="6"/>
      <c r="BW1564" s="6"/>
      <c r="BX1564" s="6"/>
      <c r="BY1564" s="6"/>
      <c r="BZ1564" s="6"/>
      <c r="CA1564" s="6"/>
      <c r="CB1564" s="6"/>
      <c r="CC1564" s="6"/>
      <c r="CD1564" s="6"/>
      <c r="CE1564" s="6"/>
      <c r="CF1564" s="6"/>
      <c r="CG1564" s="6"/>
      <c r="CH1564" s="6"/>
      <c r="CI1564" s="6"/>
      <c r="CJ1564" s="6"/>
      <c r="CK1564" s="6"/>
      <c r="CL1564" s="6"/>
      <c r="CM1564" s="6"/>
      <c r="CN1564" s="6"/>
      <c r="CO1564" s="6"/>
      <c r="CP1564" s="6"/>
      <c r="CQ1564" s="6"/>
      <c r="CR1564" s="6"/>
      <c r="CS1564" s="6"/>
      <c r="CT1564" s="6"/>
      <c r="CU1564" s="6"/>
      <c r="CV1564" s="6"/>
      <c r="CW1564" s="6"/>
      <c r="CX1564" s="6"/>
      <c r="CY1564" s="6"/>
      <c r="CZ1564" s="6"/>
      <c r="DA1564" s="6"/>
      <c r="DB1564" s="6"/>
      <c r="DC1564" s="6"/>
      <c r="DD1564" s="6"/>
    </row>
    <row r="1565" spans="1:108" ht="12.75" hidden="1" customHeight="1" outlineLevel="5">
      <c r="A1565" s="104" t="s">
        <v>79</v>
      </c>
      <c r="B1565" s="28">
        <v>0</v>
      </c>
      <c r="C1565" s="11"/>
      <c r="D1565" s="18" t="str">
        <f>"&lt;" &amp; A1565 &amp; "&gt;" &amp; TEXT(B1565,"0.000000") &amp; "&lt;/" &amp; A1565 &amp; "&gt;"</f>
        <v>&lt;AeroCenter_Y&gt;0.000000&lt;/AeroCenter_Y&gt;</v>
      </c>
      <c r="E1565" s="175"/>
      <c r="F1565" s="6" t="s">
        <v>659</v>
      </c>
      <c r="G1565" s="6"/>
      <c r="H1565" s="6"/>
      <c r="I1565" s="6"/>
      <c r="J1565" s="6"/>
      <c r="K1565" s="6"/>
      <c r="L1565" s="6"/>
      <c r="M1565" s="6"/>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c r="BU1565" s="6"/>
      <c r="BV1565" s="6"/>
      <c r="BW1565" s="6"/>
      <c r="BX1565" s="6"/>
      <c r="BY1565" s="6"/>
      <c r="BZ1565" s="6"/>
      <c r="CA1565" s="6"/>
      <c r="CB1565" s="6"/>
      <c r="CC1565" s="6"/>
      <c r="CD1565" s="6"/>
      <c r="CE1565" s="6"/>
      <c r="CF1565" s="6"/>
      <c r="CG1565" s="6"/>
      <c r="CH1565" s="6"/>
      <c r="CI1565" s="6"/>
      <c r="CJ1565" s="6"/>
      <c r="CK1565" s="6"/>
      <c r="CL1565" s="6"/>
      <c r="CM1565" s="6"/>
      <c r="CN1565" s="6"/>
      <c r="CO1565" s="6"/>
      <c r="CP1565" s="6"/>
      <c r="CQ1565" s="6"/>
      <c r="CR1565" s="6"/>
      <c r="CS1565" s="6"/>
      <c r="CT1565" s="6"/>
      <c r="CU1565" s="6"/>
      <c r="CV1565" s="6"/>
      <c r="CW1565" s="6"/>
      <c r="CX1565" s="6"/>
      <c r="CY1565" s="6"/>
      <c r="CZ1565" s="6"/>
      <c r="DA1565" s="6"/>
      <c r="DB1565" s="6"/>
      <c r="DC1565" s="6"/>
      <c r="DD1565" s="6"/>
    </row>
    <row r="1566" spans="1:108" ht="12.75" hidden="1" customHeight="1" outlineLevel="5">
      <c r="A1566" s="104" t="s">
        <v>80</v>
      </c>
      <c r="B1566" s="28">
        <v>0</v>
      </c>
      <c r="C1566" s="11"/>
      <c r="D1566" s="18" t="str">
        <f>"&lt;" &amp; A1566 &amp; "&gt;" &amp; TEXT(B1566,"0.000000") &amp; "&lt;/" &amp; A1566 &amp; "&gt;"</f>
        <v>&lt;AeroCenter_Z&gt;0.000000&lt;/AeroCenter_Z&gt;</v>
      </c>
      <c r="E1566" s="175"/>
      <c r="F1566" s="6" t="s">
        <v>660</v>
      </c>
      <c r="G1566" s="6"/>
      <c r="H1566" s="6"/>
      <c r="I1566" s="6"/>
      <c r="J1566" s="6"/>
      <c r="K1566" s="6"/>
      <c r="L1566" s="6"/>
      <c r="M1566" s="6"/>
      <c r="N1566" s="6"/>
      <c r="O1566" s="6"/>
      <c r="P1566" s="6"/>
      <c r="Q1566" s="6"/>
      <c r="R1566" s="6"/>
      <c r="S1566" s="6"/>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c r="BU1566" s="6"/>
      <c r="BV1566" s="6"/>
      <c r="BW1566" s="6"/>
      <c r="BX1566" s="6"/>
      <c r="BY1566" s="6"/>
      <c r="BZ1566" s="6"/>
      <c r="CA1566" s="6"/>
      <c r="CB1566" s="6"/>
      <c r="CC1566" s="6"/>
      <c r="CD1566" s="6"/>
      <c r="CE1566" s="6"/>
      <c r="CF1566" s="6"/>
      <c r="CG1566" s="6"/>
      <c r="CH1566" s="6"/>
      <c r="CI1566" s="6"/>
      <c r="CJ1566" s="6"/>
      <c r="CK1566" s="6"/>
      <c r="CL1566" s="6"/>
      <c r="CM1566" s="6"/>
      <c r="CN1566" s="6"/>
      <c r="CO1566" s="6"/>
      <c r="CP1566" s="6"/>
      <c r="CQ1566" s="6"/>
      <c r="CR1566" s="6"/>
      <c r="CS1566" s="6"/>
      <c r="CT1566" s="6"/>
      <c r="CU1566" s="6"/>
      <c r="CV1566" s="6"/>
      <c r="CW1566" s="6"/>
      <c r="CX1566" s="6"/>
      <c r="CY1566" s="6"/>
      <c r="CZ1566" s="6"/>
      <c r="DA1566" s="6"/>
      <c r="DB1566" s="6"/>
      <c r="DC1566" s="6"/>
      <c r="DD1566" s="6"/>
    </row>
    <row r="1567" spans="1:108" ht="12.75" hidden="1" customHeight="1" outlineLevel="5">
      <c r="A1567" s="104" t="s">
        <v>81</v>
      </c>
      <c r="B1567" s="28">
        <v>1</v>
      </c>
      <c r="C1567" s="11"/>
      <c r="D1567" s="18" t="str">
        <f>"&lt;" &amp; A1567 &amp; "&gt;" &amp; TEXT(B1567,0) &amp; "&lt;/" &amp; A1567 &amp; "&gt;"</f>
        <v>&lt;AutoAeroCenterFlag&gt;1&lt;/AutoAeroCenterFlag&gt;</v>
      </c>
      <c r="E1567" s="175"/>
      <c r="F1567" s="6" t="s">
        <v>661</v>
      </c>
      <c r="G1567" s="6"/>
      <c r="H1567" s="6"/>
      <c r="I1567" s="6"/>
      <c r="J1567" s="6"/>
      <c r="K1567" s="6"/>
      <c r="L1567" s="6"/>
      <c r="M1567" s="6"/>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c r="BU1567" s="6"/>
      <c r="BV1567" s="6"/>
      <c r="BW1567" s="6"/>
      <c r="BX1567" s="6"/>
      <c r="BY1567" s="6"/>
      <c r="BZ1567" s="6"/>
      <c r="CA1567" s="6"/>
      <c r="CB1567" s="6"/>
      <c r="CC1567" s="6"/>
      <c r="CD1567" s="6"/>
      <c r="CE1567" s="6"/>
      <c r="CF1567" s="6"/>
      <c r="CG1567" s="6"/>
      <c r="CH1567" s="6"/>
      <c r="CI1567" s="6"/>
      <c r="CJ1567" s="6"/>
      <c r="CK1567" s="6"/>
      <c r="CL1567" s="6"/>
      <c r="CM1567" s="6"/>
      <c r="CN1567" s="6"/>
      <c r="CO1567" s="6"/>
      <c r="CP1567" s="6"/>
      <c r="CQ1567" s="6"/>
      <c r="CR1567" s="6"/>
      <c r="CS1567" s="6"/>
      <c r="CT1567" s="6"/>
      <c r="CU1567" s="6"/>
      <c r="CV1567" s="6"/>
      <c r="CW1567" s="6"/>
      <c r="CX1567" s="6"/>
      <c r="CY1567" s="6"/>
      <c r="CZ1567" s="6"/>
      <c r="DA1567" s="6"/>
      <c r="DB1567" s="6"/>
      <c r="DC1567" s="6"/>
      <c r="DD1567" s="6"/>
    </row>
    <row r="1568" spans="1:108" ht="12.75" hidden="1" customHeight="1" outlineLevel="5">
      <c r="A1568" s="104" t="s">
        <v>82</v>
      </c>
      <c r="B1568" s="28">
        <v>0</v>
      </c>
      <c r="C1568" s="11"/>
      <c r="D1568" s="18" t="str">
        <f>"&lt;" &amp; A1568 &amp; "&gt;" &amp; TEXT(B1568,0) &amp; "&lt;/" &amp; A1568 &amp; "&gt;"</f>
        <v>&lt;WakeActiveFlag&gt;0&lt;/WakeActiveFlag&gt;</v>
      </c>
      <c r="E1568" s="175"/>
      <c r="F1568" s="6" t="s">
        <v>662</v>
      </c>
      <c r="G1568" s="6"/>
      <c r="H1568" s="6"/>
      <c r="I1568" s="6"/>
      <c r="J1568" s="6"/>
      <c r="K1568" s="6"/>
      <c r="L1568" s="6"/>
      <c r="M1568" s="6"/>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c r="BU1568" s="6"/>
      <c r="BV1568" s="6"/>
      <c r="BW1568" s="6"/>
      <c r="BX1568" s="6"/>
      <c r="BY1568" s="6"/>
      <c r="BZ1568" s="6"/>
      <c r="CA1568" s="6"/>
      <c r="CB1568" s="6"/>
      <c r="CC1568" s="6"/>
      <c r="CD1568" s="6"/>
      <c r="CE1568" s="6"/>
      <c r="CF1568" s="6"/>
      <c r="CG1568" s="6"/>
      <c r="CH1568" s="6"/>
      <c r="CI1568" s="6"/>
      <c r="CJ1568" s="6"/>
      <c r="CK1568" s="6"/>
      <c r="CL1568" s="6"/>
      <c r="CM1568" s="6"/>
      <c r="CN1568" s="6"/>
      <c r="CO1568" s="6"/>
      <c r="CP1568" s="6"/>
      <c r="CQ1568" s="6"/>
      <c r="CR1568" s="6"/>
      <c r="CS1568" s="6"/>
      <c r="CT1568" s="6"/>
      <c r="CU1568" s="6"/>
      <c r="CV1568" s="6"/>
      <c r="CW1568" s="6"/>
      <c r="CX1568" s="6"/>
      <c r="CY1568" s="6"/>
      <c r="CZ1568" s="6"/>
      <c r="DA1568" s="6"/>
      <c r="DB1568" s="6"/>
      <c r="DC1568" s="6"/>
      <c r="DD1568" s="6"/>
    </row>
    <row r="1569" spans="1:108" ht="12.75" hidden="1" customHeight="1" outlineLevel="5">
      <c r="A1569" s="104" t="s">
        <v>83</v>
      </c>
      <c r="B1569" s="28">
        <v>3</v>
      </c>
      <c r="C1569" s="11"/>
      <c r="D1569" s="18" t="str">
        <f>"&lt;" &amp; A1569 &amp; "&gt;" &amp; TEXT(B1569,0) &amp; "&lt;/" &amp; A1569 &amp; "&gt;"</f>
        <v>&lt;PosAttachFlag&gt;3&lt;/PosAttachFlag&gt;</v>
      </c>
      <c r="E1569" s="175"/>
      <c r="F1569" s="6" t="s">
        <v>862</v>
      </c>
      <c r="G1569" s="6"/>
      <c r="H1569" s="6"/>
      <c r="I1569" s="6"/>
      <c r="J1569" s="6"/>
      <c r="K1569" s="6"/>
      <c r="L1569" s="6"/>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c r="BU1569" s="6"/>
      <c r="BV1569" s="6"/>
      <c r="BW1569" s="6"/>
      <c r="BX1569" s="6"/>
      <c r="BY1569" s="6"/>
      <c r="BZ1569" s="6"/>
      <c r="CA1569" s="6"/>
      <c r="CB1569" s="6"/>
      <c r="CC1569" s="6"/>
      <c r="CD1569" s="6"/>
      <c r="CE1569" s="6"/>
      <c r="CF1569" s="6"/>
      <c r="CG1569" s="6"/>
      <c r="CH1569" s="6"/>
      <c r="CI1569" s="6"/>
      <c r="CJ1569" s="6"/>
      <c r="CK1569" s="6"/>
      <c r="CL1569" s="6"/>
      <c r="CM1569" s="6"/>
      <c r="CN1569" s="6"/>
      <c r="CO1569" s="6"/>
      <c r="CP1569" s="6"/>
      <c r="CQ1569" s="6"/>
      <c r="CR1569" s="6"/>
      <c r="CS1569" s="6"/>
      <c r="CT1569" s="6"/>
      <c r="CU1569" s="6"/>
      <c r="CV1569" s="6"/>
      <c r="CW1569" s="6"/>
      <c r="CX1569" s="6"/>
      <c r="CY1569" s="6"/>
      <c r="CZ1569" s="6"/>
      <c r="DA1569" s="6"/>
      <c r="DB1569" s="6"/>
      <c r="DC1569" s="6"/>
      <c r="DD1569" s="6"/>
    </row>
    <row r="1570" spans="1:108" ht="12.75" hidden="1" customHeight="1" outlineLevel="5">
      <c r="A1570" s="104" t="s">
        <v>84</v>
      </c>
      <c r="B1570" s="28">
        <v>0</v>
      </c>
      <c r="C1570" s="11"/>
      <c r="D1570" s="18" t="str">
        <f>"&lt;" &amp; A1570 &amp; "&gt;" &amp; TEXT(B1570,"0.000000") &amp; "&lt;/" &amp; A1570 &amp; "&gt;"</f>
        <v>&lt;U_Attach&gt;0.000000&lt;/U_Attach&gt;</v>
      </c>
      <c r="E1570" s="175"/>
      <c r="F1570" s="6" t="s">
        <v>664</v>
      </c>
      <c r="G1570" s="6"/>
      <c r="H1570" s="6"/>
      <c r="I1570" s="6"/>
      <c r="J1570" s="6"/>
      <c r="K1570" s="6"/>
      <c r="L1570" s="6"/>
      <c r="M1570" s="6"/>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c r="BU1570" s="6"/>
      <c r="BV1570" s="6"/>
      <c r="BW1570" s="6"/>
      <c r="BX1570" s="6"/>
      <c r="BY1570" s="6"/>
      <c r="BZ1570" s="6"/>
      <c r="CA1570" s="6"/>
      <c r="CB1570" s="6"/>
      <c r="CC1570" s="6"/>
      <c r="CD1570" s="6"/>
      <c r="CE1570" s="6"/>
      <c r="CF1570" s="6"/>
      <c r="CG1570" s="6"/>
      <c r="CH1570" s="6"/>
      <c r="CI1570" s="6"/>
      <c r="CJ1570" s="6"/>
      <c r="CK1570" s="6"/>
      <c r="CL1570" s="6"/>
      <c r="CM1570" s="6"/>
      <c r="CN1570" s="6"/>
      <c r="CO1570" s="6"/>
      <c r="CP1570" s="6"/>
      <c r="CQ1570" s="6"/>
      <c r="CR1570" s="6"/>
      <c r="CS1570" s="6"/>
      <c r="CT1570" s="6"/>
      <c r="CU1570" s="6"/>
      <c r="CV1570" s="6"/>
      <c r="CW1570" s="6"/>
      <c r="CX1570" s="6"/>
      <c r="CY1570" s="6"/>
      <c r="CZ1570" s="6"/>
      <c r="DA1570" s="6"/>
      <c r="DB1570" s="6"/>
      <c r="DC1570" s="6"/>
      <c r="DD1570" s="6"/>
    </row>
    <row r="1571" spans="1:108" ht="12.75" hidden="1" customHeight="1" outlineLevel="5">
      <c r="A1571" s="104" t="s">
        <v>85</v>
      </c>
      <c r="B1571" s="28">
        <v>0</v>
      </c>
      <c r="C1571" s="11"/>
      <c r="D1571" s="18" t="str">
        <f>"&lt;" &amp; A1571 &amp; "&gt;" &amp; TEXT(B1571,"0.000000") &amp; "&lt;/" &amp; A1571 &amp; "&gt;"</f>
        <v>&lt;V_Attach&gt;0.000000&lt;/V_Attach&gt;</v>
      </c>
      <c r="E1571" s="175"/>
      <c r="F1571" s="6" t="s">
        <v>665</v>
      </c>
      <c r="G1571" s="6"/>
      <c r="H1571" s="6"/>
      <c r="I1571" s="6"/>
      <c r="J1571" s="6"/>
      <c r="K1571" s="6"/>
      <c r="L1571" s="6"/>
      <c r="M1571" s="6"/>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c r="BU1571" s="6"/>
      <c r="BV1571" s="6"/>
      <c r="BW1571" s="6"/>
      <c r="BX1571" s="6"/>
      <c r="BY1571" s="6"/>
      <c r="BZ1571" s="6"/>
      <c r="CA1571" s="6"/>
      <c r="CB1571" s="6"/>
      <c r="CC1571" s="6"/>
      <c r="CD1571" s="6"/>
      <c r="CE1571" s="6"/>
      <c r="CF1571" s="6"/>
      <c r="CG1571" s="6"/>
      <c r="CH1571" s="6"/>
      <c r="CI1571" s="6"/>
      <c r="CJ1571" s="6"/>
      <c r="CK1571" s="6"/>
      <c r="CL1571" s="6"/>
      <c r="CM1571" s="6"/>
      <c r="CN1571" s="6"/>
      <c r="CO1571" s="6"/>
      <c r="CP1571" s="6"/>
      <c r="CQ1571" s="6"/>
      <c r="CR1571" s="6"/>
      <c r="CS1571" s="6"/>
      <c r="CT1571" s="6"/>
      <c r="CU1571" s="6"/>
      <c r="CV1571" s="6"/>
      <c r="CW1571" s="6"/>
      <c r="CX1571" s="6"/>
      <c r="CY1571" s="6"/>
      <c r="CZ1571" s="6"/>
      <c r="DA1571" s="6"/>
      <c r="DB1571" s="6"/>
      <c r="DC1571" s="6"/>
      <c r="DD1571" s="6"/>
    </row>
    <row r="1572" spans="1:108" ht="12.75" hidden="1" customHeight="1" outlineLevel="5">
      <c r="A1572" s="104" t="s">
        <v>86</v>
      </c>
      <c r="B1572" s="28">
        <v>148458296</v>
      </c>
      <c r="C1572" s="11"/>
      <c r="D1572" s="18" t="str">
        <f>"&lt;" &amp; A1572 &amp; "&gt;" &amp; TEXT(B1572,0) &amp; "&lt;/" &amp; A1572 &amp; "&gt;"</f>
        <v>&lt;PtrID&gt;148458296&lt;/PtrID&gt;</v>
      </c>
      <c r="E1572" s="175"/>
      <c r="F1572" s="6" t="s">
        <v>936</v>
      </c>
      <c r="G1572" s="6"/>
      <c r="H1572" s="6"/>
      <c r="I1572" s="6"/>
      <c r="J1572" s="6"/>
      <c r="K1572" s="6"/>
      <c r="L1572" s="6"/>
      <c r="M1572" s="6"/>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c r="BU1572" s="6"/>
      <c r="BV1572" s="6"/>
      <c r="BW1572" s="6"/>
      <c r="BX1572" s="6"/>
      <c r="BY1572" s="6"/>
      <c r="BZ1572" s="6"/>
      <c r="CA1572" s="6"/>
      <c r="CB1572" s="6"/>
      <c r="CC1572" s="6"/>
      <c r="CD1572" s="6"/>
      <c r="CE1572" s="6"/>
      <c r="CF1572" s="6"/>
      <c r="CG1572" s="6"/>
      <c r="CH1572" s="6"/>
      <c r="CI1572" s="6"/>
      <c r="CJ1572" s="6"/>
      <c r="CK1572" s="6"/>
      <c r="CL1572" s="6"/>
      <c r="CM1572" s="6"/>
      <c r="CN1572" s="6"/>
      <c r="CO1572" s="6"/>
      <c r="CP1572" s="6"/>
      <c r="CQ1572" s="6"/>
      <c r="CR1572" s="6"/>
      <c r="CS1572" s="6"/>
      <c r="CT1572" s="6"/>
      <c r="CU1572" s="6"/>
      <c r="CV1572" s="6"/>
      <c r="CW1572" s="6"/>
      <c r="CX1572" s="6"/>
      <c r="CY1572" s="6"/>
      <c r="CZ1572" s="6"/>
      <c r="DA1572" s="6"/>
      <c r="DB1572" s="6"/>
      <c r="DC1572" s="6"/>
      <c r="DD1572" s="6"/>
    </row>
    <row r="1573" spans="1:108" ht="12.75" hidden="1" customHeight="1" outlineLevel="5">
      <c r="A1573" s="104" t="s">
        <v>87</v>
      </c>
      <c r="B1573" s="28">
        <v>148271640</v>
      </c>
      <c r="C1573" s="11"/>
      <c r="D1573" s="18" t="str">
        <f>"&lt;" &amp; A1573 &amp; "&gt;" &amp; TEXT(B1573,0) &amp; "&lt;/" &amp; A1573 &amp; "&gt;"</f>
        <v>&lt;Parent_PtrID&gt;148271640&lt;/Parent_PtrID&gt;</v>
      </c>
      <c r="E1573" s="175"/>
      <c r="F1573" s="6" t="s">
        <v>864</v>
      </c>
      <c r="G1573" s="6"/>
      <c r="H1573" s="6"/>
      <c r="I1573" s="6"/>
      <c r="J1573" s="6"/>
      <c r="K1573" s="6"/>
      <c r="L1573" s="6"/>
      <c r="M1573" s="6"/>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c r="BU1573" s="6"/>
      <c r="BV1573" s="6"/>
      <c r="BW1573" s="6"/>
      <c r="BX1573" s="6"/>
      <c r="BY1573" s="6"/>
      <c r="BZ1573" s="6"/>
      <c r="CA1573" s="6"/>
      <c r="CB1573" s="6"/>
      <c r="CC1573" s="6"/>
      <c r="CD1573" s="6"/>
      <c r="CE1573" s="6"/>
      <c r="CF1573" s="6"/>
      <c r="CG1573" s="6"/>
      <c r="CH1573" s="6"/>
      <c r="CI1573" s="6"/>
      <c r="CJ1573" s="6"/>
      <c r="CK1573" s="6"/>
      <c r="CL1573" s="6"/>
      <c r="CM1573" s="6"/>
      <c r="CN1573" s="6"/>
      <c r="CO1573" s="6"/>
      <c r="CP1573" s="6"/>
      <c r="CQ1573" s="6"/>
      <c r="CR1573" s="6"/>
      <c r="CS1573" s="6"/>
      <c r="CT1573" s="6"/>
      <c r="CU1573" s="6"/>
      <c r="CV1573" s="6"/>
      <c r="CW1573" s="6"/>
      <c r="CX1573" s="6"/>
      <c r="CY1573" s="6"/>
      <c r="CZ1573" s="6"/>
      <c r="DA1573" s="6"/>
      <c r="DB1573" s="6"/>
      <c r="DC1573" s="6"/>
      <c r="DD1573" s="6"/>
    </row>
    <row r="1574" spans="1:108" ht="12.75" hidden="1" customHeight="1" outlineLevel="5">
      <c r="A1574" s="104" t="s">
        <v>88</v>
      </c>
      <c r="B1574" s="100"/>
      <c r="C1574" s="11"/>
      <c r="D1574" s="6" t="str">
        <f>"&lt;" &amp; A1574 &amp; "&gt;"</f>
        <v>&lt;/General_Parms&gt;</v>
      </c>
      <c r="E1574" s="175"/>
      <c r="F1574" s="6" t="s">
        <v>667</v>
      </c>
      <c r="G1574" s="6"/>
      <c r="H1574" s="6"/>
      <c r="I1574" s="6"/>
      <c r="J1574" s="6"/>
      <c r="K1574" s="6"/>
      <c r="L1574" s="6"/>
      <c r="M1574" s="6"/>
      <c r="N1574" s="6"/>
      <c r="O1574" s="6"/>
      <c r="P1574" s="6"/>
      <c r="Q1574" s="6"/>
      <c r="R1574" s="6"/>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c r="BU1574" s="6"/>
      <c r="BV1574" s="6"/>
      <c r="BW1574" s="6"/>
      <c r="BX1574" s="6"/>
      <c r="BY1574" s="6"/>
      <c r="BZ1574" s="6"/>
      <c r="CA1574" s="6"/>
      <c r="CB1574" s="6"/>
      <c r="CC1574" s="6"/>
      <c r="CD1574" s="6"/>
      <c r="CE1574" s="6"/>
      <c r="CF1574" s="6"/>
      <c r="CG1574" s="6"/>
      <c r="CH1574" s="6"/>
      <c r="CI1574" s="6"/>
      <c r="CJ1574" s="6"/>
      <c r="CK1574" s="6"/>
      <c r="CL1574" s="6"/>
      <c r="CM1574" s="6"/>
      <c r="CN1574" s="6"/>
      <c r="CO1574" s="6"/>
      <c r="CP1574" s="6"/>
      <c r="CQ1574" s="6"/>
      <c r="CR1574" s="6"/>
      <c r="CS1574" s="6"/>
      <c r="CT1574" s="6"/>
      <c r="CU1574" s="6"/>
      <c r="CV1574" s="6"/>
      <c r="CW1574" s="6"/>
      <c r="CX1574" s="6"/>
      <c r="CY1574" s="6"/>
      <c r="CZ1574" s="6"/>
      <c r="DA1574" s="6"/>
      <c r="DB1574" s="6"/>
      <c r="DC1574" s="6"/>
      <c r="DD1574" s="6"/>
    </row>
    <row r="1575" spans="1:108" ht="12.75" hidden="1" customHeight="1" outlineLevel="4" collapsed="1">
      <c r="A1575" s="104" t="s">
        <v>89</v>
      </c>
      <c r="B1575" s="100"/>
      <c r="C1575" s="11"/>
      <c r="D1575" s="6" t="str">
        <f>"&lt;" &amp; A1575 &amp; "&gt;"</f>
        <v>&lt;Mswing_Parms&gt;</v>
      </c>
      <c r="E1575" s="175"/>
      <c r="F1575" s="6" t="s">
        <v>668</v>
      </c>
      <c r="G1575" s="6"/>
      <c r="H1575" s="6"/>
      <c r="I1575" s="6"/>
      <c r="J1575" s="6"/>
      <c r="K1575" s="6"/>
      <c r="L1575" s="6"/>
      <c r="M1575" s="6"/>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c r="BU1575" s="6"/>
      <c r="BV1575" s="6"/>
      <c r="BW1575" s="6"/>
      <c r="BX1575" s="6"/>
      <c r="BY1575" s="6"/>
      <c r="BZ1575" s="6"/>
      <c r="CA1575" s="6"/>
      <c r="CB1575" s="6"/>
      <c r="CC1575" s="6"/>
      <c r="CD1575" s="6"/>
      <c r="CE1575" s="6"/>
      <c r="CF1575" s="6"/>
      <c r="CG1575" s="6"/>
      <c r="CH1575" s="6"/>
      <c r="CI1575" s="6"/>
      <c r="CJ1575" s="6"/>
      <c r="CK1575" s="6"/>
      <c r="CL1575" s="6"/>
      <c r="CM1575" s="6"/>
      <c r="CN1575" s="6"/>
      <c r="CO1575" s="6"/>
      <c r="CP1575" s="6"/>
      <c r="CQ1575" s="6"/>
      <c r="CR1575" s="6"/>
      <c r="CS1575" s="6"/>
      <c r="CT1575" s="6"/>
      <c r="CU1575" s="6"/>
      <c r="CV1575" s="6"/>
      <c r="CW1575" s="6"/>
      <c r="CX1575" s="6"/>
      <c r="CY1575" s="6"/>
      <c r="CZ1575" s="6"/>
      <c r="DA1575" s="6"/>
      <c r="DB1575" s="6"/>
      <c r="DC1575" s="6"/>
      <c r="DD1575" s="6"/>
    </row>
    <row r="1576" spans="1:108" ht="12.75" hidden="1" customHeight="1" outlineLevel="5">
      <c r="A1576" s="104" t="s">
        <v>90</v>
      </c>
      <c r="B1576" s="40">
        <f ca="1">B1636</f>
        <v>2.0493676844944742</v>
      </c>
      <c r="C1576" s="11"/>
      <c r="D1576" s="18" t="str">
        <f ca="1">"&lt;" &amp; A1576 &amp; "&gt;" &amp; TEXT(B1576,"0.000000") &amp; "&lt;/" &amp; A1576 &amp; "&gt;"</f>
        <v>&lt;Total_Area&gt;2.049368&lt;/Total_Area&gt;</v>
      </c>
      <c r="E1576" s="175"/>
      <c r="F1576" s="6" t="s">
        <v>1005</v>
      </c>
      <c r="G1576" s="6"/>
      <c r="H1576" s="6"/>
      <c r="I1576" s="6"/>
      <c r="J1576" s="6"/>
      <c r="K1576" s="6"/>
      <c r="L1576" s="6"/>
      <c r="M1576" s="6"/>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c r="BU1576" s="6"/>
      <c r="BV1576" s="6"/>
      <c r="BW1576" s="6"/>
      <c r="BX1576" s="6"/>
      <c r="BY1576" s="6"/>
      <c r="BZ1576" s="6"/>
      <c r="CA1576" s="6"/>
      <c r="CB1576" s="6"/>
      <c r="CC1576" s="6"/>
      <c r="CD1576" s="6"/>
      <c r="CE1576" s="6"/>
      <c r="CF1576" s="6"/>
      <c r="CG1576" s="6"/>
      <c r="CH1576" s="6"/>
      <c r="CI1576" s="6"/>
      <c r="CJ1576" s="6"/>
      <c r="CK1576" s="6"/>
      <c r="CL1576" s="6"/>
      <c r="CM1576" s="6"/>
      <c r="CN1576" s="6"/>
      <c r="CO1576" s="6"/>
      <c r="CP1576" s="6"/>
      <c r="CQ1576" s="6"/>
      <c r="CR1576" s="6"/>
      <c r="CS1576" s="6"/>
      <c r="CT1576" s="6"/>
      <c r="CU1576" s="6"/>
      <c r="CV1576" s="6"/>
      <c r="CW1576" s="6"/>
      <c r="CX1576" s="6"/>
      <c r="CY1576" s="6"/>
      <c r="CZ1576" s="6"/>
      <c r="DA1576" s="6"/>
      <c r="DB1576" s="6"/>
      <c r="DC1576" s="6"/>
      <c r="DD1576" s="6"/>
    </row>
    <row r="1577" spans="1:108" ht="12.75" hidden="1" customHeight="1" outlineLevel="5">
      <c r="A1577" s="104" t="s">
        <v>91</v>
      </c>
      <c r="B1577" s="37">
        <f>B1637</f>
        <v>0.9</v>
      </c>
      <c r="C1577" s="11"/>
      <c r="D1577" s="18" t="str">
        <f>"&lt;" &amp; A1577 &amp; "&gt;" &amp; TEXT(l_e.j.pylon,"0.000000") &amp; "&lt;/" &amp; A1577 &amp; "&gt;"</f>
        <v>&lt;Total_Span&gt;0.900000&lt;/Total_Span&gt;</v>
      </c>
      <c r="E1577" s="175"/>
      <c r="F1577" s="6" t="s">
        <v>937</v>
      </c>
      <c r="G1577" s="6"/>
      <c r="H1577" s="6"/>
      <c r="I1577" s="6"/>
      <c r="J1577" s="6"/>
      <c r="K1577" s="6"/>
      <c r="L1577" s="6"/>
      <c r="M1577" s="6"/>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c r="BU1577" s="6"/>
      <c r="BV1577" s="6"/>
      <c r="BW1577" s="6"/>
      <c r="BX1577" s="6"/>
      <c r="BY1577" s="6"/>
      <c r="BZ1577" s="6"/>
      <c r="CA1577" s="6"/>
      <c r="CB1577" s="6"/>
      <c r="CC1577" s="6"/>
      <c r="CD1577" s="6"/>
      <c r="CE1577" s="6"/>
      <c r="CF1577" s="6"/>
      <c r="CG1577" s="6"/>
      <c r="CH1577" s="6"/>
      <c r="CI1577" s="6"/>
      <c r="CJ1577" s="6"/>
      <c r="CK1577" s="6"/>
      <c r="CL1577" s="6"/>
      <c r="CM1577" s="6"/>
      <c r="CN1577" s="6"/>
      <c r="CO1577" s="6"/>
      <c r="CP1577" s="6"/>
      <c r="CQ1577" s="6"/>
      <c r="CR1577" s="6"/>
      <c r="CS1577" s="6"/>
      <c r="CT1577" s="6"/>
      <c r="CU1577" s="6"/>
      <c r="CV1577" s="6"/>
      <c r="CW1577" s="6"/>
      <c r="CX1577" s="6"/>
      <c r="CY1577" s="6"/>
      <c r="CZ1577" s="6"/>
      <c r="DA1577" s="6"/>
      <c r="DB1577" s="6"/>
      <c r="DC1577" s="6"/>
      <c r="DD1577" s="6"/>
    </row>
    <row r="1578" spans="1:108" ht="12.75" hidden="1" customHeight="1" outlineLevel="5">
      <c r="A1578" s="104" t="s">
        <v>92</v>
      </c>
      <c r="B1578" s="37">
        <f>B1637*COS(B1644*PI()/180)</f>
        <v>0.9</v>
      </c>
      <c r="C1578" s="11"/>
      <c r="D1578" s="18" t="str">
        <f>"&lt;" &amp; A1578 &amp; "&gt;" &amp; TEXT(B1578,"0.000000") &amp; "&lt;/" &amp; A1578 &amp; "&gt;"</f>
        <v>&lt;Total_Proj_Span&gt;0.900000&lt;/Total_Proj_Span&gt;</v>
      </c>
      <c r="E1578" s="175"/>
      <c r="F1578" s="6" t="s">
        <v>938</v>
      </c>
      <c r="G1578" s="6"/>
      <c r="H1578" s="6"/>
      <c r="I1578" s="6"/>
      <c r="J1578" s="6"/>
      <c r="K1578" s="6"/>
      <c r="L1578" s="6"/>
      <c r="M1578" s="6"/>
      <c r="N1578" s="6"/>
      <c r="O1578" s="6"/>
      <c r="P1578" s="6"/>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c r="BU1578" s="6"/>
      <c r="BV1578" s="6"/>
      <c r="BW1578" s="6"/>
      <c r="BX1578" s="6"/>
      <c r="BY1578" s="6"/>
      <c r="BZ1578" s="6"/>
      <c r="CA1578" s="6"/>
      <c r="CB1578" s="6"/>
      <c r="CC1578" s="6"/>
      <c r="CD1578" s="6"/>
      <c r="CE1578" s="6"/>
      <c r="CF1578" s="6"/>
      <c r="CG1578" s="6"/>
      <c r="CH1578" s="6"/>
      <c r="CI1578" s="6"/>
      <c r="CJ1578" s="6"/>
      <c r="CK1578" s="6"/>
      <c r="CL1578" s="6"/>
      <c r="CM1578" s="6"/>
      <c r="CN1578" s="6"/>
      <c r="CO1578" s="6"/>
      <c r="CP1578" s="6"/>
      <c r="CQ1578" s="6"/>
      <c r="CR1578" s="6"/>
      <c r="CS1578" s="6"/>
      <c r="CT1578" s="6"/>
      <c r="CU1578" s="6"/>
      <c r="CV1578" s="6"/>
      <c r="CW1578" s="6"/>
      <c r="CX1578" s="6"/>
      <c r="CY1578" s="6"/>
      <c r="CZ1578" s="6"/>
      <c r="DA1578" s="6"/>
      <c r="DB1578" s="6"/>
      <c r="DC1578" s="6"/>
      <c r="DD1578" s="6"/>
    </row>
    <row r="1579" spans="1:108" ht="12.75" hidden="1" customHeight="1" outlineLevel="5">
      <c r="A1579" s="104" t="s">
        <v>93</v>
      </c>
      <c r="B1579" s="37">
        <f ca="1">B1576/l_e.j.pylon</f>
        <v>2.2770752049938601</v>
      </c>
      <c r="C1579" s="11"/>
      <c r="D1579" s="18" t="str">
        <f ca="1">"&lt;" &amp; A1579 &amp; "&gt;" &amp; TEXT(B1579,"0.000000") &amp; "&lt;/" &amp; A1579 &amp; "&gt;"</f>
        <v>&lt;Avg_Chord&gt;2.277075&lt;/Avg_Chord&gt;</v>
      </c>
      <c r="E1579" s="175"/>
      <c r="F1579" s="6" t="s">
        <v>939</v>
      </c>
      <c r="G1579" s="6"/>
      <c r="H1579" s="6"/>
      <c r="I1579" s="6"/>
      <c r="J1579" s="6"/>
      <c r="K1579" s="6"/>
      <c r="L1579" s="6"/>
      <c r="M1579" s="6"/>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c r="BU1579" s="6"/>
      <c r="BV1579" s="6"/>
      <c r="BW1579" s="6"/>
      <c r="BX1579" s="6"/>
      <c r="BY1579" s="6"/>
      <c r="BZ1579" s="6"/>
      <c r="CA1579" s="6"/>
      <c r="CB1579" s="6"/>
      <c r="CC1579" s="6"/>
      <c r="CD1579" s="6"/>
      <c r="CE1579" s="6"/>
      <c r="CF1579" s="6"/>
      <c r="CG1579" s="6"/>
      <c r="CH1579" s="6"/>
      <c r="CI1579" s="6"/>
      <c r="CJ1579" s="6"/>
      <c r="CK1579" s="6"/>
      <c r="CL1579" s="6"/>
      <c r="CM1579" s="6"/>
      <c r="CN1579" s="6"/>
      <c r="CO1579" s="6"/>
      <c r="CP1579" s="6"/>
      <c r="CQ1579" s="6"/>
      <c r="CR1579" s="6"/>
      <c r="CS1579" s="6"/>
      <c r="CT1579" s="6"/>
      <c r="CU1579" s="6"/>
      <c r="CV1579" s="6"/>
      <c r="CW1579" s="6"/>
      <c r="CX1579" s="6"/>
      <c r="CY1579" s="6"/>
      <c r="CZ1579" s="6"/>
      <c r="DA1579" s="6"/>
      <c r="DB1579" s="6"/>
      <c r="DC1579" s="6"/>
      <c r="DD1579" s="6"/>
    </row>
    <row r="1580" spans="1:108" ht="12.75" hidden="1" customHeight="1" outlineLevel="5">
      <c r="A1580" s="104" t="s">
        <v>94</v>
      </c>
      <c r="B1580" s="28">
        <v>0</v>
      </c>
      <c r="C1580" s="11"/>
      <c r="D1580" s="18" t="str">
        <f>"&lt;" &amp; A1580 &amp; "&gt;" &amp; TEXT(B1580,"0.000000") &amp; "&lt;/" &amp; A1580 &amp; "&gt;"</f>
        <v>&lt;Sweep_Off&gt;0.000000&lt;/Sweep_Off&gt;</v>
      </c>
      <c r="E1580" s="175"/>
      <c r="F1580" s="6" t="s">
        <v>670</v>
      </c>
      <c r="G1580" s="6"/>
      <c r="H1580" s="6"/>
      <c r="I1580" s="6"/>
      <c r="J1580" s="6"/>
      <c r="K1580" s="6"/>
      <c r="L1580" s="6"/>
      <c r="M1580" s="6"/>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c r="BU1580" s="6"/>
      <c r="BV1580" s="6"/>
      <c r="BW1580" s="6"/>
      <c r="BX1580" s="6"/>
      <c r="BY1580" s="6"/>
      <c r="BZ1580" s="6"/>
      <c r="CA1580" s="6"/>
      <c r="CB1580" s="6"/>
      <c r="CC1580" s="6"/>
      <c r="CD1580" s="6"/>
      <c r="CE1580" s="6"/>
      <c r="CF1580" s="6"/>
      <c r="CG1580" s="6"/>
      <c r="CH1580" s="6"/>
      <c r="CI1580" s="6"/>
      <c r="CJ1580" s="6"/>
      <c r="CK1580" s="6"/>
      <c r="CL1580" s="6"/>
      <c r="CM1580" s="6"/>
      <c r="CN1580" s="6"/>
      <c r="CO1580" s="6"/>
      <c r="CP1580" s="6"/>
      <c r="CQ1580" s="6"/>
      <c r="CR1580" s="6"/>
      <c r="CS1580" s="6"/>
      <c r="CT1580" s="6"/>
      <c r="CU1580" s="6"/>
      <c r="CV1580" s="6"/>
      <c r="CW1580" s="6"/>
      <c r="CX1580" s="6"/>
      <c r="CY1580" s="6"/>
      <c r="CZ1580" s="6"/>
      <c r="DA1580" s="6"/>
      <c r="DB1580" s="6"/>
      <c r="DC1580" s="6"/>
      <c r="DD1580" s="6"/>
    </row>
    <row r="1581" spans="1:108" ht="12.75" hidden="1" customHeight="1" outlineLevel="5">
      <c r="A1581" s="104" t="s">
        <v>95</v>
      </c>
      <c r="B1581" s="28">
        <v>9</v>
      </c>
      <c r="C1581" s="11"/>
      <c r="D1581" s="18" t="str">
        <f>"&lt;" &amp; A1581 &amp; "&gt;" &amp; TEXT(B1581,0) &amp; "&lt;/" &amp; A1581 &amp; "&gt;"</f>
        <v>&lt;Deg_Per_Seg&gt;9&lt;/Deg_Per_Seg&gt;</v>
      </c>
      <c r="E1581" s="175"/>
      <c r="F1581" s="6" t="s">
        <v>671</v>
      </c>
      <c r="G1581" s="6"/>
      <c r="H1581" s="6"/>
      <c r="I1581" s="6"/>
      <c r="J1581" s="6"/>
      <c r="K1581" s="6"/>
      <c r="L1581" s="6"/>
      <c r="M1581" s="6"/>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c r="BU1581" s="6"/>
      <c r="BV1581" s="6"/>
      <c r="BW1581" s="6"/>
      <c r="BX1581" s="6"/>
      <c r="BY1581" s="6"/>
      <c r="BZ1581" s="6"/>
      <c r="CA1581" s="6"/>
      <c r="CB1581" s="6"/>
      <c r="CC1581" s="6"/>
      <c r="CD1581" s="6"/>
      <c r="CE1581" s="6"/>
      <c r="CF1581" s="6"/>
      <c r="CG1581" s="6"/>
      <c r="CH1581" s="6"/>
      <c r="CI1581" s="6"/>
      <c r="CJ1581" s="6"/>
      <c r="CK1581" s="6"/>
      <c r="CL1581" s="6"/>
      <c r="CM1581" s="6"/>
      <c r="CN1581" s="6"/>
      <c r="CO1581" s="6"/>
      <c r="CP1581" s="6"/>
      <c r="CQ1581" s="6"/>
      <c r="CR1581" s="6"/>
      <c r="CS1581" s="6"/>
      <c r="CT1581" s="6"/>
      <c r="CU1581" s="6"/>
      <c r="CV1581" s="6"/>
      <c r="CW1581" s="6"/>
      <c r="CX1581" s="6"/>
      <c r="CY1581" s="6"/>
      <c r="CZ1581" s="6"/>
      <c r="DA1581" s="6"/>
      <c r="DB1581" s="6"/>
      <c r="DC1581" s="6"/>
      <c r="DD1581" s="6"/>
    </row>
    <row r="1582" spans="1:108" ht="12.75" hidden="1" customHeight="1" outlineLevel="5">
      <c r="A1582" s="104" t="s">
        <v>96</v>
      </c>
      <c r="B1582" s="28">
        <v>9</v>
      </c>
      <c r="C1582" s="11"/>
      <c r="D1582" s="18" t="str">
        <f>"&lt;" &amp; A1582 &amp; "&gt;" &amp; TEXT(B1582,0) &amp; "&lt;/" &amp; A1582 &amp; "&gt;"</f>
        <v>&lt;Max_Num_Seg&gt;9&lt;/Max_Num_Seg&gt;</v>
      </c>
      <c r="E1582" s="175"/>
      <c r="F1582" s="6" t="s">
        <v>672</v>
      </c>
      <c r="G1582" s="6"/>
      <c r="H1582" s="6"/>
      <c r="I1582" s="6"/>
      <c r="J1582" s="6"/>
      <c r="K1582" s="6"/>
      <c r="L1582" s="6"/>
      <c r="M1582" s="6"/>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c r="BU1582" s="6"/>
      <c r="BV1582" s="6"/>
      <c r="BW1582" s="6"/>
      <c r="BX1582" s="6"/>
      <c r="BY1582" s="6"/>
      <c r="BZ1582" s="6"/>
      <c r="CA1582" s="6"/>
      <c r="CB1582" s="6"/>
      <c r="CC1582" s="6"/>
      <c r="CD1582" s="6"/>
      <c r="CE1582" s="6"/>
      <c r="CF1582" s="6"/>
      <c r="CG1582" s="6"/>
      <c r="CH1582" s="6"/>
      <c r="CI1582" s="6"/>
      <c r="CJ1582" s="6"/>
      <c r="CK1582" s="6"/>
      <c r="CL1582" s="6"/>
      <c r="CM1582" s="6"/>
      <c r="CN1582" s="6"/>
      <c r="CO1582" s="6"/>
      <c r="CP1582" s="6"/>
      <c r="CQ1582" s="6"/>
      <c r="CR1582" s="6"/>
      <c r="CS1582" s="6"/>
      <c r="CT1582" s="6"/>
      <c r="CU1582" s="6"/>
      <c r="CV1582" s="6"/>
      <c r="CW1582" s="6"/>
      <c r="CX1582" s="6"/>
      <c r="CY1582" s="6"/>
      <c r="CZ1582" s="6"/>
      <c r="DA1582" s="6"/>
      <c r="DB1582" s="6"/>
      <c r="DC1582" s="6"/>
      <c r="DD1582" s="6"/>
    </row>
    <row r="1583" spans="1:108" ht="12.75" hidden="1" customHeight="1" outlineLevel="5">
      <c r="A1583" s="104" t="s">
        <v>97</v>
      </c>
      <c r="B1583" s="28">
        <v>0</v>
      </c>
      <c r="C1583" s="11"/>
      <c r="D1583" s="18" t="str">
        <f>"&lt;" &amp; A1583 &amp; "&gt;" &amp; TEXT(B1583,0) &amp; "&lt;/" &amp; A1583 &amp; "&gt;"</f>
        <v>&lt;Rel_Dihedral_Flag&gt;0&lt;/Rel_Dihedral_Flag&gt;</v>
      </c>
      <c r="E1583" s="175"/>
      <c r="F1583" s="6" t="s">
        <v>673</v>
      </c>
      <c r="G1583" s="6"/>
      <c r="H1583" s="6"/>
      <c r="I1583" s="6"/>
      <c r="J1583" s="6"/>
      <c r="K1583" s="6"/>
      <c r="L1583" s="6"/>
      <c r="M1583" s="6"/>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c r="BU1583" s="6"/>
      <c r="BV1583" s="6"/>
      <c r="BW1583" s="6"/>
      <c r="BX1583" s="6"/>
      <c r="BY1583" s="6"/>
      <c r="BZ1583" s="6"/>
      <c r="CA1583" s="6"/>
      <c r="CB1583" s="6"/>
      <c r="CC1583" s="6"/>
      <c r="CD1583" s="6"/>
      <c r="CE1583" s="6"/>
      <c r="CF1583" s="6"/>
      <c r="CG1583" s="6"/>
      <c r="CH1583" s="6"/>
      <c r="CI1583" s="6"/>
      <c r="CJ1583" s="6"/>
      <c r="CK1583" s="6"/>
      <c r="CL1583" s="6"/>
      <c r="CM1583" s="6"/>
      <c r="CN1583" s="6"/>
      <c r="CO1583" s="6"/>
      <c r="CP1583" s="6"/>
      <c r="CQ1583" s="6"/>
      <c r="CR1583" s="6"/>
      <c r="CS1583" s="6"/>
      <c r="CT1583" s="6"/>
      <c r="CU1583" s="6"/>
      <c r="CV1583" s="6"/>
      <c r="CW1583" s="6"/>
      <c r="CX1583" s="6"/>
      <c r="CY1583" s="6"/>
      <c r="CZ1583" s="6"/>
      <c r="DA1583" s="6"/>
      <c r="DB1583" s="6"/>
      <c r="DC1583" s="6"/>
      <c r="DD1583" s="6"/>
    </row>
    <row r="1584" spans="1:108" ht="12.75" hidden="1" customHeight="1" outlineLevel="5">
      <c r="A1584" s="104" t="s">
        <v>98</v>
      </c>
      <c r="B1584" s="28">
        <v>0</v>
      </c>
      <c r="C1584" s="11"/>
      <c r="D1584" s="18" t="str">
        <f>"&lt;" &amp; A1584 &amp; "&gt;" &amp; TEXT(B1584,0) &amp; "&lt;/" &amp; A1584 &amp; "&gt;"</f>
        <v>&lt;Rel_Twist_Flag&gt;0&lt;/Rel_Twist_Flag&gt;</v>
      </c>
      <c r="E1584" s="175"/>
      <c r="F1584" s="6" t="s">
        <v>674</v>
      </c>
      <c r="G1584" s="6"/>
      <c r="H1584" s="6"/>
      <c r="I1584" s="6"/>
      <c r="J1584" s="6"/>
      <c r="K1584" s="6"/>
      <c r="L1584" s="6"/>
      <c r="M1584" s="6"/>
      <c r="N1584" s="6"/>
      <c r="O1584" s="6"/>
      <c r="P1584" s="6"/>
      <c r="Q1584" s="6"/>
      <c r="R1584" s="6"/>
      <c r="S1584" s="6"/>
      <c r="T1584" s="6"/>
      <c r="U1584" s="6"/>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c r="BU1584" s="6"/>
      <c r="BV1584" s="6"/>
      <c r="BW1584" s="6"/>
      <c r="BX1584" s="6"/>
      <c r="BY1584" s="6"/>
      <c r="BZ1584" s="6"/>
      <c r="CA1584" s="6"/>
      <c r="CB1584" s="6"/>
      <c r="CC1584" s="6"/>
      <c r="CD1584" s="6"/>
      <c r="CE1584" s="6"/>
      <c r="CF1584" s="6"/>
      <c r="CG1584" s="6"/>
      <c r="CH1584" s="6"/>
      <c r="CI1584" s="6"/>
      <c r="CJ1584" s="6"/>
      <c r="CK1584" s="6"/>
      <c r="CL1584" s="6"/>
      <c r="CM1584" s="6"/>
      <c r="CN1584" s="6"/>
      <c r="CO1584" s="6"/>
      <c r="CP1584" s="6"/>
      <c r="CQ1584" s="6"/>
      <c r="CR1584" s="6"/>
      <c r="CS1584" s="6"/>
      <c r="CT1584" s="6"/>
      <c r="CU1584" s="6"/>
      <c r="CV1584" s="6"/>
      <c r="CW1584" s="6"/>
      <c r="CX1584" s="6"/>
      <c r="CY1584" s="6"/>
      <c r="CZ1584" s="6"/>
      <c r="DA1584" s="6"/>
      <c r="DB1584" s="6"/>
      <c r="DC1584" s="6"/>
      <c r="DD1584" s="6"/>
    </row>
    <row r="1585" spans="1:108" ht="12.75" hidden="1" customHeight="1" outlineLevel="5">
      <c r="A1585" s="104" t="s">
        <v>99</v>
      </c>
      <c r="B1585" s="28">
        <v>0</v>
      </c>
      <c r="C1585" s="11"/>
      <c r="D1585" s="18" t="str">
        <f>"&lt;" &amp; A1585 &amp; "&gt;" &amp; TEXT(B1585,0) &amp; "&lt;/" &amp; A1585 &amp; "&gt;"</f>
        <v>&lt;Round_End_Cap_Flag&gt;0&lt;/Round_End_Cap_Flag&gt;</v>
      </c>
      <c r="E1585" s="175"/>
      <c r="F1585" s="6" t="s">
        <v>726</v>
      </c>
      <c r="G1585" s="6"/>
      <c r="H1585" s="6"/>
      <c r="I1585" s="6"/>
      <c r="J1585" s="6"/>
      <c r="K1585" s="6"/>
      <c r="L1585" s="6"/>
      <c r="M1585" s="6"/>
      <c r="N1585" s="6"/>
      <c r="O1585" s="6"/>
      <c r="P1585" s="6"/>
      <c r="Q1585" s="6"/>
      <c r="R1585" s="6"/>
      <c r="S1585" s="6"/>
      <c r="T1585" s="6"/>
      <c r="U1585" s="6"/>
      <c r="V1585" s="6"/>
      <c r="W1585" s="6"/>
      <c r="X1585" s="6"/>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c r="BU1585" s="6"/>
      <c r="BV1585" s="6"/>
      <c r="BW1585" s="6"/>
      <c r="BX1585" s="6"/>
      <c r="BY1585" s="6"/>
      <c r="BZ1585" s="6"/>
      <c r="CA1585" s="6"/>
      <c r="CB1585" s="6"/>
      <c r="CC1585" s="6"/>
      <c r="CD1585" s="6"/>
      <c r="CE1585" s="6"/>
      <c r="CF1585" s="6"/>
      <c r="CG1585" s="6"/>
      <c r="CH1585" s="6"/>
      <c r="CI1585" s="6"/>
      <c r="CJ1585" s="6"/>
      <c r="CK1585" s="6"/>
      <c r="CL1585" s="6"/>
      <c r="CM1585" s="6"/>
      <c r="CN1585" s="6"/>
      <c r="CO1585" s="6"/>
      <c r="CP1585" s="6"/>
      <c r="CQ1585" s="6"/>
      <c r="CR1585" s="6"/>
      <c r="CS1585" s="6"/>
      <c r="CT1585" s="6"/>
      <c r="CU1585" s="6"/>
      <c r="CV1585" s="6"/>
      <c r="CW1585" s="6"/>
      <c r="CX1585" s="6"/>
      <c r="CY1585" s="6"/>
      <c r="CZ1585" s="6"/>
      <c r="DA1585" s="6"/>
      <c r="DB1585" s="6"/>
      <c r="DC1585" s="6"/>
      <c r="DD1585" s="6"/>
    </row>
    <row r="1586" spans="1:108" ht="12.75" hidden="1" customHeight="1" outlineLevel="5">
      <c r="A1586" s="104" t="s">
        <v>100</v>
      </c>
      <c r="B1586" s="100"/>
      <c r="C1586" s="11"/>
      <c r="D1586" s="6" t="str">
        <f>"&lt;" &amp; A1586 &amp; "&gt;"</f>
        <v>&lt;/Mswing_Parms&gt;</v>
      </c>
      <c r="E1586" s="175"/>
      <c r="F1586" s="6" t="s">
        <v>676</v>
      </c>
      <c r="G1586" s="6"/>
      <c r="H1586" s="6"/>
      <c r="I1586" s="6"/>
      <c r="J1586" s="6"/>
      <c r="K1586" s="6"/>
      <c r="L1586" s="6"/>
      <c r="M1586" s="6"/>
      <c r="N1586" s="6"/>
      <c r="O1586" s="6"/>
      <c r="P1586" s="6"/>
      <c r="Q1586" s="6"/>
      <c r="R1586" s="6"/>
      <c r="S1586" s="6"/>
      <c r="T1586" s="6"/>
      <c r="U1586" s="6"/>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c r="BU1586" s="6"/>
      <c r="BV1586" s="6"/>
      <c r="BW1586" s="6"/>
      <c r="BX1586" s="6"/>
      <c r="BY1586" s="6"/>
      <c r="BZ1586" s="6"/>
      <c r="CA1586" s="6"/>
      <c r="CB1586" s="6"/>
      <c r="CC1586" s="6"/>
      <c r="CD1586" s="6"/>
      <c r="CE1586" s="6"/>
      <c r="CF1586" s="6"/>
      <c r="CG1586" s="6"/>
      <c r="CH1586" s="6"/>
      <c r="CI1586" s="6"/>
      <c r="CJ1586" s="6"/>
      <c r="CK1586" s="6"/>
      <c r="CL1586" s="6"/>
      <c r="CM1586" s="6"/>
      <c r="CN1586" s="6"/>
      <c r="CO1586" s="6"/>
      <c r="CP1586" s="6"/>
      <c r="CQ1586" s="6"/>
      <c r="CR1586" s="6"/>
      <c r="CS1586" s="6"/>
      <c r="CT1586" s="6"/>
      <c r="CU1586" s="6"/>
      <c r="CV1586" s="6"/>
      <c r="CW1586" s="6"/>
      <c r="CX1586" s="6"/>
      <c r="CY1586" s="6"/>
      <c r="CZ1586" s="6"/>
      <c r="DA1586" s="6"/>
      <c r="DB1586" s="6"/>
      <c r="DC1586" s="6"/>
      <c r="DD1586" s="6"/>
    </row>
    <row r="1587" spans="1:108" ht="12.75" hidden="1" customHeight="1" outlineLevel="4" collapsed="1">
      <c r="A1587" s="104" t="s">
        <v>101</v>
      </c>
      <c r="B1587" s="100"/>
      <c r="C1587" s="11"/>
      <c r="D1587" s="6" t="str">
        <f>"&lt;" &amp; A1587 &amp; "&gt;"</f>
        <v>&lt;Airfoil_List&gt;</v>
      </c>
      <c r="E1587" s="175"/>
      <c r="F1587" s="6" t="s">
        <v>677</v>
      </c>
      <c r="G1587" s="6"/>
      <c r="H1587" s="6"/>
      <c r="I1587" s="6"/>
      <c r="J1587" s="6"/>
      <c r="K1587" s="6"/>
      <c r="L1587" s="6"/>
      <c r="M1587" s="6"/>
      <c r="N1587" s="6"/>
      <c r="O1587" s="6"/>
      <c r="P1587" s="6"/>
      <c r="Q1587" s="6"/>
      <c r="R1587" s="6"/>
      <c r="S1587" s="6"/>
      <c r="T1587" s="6"/>
      <c r="U1587" s="6"/>
      <c r="V1587" s="6"/>
      <c r="W1587" s="6"/>
      <c r="X1587" s="6"/>
      <c r="Y1587" s="6"/>
      <c r="Z1587" s="6"/>
      <c r="AA1587" s="6"/>
      <c r="AB1587" s="6"/>
      <c r="AC1587" s="6"/>
      <c r="AD1587" s="6"/>
      <c r="AE1587" s="6"/>
      <c r="AF1587" s="6"/>
      <c r="AG1587" s="6"/>
      <c r="AH1587" s="6"/>
      <c r="AI1587" s="6"/>
      <c r="AJ1587" s="6"/>
      <c r="AK1587" s="6"/>
      <c r="AL1587" s="6"/>
      <c r="AM1587" s="6"/>
      <c r="AN1587" s="6"/>
      <c r="AO1587" s="6"/>
      <c r="AP1587" s="6"/>
      <c r="AQ1587" s="6"/>
      <c r="AR1587" s="6"/>
      <c r="AS1587" s="6"/>
      <c r="AT1587" s="6"/>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c r="BU1587" s="6"/>
      <c r="BV1587" s="6"/>
      <c r="BW1587" s="6"/>
      <c r="BX1587" s="6"/>
      <c r="BY1587" s="6"/>
      <c r="BZ1587" s="6"/>
      <c r="CA1587" s="6"/>
      <c r="CB1587" s="6"/>
      <c r="CC1587" s="6"/>
      <c r="CD1587" s="6"/>
      <c r="CE1587" s="6"/>
      <c r="CF1587" s="6"/>
      <c r="CG1587" s="6"/>
      <c r="CH1587" s="6"/>
      <c r="CI1587" s="6"/>
      <c r="CJ1587" s="6"/>
      <c r="CK1587" s="6"/>
      <c r="CL1587" s="6"/>
      <c r="CM1587" s="6"/>
      <c r="CN1587" s="6"/>
      <c r="CO1587" s="6"/>
      <c r="CP1587" s="6"/>
      <c r="CQ1587" s="6"/>
      <c r="CR1587" s="6"/>
      <c r="CS1587" s="6"/>
      <c r="CT1587" s="6"/>
      <c r="CU1587" s="6"/>
      <c r="CV1587" s="6"/>
      <c r="CW1587" s="6"/>
      <c r="CX1587" s="6"/>
      <c r="CY1587" s="6"/>
      <c r="CZ1587" s="6"/>
      <c r="DA1587" s="6"/>
      <c r="DB1587" s="6"/>
      <c r="DC1587" s="6"/>
      <c r="DD1587" s="6"/>
    </row>
    <row r="1588" spans="1:108" ht="12.75" hidden="1" customHeight="1" outlineLevel="5" collapsed="1">
      <c r="A1588" s="104" t="s">
        <v>2</v>
      </c>
      <c r="B1588" s="99" t="s">
        <v>399</v>
      </c>
      <c r="C1588" s="11"/>
      <c r="D1588" s="6" t="str">
        <f>"&lt;" &amp; A1588 &amp; "&gt;"</f>
        <v>&lt;Airfoil&gt;</v>
      </c>
      <c r="E1588" s="175"/>
      <c r="F1588" s="6" t="s">
        <v>678</v>
      </c>
      <c r="G1588" s="6"/>
      <c r="H1588" s="6"/>
      <c r="I1588" s="6"/>
      <c r="J1588" s="6"/>
      <c r="K1588" s="6"/>
      <c r="L1588" s="6"/>
      <c r="M1588" s="6"/>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c r="BU1588" s="6"/>
      <c r="BV1588" s="6"/>
      <c r="BW1588" s="6"/>
      <c r="BX1588" s="6"/>
      <c r="BY1588" s="6"/>
      <c r="BZ1588" s="6"/>
      <c r="CA1588" s="6"/>
      <c r="CB1588" s="6"/>
      <c r="CC1588" s="6"/>
      <c r="CD1588" s="6"/>
      <c r="CE1588" s="6"/>
      <c r="CF1588" s="6"/>
      <c r="CG1588" s="6"/>
      <c r="CH1588" s="6"/>
      <c r="CI1588" s="6"/>
      <c r="CJ1588" s="6"/>
      <c r="CK1588" s="6"/>
      <c r="CL1588" s="6"/>
      <c r="CM1588" s="6"/>
      <c r="CN1588" s="6"/>
      <c r="CO1588" s="6"/>
      <c r="CP1588" s="6"/>
      <c r="CQ1588" s="6"/>
      <c r="CR1588" s="6"/>
      <c r="CS1588" s="6"/>
      <c r="CT1588" s="6"/>
      <c r="CU1588" s="6"/>
      <c r="CV1588" s="6"/>
      <c r="CW1588" s="6"/>
      <c r="CX1588" s="6"/>
      <c r="CY1588" s="6"/>
      <c r="CZ1588" s="6"/>
      <c r="DA1588" s="6"/>
      <c r="DB1588" s="6"/>
      <c r="DC1588" s="6"/>
      <c r="DD1588" s="6"/>
    </row>
    <row r="1589" spans="1:108" ht="12.75" hidden="1" customHeight="1" outlineLevel="6">
      <c r="A1589" s="104" t="s">
        <v>14</v>
      </c>
      <c r="B1589" s="28">
        <v>1</v>
      </c>
      <c r="C1589" s="11"/>
      <c r="D1589" s="18" t="str">
        <f>"&lt;" &amp; A1589 &amp; "&gt;" &amp; TEXT(B1589,0) &amp; "&lt;/" &amp; A1589 &amp; "&gt;"</f>
        <v>&lt;Type&gt;1&lt;/Type&gt;</v>
      </c>
      <c r="E1589" s="175"/>
      <c r="F1589" s="6" t="s">
        <v>679</v>
      </c>
      <c r="G1589" s="6"/>
      <c r="H1589" s="6"/>
      <c r="I1589" s="6"/>
      <c r="J1589" s="6"/>
      <c r="K1589" s="6"/>
      <c r="L1589" s="6"/>
      <c r="M1589" s="6"/>
      <c r="N1589" s="6"/>
      <c r="O1589" s="6"/>
      <c r="P1589" s="6"/>
      <c r="Q1589" s="6"/>
      <c r="R1589" s="6"/>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c r="BU1589" s="6"/>
      <c r="BV1589" s="6"/>
      <c r="BW1589" s="6"/>
      <c r="BX1589" s="6"/>
      <c r="BY1589" s="6"/>
      <c r="BZ1589" s="6"/>
      <c r="CA1589" s="6"/>
      <c r="CB1589" s="6"/>
      <c r="CC1589" s="6"/>
      <c r="CD1589" s="6"/>
      <c r="CE1589" s="6"/>
      <c r="CF1589" s="6"/>
      <c r="CG1589" s="6"/>
      <c r="CH1589" s="6"/>
      <c r="CI1589" s="6"/>
      <c r="CJ1589" s="6"/>
      <c r="CK1589" s="6"/>
      <c r="CL1589" s="6"/>
      <c r="CM1589" s="6"/>
      <c r="CN1589" s="6"/>
      <c r="CO1589" s="6"/>
      <c r="CP1589" s="6"/>
      <c r="CQ1589" s="6"/>
      <c r="CR1589" s="6"/>
      <c r="CS1589" s="6"/>
      <c r="CT1589" s="6"/>
      <c r="CU1589" s="6"/>
      <c r="CV1589" s="6"/>
      <c r="CW1589" s="6"/>
      <c r="CX1589" s="6"/>
      <c r="CY1589" s="6"/>
      <c r="CZ1589" s="6"/>
      <c r="DA1589" s="6"/>
      <c r="DB1589" s="6"/>
      <c r="DC1589" s="6"/>
      <c r="DD1589" s="6"/>
    </row>
    <row r="1590" spans="1:108" ht="12.75" hidden="1" customHeight="1" outlineLevel="6">
      <c r="A1590" s="104" t="s">
        <v>102</v>
      </c>
      <c r="B1590" s="28">
        <v>0</v>
      </c>
      <c r="C1590" s="11"/>
      <c r="D1590" s="18" t="str">
        <f>"&lt;" &amp; A1590 &amp; "&gt;" &amp; TEXT(B1590,0) &amp; "&lt;/" &amp; A1590 &amp; "&gt;"</f>
        <v>&lt;Inverted_Flag&gt;0&lt;/Inverted_Flag&gt;</v>
      </c>
      <c r="E1590" s="175"/>
      <c r="F1590" s="6" t="s">
        <v>680</v>
      </c>
      <c r="G1590" s="6"/>
      <c r="H1590" s="6"/>
      <c r="I1590" s="6"/>
      <c r="J1590" s="6"/>
      <c r="K1590" s="6"/>
      <c r="L1590" s="6"/>
      <c r="M1590" s="6"/>
      <c r="N1590" s="6"/>
      <c r="O1590" s="6"/>
      <c r="P1590" s="6"/>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c r="BU1590" s="6"/>
      <c r="BV1590" s="6"/>
      <c r="BW1590" s="6"/>
      <c r="BX1590" s="6"/>
      <c r="BY1590" s="6"/>
      <c r="BZ1590" s="6"/>
      <c r="CA1590" s="6"/>
      <c r="CB1590" s="6"/>
      <c r="CC1590" s="6"/>
      <c r="CD1590" s="6"/>
      <c r="CE1590" s="6"/>
      <c r="CF1590" s="6"/>
      <c r="CG1590" s="6"/>
      <c r="CH1590" s="6"/>
      <c r="CI1590" s="6"/>
      <c r="CJ1590" s="6"/>
      <c r="CK1590" s="6"/>
      <c r="CL1590" s="6"/>
      <c r="CM1590" s="6"/>
      <c r="CN1590" s="6"/>
      <c r="CO1590" s="6"/>
      <c r="CP1590" s="6"/>
      <c r="CQ1590" s="6"/>
      <c r="CR1590" s="6"/>
      <c r="CS1590" s="6"/>
      <c r="CT1590" s="6"/>
      <c r="CU1590" s="6"/>
      <c r="CV1590" s="6"/>
      <c r="CW1590" s="6"/>
      <c r="CX1590" s="6"/>
      <c r="CY1590" s="6"/>
      <c r="CZ1590" s="6"/>
      <c r="DA1590" s="6"/>
      <c r="DB1590" s="6"/>
      <c r="DC1590" s="6"/>
      <c r="DD1590" s="6"/>
    </row>
    <row r="1591" spans="1:108" ht="12.75" hidden="1" customHeight="1" outlineLevel="6">
      <c r="A1591" s="104" t="s">
        <v>4</v>
      </c>
      <c r="B1591" s="28">
        <v>0</v>
      </c>
      <c r="C1591" s="11"/>
      <c r="D1591" s="18" t="str">
        <f t="shared" ref="D1591:D1596" si="85">"&lt;" &amp; A1591 &amp; "&gt;" &amp; TEXT(B1591,"0.000000") &amp; "&lt;/" &amp; A1591 &amp; "&gt;"</f>
        <v>&lt;Camber&gt;0.000000&lt;/Camber&gt;</v>
      </c>
      <c r="E1591" s="175"/>
      <c r="F1591" s="6" t="s">
        <v>681</v>
      </c>
      <c r="G1591" s="6"/>
      <c r="H1591" s="6"/>
      <c r="I1591" s="6"/>
      <c r="J1591" s="6"/>
      <c r="K1591" s="6"/>
      <c r="L1591" s="6"/>
      <c r="M1591" s="6"/>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c r="BU1591" s="6"/>
      <c r="BV1591" s="6"/>
      <c r="BW1591" s="6"/>
      <c r="BX1591" s="6"/>
      <c r="BY1591" s="6"/>
      <c r="BZ1591" s="6"/>
      <c r="CA1591" s="6"/>
      <c r="CB1591" s="6"/>
      <c r="CC1591" s="6"/>
      <c r="CD1591" s="6"/>
      <c r="CE1591" s="6"/>
      <c r="CF1591" s="6"/>
      <c r="CG1591" s="6"/>
      <c r="CH1591" s="6"/>
      <c r="CI1591" s="6"/>
      <c r="CJ1591" s="6"/>
      <c r="CK1591" s="6"/>
      <c r="CL1591" s="6"/>
      <c r="CM1591" s="6"/>
      <c r="CN1591" s="6"/>
      <c r="CO1591" s="6"/>
      <c r="CP1591" s="6"/>
      <c r="CQ1591" s="6"/>
      <c r="CR1591" s="6"/>
      <c r="CS1591" s="6"/>
      <c r="CT1591" s="6"/>
      <c r="CU1591" s="6"/>
      <c r="CV1591" s="6"/>
      <c r="CW1591" s="6"/>
      <c r="CX1591" s="6"/>
      <c r="CY1591" s="6"/>
      <c r="CZ1591" s="6"/>
      <c r="DA1591" s="6"/>
      <c r="DB1591" s="6"/>
      <c r="DC1591" s="6"/>
      <c r="DD1591" s="6"/>
    </row>
    <row r="1592" spans="1:108" ht="12.75" hidden="1" customHeight="1" outlineLevel="6">
      <c r="A1592" s="104" t="s">
        <v>103</v>
      </c>
      <c r="B1592" s="28">
        <v>0.5</v>
      </c>
      <c r="C1592" s="11"/>
      <c r="D1592" s="18" t="str">
        <f t="shared" si="85"/>
        <v>&lt;Camber_Loc&gt;0.500000&lt;/Camber_Loc&gt;</v>
      </c>
      <c r="E1592" s="175"/>
      <c r="F1592" s="6" t="s">
        <v>917</v>
      </c>
      <c r="G1592" s="6"/>
      <c r="H1592" s="6"/>
      <c r="I1592" s="6"/>
      <c r="J1592" s="6"/>
      <c r="K1592" s="6"/>
      <c r="L1592" s="6"/>
      <c r="M1592" s="6"/>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c r="BU1592" s="6"/>
      <c r="BV1592" s="6"/>
      <c r="BW1592" s="6"/>
      <c r="BX1592" s="6"/>
      <c r="BY1592" s="6"/>
      <c r="BZ1592" s="6"/>
      <c r="CA1592" s="6"/>
      <c r="CB1592" s="6"/>
      <c r="CC1592" s="6"/>
      <c r="CD1592" s="6"/>
      <c r="CE1592" s="6"/>
      <c r="CF1592" s="6"/>
      <c r="CG1592" s="6"/>
      <c r="CH1592" s="6"/>
      <c r="CI1592" s="6"/>
      <c r="CJ1592" s="6"/>
      <c r="CK1592" s="6"/>
      <c r="CL1592" s="6"/>
      <c r="CM1592" s="6"/>
      <c r="CN1592" s="6"/>
      <c r="CO1592" s="6"/>
      <c r="CP1592" s="6"/>
      <c r="CQ1592" s="6"/>
      <c r="CR1592" s="6"/>
      <c r="CS1592" s="6"/>
      <c r="CT1592" s="6"/>
      <c r="CU1592" s="6"/>
      <c r="CV1592" s="6"/>
      <c r="CW1592" s="6"/>
      <c r="CX1592" s="6"/>
      <c r="CY1592" s="6"/>
      <c r="CZ1592" s="6"/>
      <c r="DA1592" s="6"/>
      <c r="DB1592" s="6"/>
      <c r="DC1592" s="6"/>
      <c r="DD1592" s="6"/>
    </row>
    <row r="1593" spans="1:108" ht="12.75" hidden="1" customHeight="1" outlineLevel="6">
      <c r="A1593" s="104" t="s">
        <v>5</v>
      </c>
      <c r="B1593" s="28">
        <v>0.08</v>
      </c>
      <c r="C1593" s="11"/>
      <c r="D1593" s="18" t="str">
        <f t="shared" si="85"/>
        <v>&lt;Thickness&gt;0.080000&lt;/Thickness&gt;</v>
      </c>
      <c r="E1593" s="175"/>
      <c r="F1593" s="6" t="s">
        <v>940</v>
      </c>
      <c r="G1593" s="6"/>
      <c r="H1593" s="6"/>
      <c r="I1593" s="6"/>
      <c r="J1593" s="6"/>
      <c r="K1593" s="6"/>
      <c r="L1593" s="6"/>
      <c r="M1593" s="6"/>
      <c r="N1593" s="6"/>
      <c r="O1593" s="6"/>
      <c r="P1593" s="6"/>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c r="BU1593" s="6"/>
      <c r="BV1593" s="6"/>
      <c r="BW1593" s="6"/>
      <c r="BX1593" s="6"/>
      <c r="BY1593" s="6"/>
      <c r="BZ1593" s="6"/>
      <c r="CA1593" s="6"/>
      <c r="CB1593" s="6"/>
      <c r="CC1593" s="6"/>
      <c r="CD1593" s="6"/>
      <c r="CE1593" s="6"/>
      <c r="CF1593" s="6"/>
      <c r="CG1593" s="6"/>
      <c r="CH1593" s="6"/>
      <c r="CI1593" s="6"/>
      <c r="CJ1593" s="6"/>
      <c r="CK1593" s="6"/>
      <c r="CL1593" s="6"/>
      <c r="CM1593" s="6"/>
      <c r="CN1593" s="6"/>
      <c r="CO1593" s="6"/>
      <c r="CP1593" s="6"/>
      <c r="CQ1593" s="6"/>
      <c r="CR1593" s="6"/>
      <c r="CS1593" s="6"/>
      <c r="CT1593" s="6"/>
      <c r="CU1593" s="6"/>
      <c r="CV1593" s="6"/>
      <c r="CW1593" s="6"/>
      <c r="CX1593" s="6"/>
      <c r="CY1593" s="6"/>
      <c r="CZ1593" s="6"/>
      <c r="DA1593" s="6"/>
      <c r="DB1593" s="6"/>
      <c r="DC1593" s="6"/>
      <c r="DD1593" s="6"/>
    </row>
    <row r="1594" spans="1:108" ht="12.75" hidden="1" customHeight="1" outlineLevel="6">
      <c r="A1594" s="104" t="s">
        <v>104</v>
      </c>
      <c r="B1594" s="28">
        <v>0.3</v>
      </c>
      <c r="C1594" s="11"/>
      <c r="D1594" s="18" t="str">
        <f t="shared" si="85"/>
        <v>&lt;Thickness_Loc&gt;0.300000&lt;/Thickness_Loc&gt;</v>
      </c>
      <c r="E1594" s="175"/>
      <c r="F1594" s="6" t="s">
        <v>684</v>
      </c>
      <c r="G1594" s="6"/>
      <c r="H1594" s="6"/>
      <c r="I1594" s="6"/>
      <c r="J1594" s="6"/>
      <c r="K1594" s="6"/>
      <c r="L1594" s="6"/>
      <c r="M1594" s="6"/>
      <c r="N1594" s="6"/>
      <c r="O1594" s="6"/>
      <c r="P1594" s="6"/>
      <c r="Q1594" s="6"/>
      <c r="R1594" s="6"/>
      <c r="S1594" s="6"/>
      <c r="T1594" s="6"/>
      <c r="U1594" s="6"/>
      <c r="V1594" s="6"/>
      <c r="W1594" s="6"/>
      <c r="X1594" s="6"/>
      <c r="Y1594" s="6"/>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c r="BU1594" s="6"/>
      <c r="BV1594" s="6"/>
      <c r="BW1594" s="6"/>
      <c r="BX1594" s="6"/>
      <c r="BY1594" s="6"/>
      <c r="BZ1594" s="6"/>
      <c r="CA1594" s="6"/>
      <c r="CB1594" s="6"/>
      <c r="CC1594" s="6"/>
      <c r="CD1594" s="6"/>
      <c r="CE1594" s="6"/>
      <c r="CF1594" s="6"/>
      <c r="CG1594" s="6"/>
      <c r="CH1594" s="6"/>
      <c r="CI1594" s="6"/>
      <c r="CJ1594" s="6"/>
      <c r="CK1594" s="6"/>
      <c r="CL1594" s="6"/>
      <c r="CM1594" s="6"/>
      <c r="CN1594" s="6"/>
      <c r="CO1594" s="6"/>
      <c r="CP1594" s="6"/>
      <c r="CQ1594" s="6"/>
      <c r="CR1594" s="6"/>
      <c r="CS1594" s="6"/>
      <c r="CT1594" s="6"/>
      <c r="CU1594" s="6"/>
      <c r="CV1594" s="6"/>
      <c r="CW1594" s="6"/>
      <c r="CX1594" s="6"/>
      <c r="CY1594" s="6"/>
      <c r="CZ1594" s="6"/>
      <c r="DA1594" s="6"/>
      <c r="DB1594" s="6"/>
      <c r="DC1594" s="6"/>
      <c r="DD1594" s="6"/>
    </row>
    <row r="1595" spans="1:108" ht="12.75" hidden="1" customHeight="1" outlineLevel="6">
      <c r="A1595" s="104" t="s">
        <v>105</v>
      </c>
      <c r="B1595" s="28">
        <v>7.0520000000000001E-3</v>
      </c>
      <c r="C1595" s="11"/>
      <c r="D1595" s="18" t="str">
        <f t="shared" si="85"/>
        <v>&lt;Radius_Le&gt;0.007052&lt;/Radius_Le&gt;</v>
      </c>
      <c r="E1595" s="175"/>
      <c r="F1595" s="6" t="s">
        <v>941</v>
      </c>
      <c r="G1595" s="6"/>
      <c r="H1595" s="6"/>
      <c r="I1595" s="6"/>
      <c r="J1595" s="6"/>
      <c r="K1595" s="6"/>
      <c r="L1595" s="6"/>
      <c r="M1595" s="6"/>
      <c r="N1595" s="6"/>
      <c r="O1595" s="6"/>
      <c r="P1595" s="6"/>
      <c r="Q1595" s="6"/>
      <c r="R1595" s="6"/>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c r="BU1595" s="6"/>
      <c r="BV1595" s="6"/>
      <c r="BW1595" s="6"/>
      <c r="BX1595" s="6"/>
      <c r="BY1595" s="6"/>
      <c r="BZ1595" s="6"/>
      <c r="CA1595" s="6"/>
      <c r="CB1595" s="6"/>
      <c r="CC1595" s="6"/>
      <c r="CD1595" s="6"/>
      <c r="CE1595" s="6"/>
      <c r="CF1595" s="6"/>
      <c r="CG1595" s="6"/>
      <c r="CH1595" s="6"/>
      <c r="CI1595" s="6"/>
      <c r="CJ1595" s="6"/>
      <c r="CK1595" s="6"/>
      <c r="CL1595" s="6"/>
      <c r="CM1595" s="6"/>
      <c r="CN1595" s="6"/>
      <c r="CO1595" s="6"/>
      <c r="CP1595" s="6"/>
      <c r="CQ1595" s="6"/>
      <c r="CR1595" s="6"/>
      <c r="CS1595" s="6"/>
      <c r="CT1595" s="6"/>
      <c r="CU1595" s="6"/>
      <c r="CV1595" s="6"/>
      <c r="CW1595" s="6"/>
      <c r="CX1595" s="6"/>
      <c r="CY1595" s="6"/>
      <c r="CZ1595" s="6"/>
      <c r="DA1595" s="6"/>
      <c r="DB1595" s="6"/>
      <c r="DC1595" s="6"/>
      <c r="DD1595" s="6"/>
    </row>
    <row r="1596" spans="1:108" ht="12.75" hidden="1" customHeight="1" outlineLevel="6">
      <c r="A1596" s="104" t="s">
        <v>106</v>
      </c>
      <c r="B1596" s="28">
        <v>0</v>
      </c>
      <c r="C1596" s="11"/>
      <c r="D1596" s="18" t="str">
        <f t="shared" si="85"/>
        <v>&lt;Radius_Te&gt;0.000000&lt;/Radius_Te&gt;</v>
      </c>
      <c r="E1596" s="175"/>
      <c r="F1596" s="6" t="s">
        <v>686</v>
      </c>
      <c r="G1596" s="6"/>
      <c r="H1596" s="6"/>
      <c r="I1596" s="6"/>
      <c r="J1596" s="6"/>
      <c r="K1596" s="6"/>
      <c r="L1596" s="6"/>
      <c r="M1596" s="6"/>
      <c r="N1596" s="6"/>
      <c r="O1596" s="6"/>
      <c r="P1596" s="6"/>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c r="BU1596" s="6"/>
      <c r="BV1596" s="6"/>
      <c r="BW1596" s="6"/>
      <c r="BX1596" s="6"/>
      <c r="BY1596" s="6"/>
      <c r="BZ1596" s="6"/>
      <c r="CA1596" s="6"/>
      <c r="CB1596" s="6"/>
      <c r="CC1596" s="6"/>
      <c r="CD1596" s="6"/>
      <c r="CE1596" s="6"/>
      <c r="CF1596" s="6"/>
      <c r="CG1596" s="6"/>
      <c r="CH1596" s="6"/>
      <c r="CI1596" s="6"/>
      <c r="CJ1596" s="6"/>
      <c r="CK1596" s="6"/>
      <c r="CL1596" s="6"/>
      <c r="CM1596" s="6"/>
      <c r="CN1596" s="6"/>
      <c r="CO1596" s="6"/>
      <c r="CP1596" s="6"/>
      <c r="CQ1596" s="6"/>
      <c r="CR1596" s="6"/>
      <c r="CS1596" s="6"/>
      <c r="CT1596" s="6"/>
      <c r="CU1596" s="6"/>
      <c r="CV1596" s="6"/>
      <c r="CW1596" s="6"/>
      <c r="CX1596" s="6"/>
      <c r="CY1596" s="6"/>
      <c r="CZ1596" s="6"/>
      <c r="DA1596" s="6"/>
      <c r="DB1596" s="6"/>
      <c r="DC1596" s="6"/>
      <c r="DD1596" s="6"/>
    </row>
    <row r="1597" spans="1:108" ht="12.75" hidden="1" customHeight="1" outlineLevel="6">
      <c r="A1597" s="104" t="s">
        <v>107</v>
      </c>
      <c r="B1597" s="28">
        <v>63</v>
      </c>
      <c r="C1597" s="11"/>
      <c r="D1597" s="18" t="str">
        <f>"&lt;" &amp; A1597 &amp; "&gt;" &amp; TEXT(B1597,0) &amp; "&lt;/" &amp; A1597 &amp; "&gt;"</f>
        <v>&lt;Six_Series&gt;63&lt;/Six_Series&gt;</v>
      </c>
      <c r="E1597" s="175"/>
      <c r="F1597" s="6" t="s">
        <v>687</v>
      </c>
      <c r="G1597" s="6"/>
      <c r="H1597" s="6"/>
      <c r="I1597" s="6"/>
      <c r="J1597" s="6"/>
      <c r="K1597" s="6"/>
      <c r="L1597" s="6"/>
      <c r="M1597" s="6"/>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c r="BU1597" s="6"/>
      <c r="BV1597" s="6"/>
      <c r="BW1597" s="6"/>
      <c r="BX1597" s="6"/>
      <c r="BY1597" s="6"/>
      <c r="BZ1597" s="6"/>
      <c r="CA1597" s="6"/>
      <c r="CB1597" s="6"/>
      <c r="CC1597" s="6"/>
      <c r="CD1597" s="6"/>
      <c r="CE1597" s="6"/>
      <c r="CF1597" s="6"/>
      <c r="CG1597" s="6"/>
      <c r="CH1597" s="6"/>
      <c r="CI1597" s="6"/>
      <c r="CJ1597" s="6"/>
      <c r="CK1597" s="6"/>
      <c r="CL1597" s="6"/>
      <c r="CM1597" s="6"/>
      <c r="CN1597" s="6"/>
      <c r="CO1597" s="6"/>
      <c r="CP1597" s="6"/>
      <c r="CQ1597" s="6"/>
      <c r="CR1597" s="6"/>
      <c r="CS1597" s="6"/>
      <c r="CT1597" s="6"/>
      <c r="CU1597" s="6"/>
      <c r="CV1597" s="6"/>
      <c r="CW1597" s="6"/>
      <c r="CX1597" s="6"/>
      <c r="CY1597" s="6"/>
      <c r="CZ1597" s="6"/>
      <c r="DA1597" s="6"/>
      <c r="DB1597" s="6"/>
      <c r="DC1597" s="6"/>
      <c r="DD1597" s="6"/>
    </row>
    <row r="1598" spans="1:108" ht="12.75" hidden="1" customHeight="1" outlineLevel="6">
      <c r="A1598" s="104" t="s">
        <v>108</v>
      </c>
      <c r="B1598" s="28">
        <v>0</v>
      </c>
      <c r="C1598" s="11"/>
      <c r="D1598" s="18" t="str">
        <f>"&lt;" &amp; A1598 &amp; "&gt;" &amp; TEXT(B1598,"0.000000") &amp; "&lt;/" &amp; A1598 &amp; "&gt;"</f>
        <v>&lt;Ideal_Cl&gt;0.000000&lt;/Ideal_Cl&gt;</v>
      </c>
      <c r="E1598" s="175"/>
      <c r="F1598" s="6" t="s">
        <v>688</v>
      </c>
      <c r="G1598" s="6"/>
      <c r="H1598" s="6"/>
      <c r="I1598" s="6"/>
      <c r="J1598" s="6"/>
      <c r="K1598" s="6"/>
      <c r="L1598" s="6"/>
      <c r="M1598" s="6"/>
      <c r="N1598" s="6"/>
      <c r="O1598" s="6"/>
      <c r="P1598" s="6"/>
      <c r="Q1598" s="6"/>
      <c r="R1598" s="6"/>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c r="BU1598" s="6"/>
      <c r="BV1598" s="6"/>
      <c r="BW1598" s="6"/>
      <c r="BX1598" s="6"/>
      <c r="BY1598" s="6"/>
      <c r="BZ1598" s="6"/>
      <c r="CA1598" s="6"/>
      <c r="CB1598" s="6"/>
      <c r="CC1598" s="6"/>
      <c r="CD1598" s="6"/>
      <c r="CE1598" s="6"/>
      <c r="CF1598" s="6"/>
      <c r="CG1598" s="6"/>
      <c r="CH1598" s="6"/>
      <c r="CI1598" s="6"/>
      <c r="CJ1598" s="6"/>
      <c r="CK1598" s="6"/>
      <c r="CL1598" s="6"/>
      <c r="CM1598" s="6"/>
      <c r="CN1598" s="6"/>
      <c r="CO1598" s="6"/>
      <c r="CP1598" s="6"/>
      <c r="CQ1598" s="6"/>
      <c r="CR1598" s="6"/>
      <c r="CS1598" s="6"/>
      <c r="CT1598" s="6"/>
      <c r="CU1598" s="6"/>
      <c r="CV1598" s="6"/>
      <c r="CW1598" s="6"/>
      <c r="CX1598" s="6"/>
      <c r="CY1598" s="6"/>
      <c r="CZ1598" s="6"/>
      <c r="DA1598" s="6"/>
      <c r="DB1598" s="6"/>
      <c r="DC1598" s="6"/>
      <c r="DD1598" s="6"/>
    </row>
    <row r="1599" spans="1:108" ht="12.75" hidden="1" customHeight="1" outlineLevel="6">
      <c r="A1599" s="104" t="s">
        <v>109</v>
      </c>
      <c r="B1599" s="28">
        <v>0</v>
      </c>
      <c r="C1599" s="11"/>
      <c r="D1599" s="18" t="str">
        <f>"&lt;" &amp; A1599 &amp; "&gt;" &amp; TEXT(B1599,"0.000000") &amp; "&lt;/" &amp; A1599 &amp; "&gt;"</f>
        <v>&lt;A&gt;0.000000&lt;/A&gt;</v>
      </c>
      <c r="E1599" s="175"/>
      <c r="F1599" s="6" t="s">
        <v>689</v>
      </c>
      <c r="G1599" s="6"/>
      <c r="H1599" s="6"/>
      <c r="I1599" s="6"/>
      <c r="J1599" s="6"/>
      <c r="K1599" s="6"/>
      <c r="L1599" s="6"/>
      <c r="M1599" s="6"/>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c r="BU1599" s="6"/>
      <c r="BV1599" s="6"/>
      <c r="BW1599" s="6"/>
      <c r="BX1599" s="6"/>
      <c r="BY1599" s="6"/>
      <c r="BZ1599" s="6"/>
      <c r="CA1599" s="6"/>
      <c r="CB1599" s="6"/>
      <c r="CC1599" s="6"/>
      <c r="CD1599" s="6"/>
      <c r="CE1599" s="6"/>
      <c r="CF1599" s="6"/>
      <c r="CG1599" s="6"/>
      <c r="CH1599" s="6"/>
      <c r="CI1599" s="6"/>
      <c r="CJ1599" s="6"/>
      <c r="CK1599" s="6"/>
      <c r="CL1599" s="6"/>
      <c r="CM1599" s="6"/>
      <c r="CN1599" s="6"/>
      <c r="CO1599" s="6"/>
      <c r="CP1599" s="6"/>
      <c r="CQ1599" s="6"/>
      <c r="CR1599" s="6"/>
      <c r="CS1599" s="6"/>
      <c r="CT1599" s="6"/>
      <c r="CU1599" s="6"/>
      <c r="CV1599" s="6"/>
      <c r="CW1599" s="6"/>
      <c r="CX1599" s="6"/>
      <c r="CY1599" s="6"/>
      <c r="CZ1599" s="6"/>
      <c r="DA1599" s="6"/>
      <c r="DB1599" s="6"/>
      <c r="DC1599" s="6"/>
      <c r="DD1599" s="6"/>
    </row>
    <row r="1600" spans="1:108" ht="12.75" hidden="1" customHeight="1" outlineLevel="6">
      <c r="A1600" s="104" t="s">
        <v>110</v>
      </c>
      <c r="B1600" s="28">
        <v>0</v>
      </c>
      <c r="C1600" s="11"/>
      <c r="D1600" s="18" t="str">
        <f>"&lt;" &amp; A1600 &amp; "&gt;" &amp; TEXT(B1600,0) &amp; "&lt;/" &amp; A1600 &amp; "&gt;"</f>
        <v>&lt;Slat_Flag&gt;0&lt;/Slat_Flag&gt;</v>
      </c>
      <c r="E1600" s="175"/>
      <c r="F1600" s="6" t="s">
        <v>690</v>
      </c>
      <c r="G1600" s="6"/>
      <c r="H1600" s="6"/>
      <c r="I1600" s="6"/>
      <c r="J1600" s="6"/>
      <c r="K1600" s="6"/>
      <c r="L1600" s="6"/>
      <c r="M1600" s="6"/>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c r="BU1600" s="6"/>
      <c r="BV1600" s="6"/>
      <c r="BW1600" s="6"/>
      <c r="BX1600" s="6"/>
      <c r="BY1600" s="6"/>
      <c r="BZ1600" s="6"/>
      <c r="CA1600" s="6"/>
      <c r="CB1600" s="6"/>
      <c r="CC1600" s="6"/>
      <c r="CD1600" s="6"/>
      <c r="CE1600" s="6"/>
      <c r="CF1600" s="6"/>
      <c r="CG1600" s="6"/>
      <c r="CH1600" s="6"/>
      <c r="CI1600" s="6"/>
      <c r="CJ1600" s="6"/>
      <c r="CK1600" s="6"/>
      <c r="CL1600" s="6"/>
      <c r="CM1600" s="6"/>
      <c r="CN1600" s="6"/>
      <c r="CO1600" s="6"/>
      <c r="CP1600" s="6"/>
      <c r="CQ1600" s="6"/>
      <c r="CR1600" s="6"/>
      <c r="CS1600" s="6"/>
      <c r="CT1600" s="6"/>
      <c r="CU1600" s="6"/>
      <c r="CV1600" s="6"/>
      <c r="CW1600" s="6"/>
      <c r="CX1600" s="6"/>
      <c r="CY1600" s="6"/>
      <c r="CZ1600" s="6"/>
      <c r="DA1600" s="6"/>
      <c r="DB1600" s="6"/>
      <c r="DC1600" s="6"/>
      <c r="DD1600" s="6"/>
    </row>
    <row r="1601" spans="1:108" ht="12.75" hidden="1" customHeight="1" outlineLevel="6">
      <c r="A1601" s="104" t="s">
        <v>111</v>
      </c>
      <c r="B1601" s="28">
        <v>0</v>
      </c>
      <c r="C1601" s="11"/>
      <c r="D1601" s="18" t="str">
        <f>"&lt;" &amp; A1601 &amp; "&gt;" &amp; TEXT(B1601,0) &amp; "&lt;/" &amp; A1601 &amp; "&gt;"</f>
        <v>&lt;Slat_Shear_Flag&gt;0&lt;/Slat_Shear_Flag&gt;</v>
      </c>
      <c r="E1601" s="175"/>
      <c r="F1601" s="6" t="s">
        <v>691</v>
      </c>
      <c r="G1601" s="6"/>
      <c r="H1601" s="6"/>
      <c r="I1601" s="6"/>
      <c r="J1601" s="6"/>
      <c r="K1601" s="6"/>
      <c r="L1601" s="6"/>
      <c r="M1601" s="6"/>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c r="BU1601" s="6"/>
      <c r="BV1601" s="6"/>
      <c r="BW1601" s="6"/>
      <c r="BX1601" s="6"/>
      <c r="BY1601" s="6"/>
      <c r="BZ1601" s="6"/>
      <c r="CA1601" s="6"/>
      <c r="CB1601" s="6"/>
      <c r="CC1601" s="6"/>
      <c r="CD1601" s="6"/>
      <c r="CE1601" s="6"/>
      <c r="CF1601" s="6"/>
      <c r="CG1601" s="6"/>
      <c r="CH1601" s="6"/>
      <c r="CI1601" s="6"/>
      <c r="CJ1601" s="6"/>
      <c r="CK1601" s="6"/>
      <c r="CL1601" s="6"/>
      <c r="CM1601" s="6"/>
      <c r="CN1601" s="6"/>
      <c r="CO1601" s="6"/>
      <c r="CP1601" s="6"/>
      <c r="CQ1601" s="6"/>
      <c r="CR1601" s="6"/>
      <c r="CS1601" s="6"/>
      <c r="CT1601" s="6"/>
      <c r="CU1601" s="6"/>
      <c r="CV1601" s="6"/>
      <c r="CW1601" s="6"/>
      <c r="CX1601" s="6"/>
      <c r="CY1601" s="6"/>
      <c r="CZ1601" s="6"/>
      <c r="DA1601" s="6"/>
      <c r="DB1601" s="6"/>
      <c r="DC1601" s="6"/>
      <c r="DD1601" s="6"/>
    </row>
    <row r="1602" spans="1:108" ht="12.75" hidden="1" customHeight="1" outlineLevel="6">
      <c r="A1602" s="104" t="s">
        <v>112</v>
      </c>
      <c r="B1602" s="28">
        <v>0.25</v>
      </c>
      <c r="C1602" s="11"/>
      <c r="D1602" s="18" t="str">
        <f>"&lt;" &amp; A1602 &amp; "&gt;" &amp; TEXT(B1602,"0.000000") &amp; "&lt;/" &amp; A1602 &amp; "&gt;"</f>
        <v>&lt;Slat_Chord&gt;0.250000&lt;/Slat_Chord&gt;</v>
      </c>
      <c r="E1602" s="175"/>
      <c r="F1602" s="6" t="s">
        <v>692</v>
      </c>
      <c r="G1602" s="6"/>
      <c r="H1602" s="6"/>
      <c r="I1602" s="6"/>
      <c r="J1602" s="6"/>
      <c r="K1602" s="6"/>
      <c r="L1602" s="6"/>
      <c r="M1602" s="6"/>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c r="BU1602" s="6"/>
      <c r="BV1602" s="6"/>
      <c r="BW1602" s="6"/>
      <c r="BX1602" s="6"/>
      <c r="BY1602" s="6"/>
      <c r="BZ1602" s="6"/>
      <c r="CA1602" s="6"/>
      <c r="CB1602" s="6"/>
      <c r="CC1602" s="6"/>
      <c r="CD1602" s="6"/>
      <c r="CE1602" s="6"/>
      <c r="CF1602" s="6"/>
      <c r="CG1602" s="6"/>
      <c r="CH1602" s="6"/>
      <c r="CI1602" s="6"/>
      <c r="CJ1602" s="6"/>
      <c r="CK1602" s="6"/>
      <c r="CL1602" s="6"/>
      <c r="CM1602" s="6"/>
      <c r="CN1602" s="6"/>
      <c r="CO1602" s="6"/>
      <c r="CP1602" s="6"/>
      <c r="CQ1602" s="6"/>
      <c r="CR1602" s="6"/>
      <c r="CS1602" s="6"/>
      <c r="CT1602" s="6"/>
      <c r="CU1602" s="6"/>
      <c r="CV1602" s="6"/>
      <c r="CW1602" s="6"/>
      <c r="CX1602" s="6"/>
      <c r="CY1602" s="6"/>
      <c r="CZ1602" s="6"/>
      <c r="DA1602" s="6"/>
      <c r="DB1602" s="6"/>
      <c r="DC1602" s="6"/>
      <c r="DD1602" s="6"/>
    </row>
    <row r="1603" spans="1:108" ht="12.75" hidden="1" customHeight="1" outlineLevel="6">
      <c r="A1603" s="104" t="s">
        <v>113</v>
      </c>
      <c r="B1603" s="28">
        <v>10</v>
      </c>
      <c r="C1603" s="11"/>
      <c r="D1603" s="18" t="str">
        <f>"&lt;" &amp; A1603 &amp; "&gt;" &amp; TEXT(B1603,"0.000000") &amp; "&lt;/" &amp; A1603 &amp; "&gt;"</f>
        <v>&lt;Slat_Angle&gt;10.000000&lt;/Slat_Angle&gt;</v>
      </c>
      <c r="E1603" s="175"/>
      <c r="F1603" s="6" t="s">
        <v>693</v>
      </c>
      <c r="G1603" s="6"/>
      <c r="H1603" s="6"/>
      <c r="I1603" s="6"/>
      <c r="J1603" s="6"/>
      <c r="K1603" s="6"/>
      <c r="L1603" s="6"/>
      <c r="M1603" s="6"/>
      <c r="N1603" s="6"/>
      <c r="O1603" s="6"/>
      <c r="P1603" s="6"/>
      <c r="Q1603" s="6"/>
      <c r="R1603" s="6"/>
      <c r="S1603" s="6"/>
      <c r="T1603" s="6"/>
      <c r="U1603" s="6"/>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c r="BU1603" s="6"/>
      <c r="BV1603" s="6"/>
      <c r="BW1603" s="6"/>
      <c r="BX1603" s="6"/>
      <c r="BY1603" s="6"/>
      <c r="BZ1603" s="6"/>
      <c r="CA1603" s="6"/>
      <c r="CB1603" s="6"/>
      <c r="CC1603" s="6"/>
      <c r="CD1603" s="6"/>
      <c r="CE1603" s="6"/>
      <c r="CF1603" s="6"/>
      <c r="CG1603" s="6"/>
      <c r="CH1603" s="6"/>
      <c r="CI1603" s="6"/>
      <c r="CJ1603" s="6"/>
      <c r="CK1603" s="6"/>
      <c r="CL1603" s="6"/>
      <c r="CM1603" s="6"/>
      <c r="CN1603" s="6"/>
      <c r="CO1603" s="6"/>
      <c r="CP1603" s="6"/>
      <c r="CQ1603" s="6"/>
      <c r="CR1603" s="6"/>
      <c r="CS1603" s="6"/>
      <c r="CT1603" s="6"/>
      <c r="CU1603" s="6"/>
      <c r="CV1603" s="6"/>
      <c r="CW1603" s="6"/>
      <c r="CX1603" s="6"/>
      <c r="CY1603" s="6"/>
      <c r="CZ1603" s="6"/>
      <c r="DA1603" s="6"/>
      <c r="DB1603" s="6"/>
      <c r="DC1603" s="6"/>
      <c r="DD1603" s="6"/>
    </row>
    <row r="1604" spans="1:108" ht="12.75" hidden="1" customHeight="1" outlineLevel="6">
      <c r="A1604" s="104" t="s">
        <v>114</v>
      </c>
      <c r="B1604" s="28">
        <v>0</v>
      </c>
      <c r="C1604" s="11"/>
      <c r="D1604" s="18" t="str">
        <f>"&lt;" &amp; A1604 &amp; "&gt;" &amp; TEXT(B1604,0) &amp; "&lt;/" &amp; A1604 &amp; "&gt;"</f>
        <v>&lt;Flap_Flag&gt;0&lt;/Flap_Flag&gt;</v>
      </c>
      <c r="E1604" s="175"/>
      <c r="F1604" s="6" t="s">
        <v>920</v>
      </c>
      <c r="G1604" s="6"/>
      <c r="H1604" s="6"/>
      <c r="I1604" s="6"/>
      <c r="J1604" s="6"/>
      <c r="K1604" s="6"/>
      <c r="L1604" s="6"/>
      <c r="M1604" s="6"/>
      <c r="N1604" s="6"/>
      <c r="O1604" s="6"/>
      <c r="P1604" s="6"/>
      <c r="Q1604" s="6"/>
      <c r="R1604" s="6"/>
      <c r="S1604" s="6"/>
      <c r="T1604" s="6"/>
      <c r="U1604" s="6"/>
      <c r="V1604" s="6"/>
      <c r="W1604" s="6"/>
      <c r="X1604" s="6"/>
      <c r="Y1604" s="6"/>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c r="BU1604" s="6"/>
      <c r="BV1604" s="6"/>
      <c r="BW1604" s="6"/>
      <c r="BX1604" s="6"/>
      <c r="BY1604" s="6"/>
      <c r="BZ1604" s="6"/>
      <c r="CA1604" s="6"/>
      <c r="CB1604" s="6"/>
      <c r="CC1604" s="6"/>
      <c r="CD1604" s="6"/>
      <c r="CE1604" s="6"/>
      <c r="CF1604" s="6"/>
      <c r="CG1604" s="6"/>
      <c r="CH1604" s="6"/>
      <c r="CI1604" s="6"/>
      <c r="CJ1604" s="6"/>
      <c r="CK1604" s="6"/>
      <c r="CL1604" s="6"/>
      <c r="CM1604" s="6"/>
      <c r="CN1604" s="6"/>
      <c r="CO1604" s="6"/>
      <c r="CP1604" s="6"/>
      <c r="CQ1604" s="6"/>
      <c r="CR1604" s="6"/>
      <c r="CS1604" s="6"/>
      <c r="CT1604" s="6"/>
      <c r="CU1604" s="6"/>
      <c r="CV1604" s="6"/>
      <c r="CW1604" s="6"/>
      <c r="CX1604" s="6"/>
      <c r="CY1604" s="6"/>
      <c r="CZ1604" s="6"/>
      <c r="DA1604" s="6"/>
      <c r="DB1604" s="6"/>
      <c r="DC1604" s="6"/>
      <c r="DD1604" s="6"/>
    </row>
    <row r="1605" spans="1:108" ht="12.75" hidden="1" customHeight="1" outlineLevel="6">
      <c r="A1605" s="104" t="s">
        <v>115</v>
      </c>
      <c r="B1605" s="28">
        <v>0</v>
      </c>
      <c r="C1605" s="11"/>
      <c r="D1605" s="18" t="str">
        <f>"&lt;" &amp; A1605 &amp; "&gt;" &amp; TEXT(B1605,0) &amp; "&lt;/" &amp; A1605 &amp; "&gt;"</f>
        <v>&lt;Flap_Shear_Flag&gt;0&lt;/Flap_Shear_Flag&gt;</v>
      </c>
      <c r="E1605" s="175"/>
      <c r="F1605" s="6" t="s">
        <v>695</v>
      </c>
      <c r="G1605" s="6"/>
      <c r="H1605" s="6"/>
      <c r="I1605" s="6"/>
      <c r="J1605" s="6"/>
      <c r="K1605" s="6"/>
      <c r="L1605" s="6"/>
      <c r="M1605" s="6"/>
      <c r="N1605" s="6"/>
      <c r="O1605" s="6"/>
      <c r="P1605" s="6"/>
      <c r="Q1605" s="6"/>
      <c r="R1605" s="6"/>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c r="BU1605" s="6"/>
      <c r="BV1605" s="6"/>
      <c r="BW1605" s="6"/>
      <c r="BX1605" s="6"/>
      <c r="BY1605" s="6"/>
      <c r="BZ1605" s="6"/>
      <c r="CA1605" s="6"/>
      <c r="CB1605" s="6"/>
      <c r="CC1605" s="6"/>
      <c r="CD1605" s="6"/>
      <c r="CE1605" s="6"/>
      <c r="CF1605" s="6"/>
      <c r="CG1605" s="6"/>
      <c r="CH1605" s="6"/>
      <c r="CI1605" s="6"/>
      <c r="CJ1605" s="6"/>
      <c r="CK1605" s="6"/>
      <c r="CL1605" s="6"/>
      <c r="CM1605" s="6"/>
      <c r="CN1605" s="6"/>
      <c r="CO1605" s="6"/>
      <c r="CP1605" s="6"/>
      <c r="CQ1605" s="6"/>
      <c r="CR1605" s="6"/>
      <c r="CS1605" s="6"/>
      <c r="CT1605" s="6"/>
      <c r="CU1605" s="6"/>
      <c r="CV1605" s="6"/>
      <c r="CW1605" s="6"/>
      <c r="CX1605" s="6"/>
      <c r="CY1605" s="6"/>
      <c r="CZ1605" s="6"/>
      <c r="DA1605" s="6"/>
      <c r="DB1605" s="6"/>
      <c r="DC1605" s="6"/>
      <c r="DD1605" s="6"/>
    </row>
    <row r="1606" spans="1:108" ht="12.75" hidden="1" customHeight="1" outlineLevel="6">
      <c r="A1606" s="104" t="s">
        <v>116</v>
      </c>
      <c r="B1606" s="28">
        <v>0.25</v>
      </c>
      <c r="C1606" s="11"/>
      <c r="D1606" s="18" t="str">
        <f>"&lt;" &amp; A1606 &amp; "&gt;" &amp; TEXT(B1606,"0.000000") &amp; "&lt;/" &amp; A1606 &amp; "&gt;"</f>
        <v>&lt;Flap_Chord&gt;0.250000&lt;/Flap_Chord&gt;</v>
      </c>
      <c r="E1606" s="175"/>
      <c r="F1606" s="6" t="s">
        <v>921</v>
      </c>
      <c r="G1606" s="6"/>
      <c r="H1606" s="6"/>
      <c r="I1606" s="6"/>
      <c r="J1606" s="6"/>
      <c r="K1606" s="6"/>
      <c r="L1606" s="6"/>
      <c r="M1606" s="6"/>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c r="BU1606" s="6"/>
      <c r="BV1606" s="6"/>
      <c r="BW1606" s="6"/>
      <c r="BX1606" s="6"/>
      <c r="BY1606" s="6"/>
      <c r="BZ1606" s="6"/>
      <c r="CA1606" s="6"/>
      <c r="CB1606" s="6"/>
      <c r="CC1606" s="6"/>
      <c r="CD1606" s="6"/>
      <c r="CE1606" s="6"/>
      <c r="CF1606" s="6"/>
      <c r="CG1606" s="6"/>
      <c r="CH1606" s="6"/>
      <c r="CI1606" s="6"/>
      <c r="CJ1606" s="6"/>
      <c r="CK1606" s="6"/>
      <c r="CL1606" s="6"/>
      <c r="CM1606" s="6"/>
      <c r="CN1606" s="6"/>
      <c r="CO1606" s="6"/>
      <c r="CP1606" s="6"/>
      <c r="CQ1606" s="6"/>
      <c r="CR1606" s="6"/>
      <c r="CS1606" s="6"/>
      <c r="CT1606" s="6"/>
      <c r="CU1606" s="6"/>
      <c r="CV1606" s="6"/>
      <c r="CW1606" s="6"/>
      <c r="CX1606" s="6"/>
      <c r="CY1606" s="6"/>
      <c r="CZ1606" s="6"/>
      <c r="DA1606" s="6"/>
      <c r="DB1606" s="6"/>
      <c r="DC1606" s="6"/>
      <c r="DD1606" s="6"/>
    </row>
    <row r="1607" spans="1:108" ht="12.75" hidden="1" customHeight="1" outlineLevel="6">
      <c r="A1607" s="104" t="s">
        <v>117</v>
      </c>
      <c r="B1607" s="28">
        <v>10</v>
      </c>
      <c r="C1607" s="11"/>
      <c r="D1607" s="18" t="str">
        <f>"&lt;" &amp; A1607 &amp; "&gt;" &amp; TEXT(B1607,"0.000000") &amp; "&lt;/" &amp; A1607 &amp; "&gt;"</f>
        <v>&lt;Flap_Angle&gt;10.000000&lt;/Flap_Angle&gt;</v>
      </c>
      <c r="E1607" s="175"/>
      <c r="F1607" s="6" t="s">
        <v>697</v>
      </c>
      <c r="G1607" s="6"/>
      <c r="H1607" s="6"/>
      <c r="I1607" s="6"/>
      <c r="J1607" s="6"/>
      <c r="K1607" s="6"/>
      <c r="L1607" s="6"/>
      <c r="M1607" s="6"/>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c r="BU1607" s="6"/>
      <c r="BV1607" s="6"/>
      <c r="BW1607" s="6"/>
      <c r="BX1607" s="6"/>
      <c r="BY1607" s="6"/>
      <c r="BZ1607" s="6"/>
      <c r="CA1607" s="6"/>
      <c r="CB1607" s="6"/>
      <c r="CC1607" s="6"/>
      <c r="CD1607" s="6"/>
      <c r="CE1607" s="6"/>
      <c r="CF1607" s="6"/>
      <c r="CG1607" s="6"/>
      <c r="CH1607" s="6"/>
      <c r="CI1607" s="6"/>
      <c r="CJ1607" s="6"/>
      <c r="CK1607" s="6"/>
      <c r="CL1607" s="6"/>
      <c r="CM1607" s="6"/>
      <c r="CN1607" s="6"/>
      <c r="CO1607" s="6"/>
      <c r="CP1607" s="6"/>
      <c r="CQ1607" s="6"/>
      <c r="CR1607" s="6"/>
      <c r="CS1607" s="6"/>
      <c r="CT1607" s="6"/>
      <c r="CU1607" s="6"/>
      <c r="CV1607" s="6"/>
      <c r="CW1607" s="6"/>
      <c r="CX1607" s="6"/>
      <c r="CY1607" s="6"/>
      <c r="CZ1607" s="6"/>
      <c r="DA1607" s="6"/>
      <c r="DB1607" s="6"/>
      <c r="DC1607" s="6"/>
      <c r="DD1607" s="6"/>
    </row>
    <row r="1608" spans="1:108" ht="12.75" hidden="1" customHeight="1" outlineLevel="6">
      <c r="A1608" s="104" t="s">
        <v>118</v>
      </c>
      <c r="B1608" s="100"/>
      <c r="C1608" s="11"/>
      <c r="D1608" s="6" t="str">
        <f>"&lt;" &amp; A1608 &amp; "&gt;"</f>
        <v>&lt;/Airfoil&gt;</v>
      </c>
      <c r="E1608" s="175"/>
      <c r="F1608" s="6" t="s">
        <v>698</v>
      </c>
      <c r="G1608" s="6"/>
      <c r="H1608" s="6"/>
      <c r="I1608" s="6"/>
      <c r="J1608" s="6"/>
      <c r="K1608" s="6"/>
      <c r="L1608" s="6"/>
      <c r="M1608" s="6"/>
      <c r="N1608" s="6"/>
      <c r="O1608" s="6"/>
      <c r="P1608" s="6"/>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c r="BU1608" s="6"/>
      <c r="BV1608" s="6"/>
      <c r="BW1608" s="6"/>
      <c r="BX1608" s="6"/>
      <c r="BY1608" s="6"/>
      <c r="BZ1608" s="6"/>
      <c r="CA1608" s="6"/>
      <c r="CB1608" s="6"/>
      <c r="CC1608" s="6"/>
      <c r="CD1608" s="6"/>
      <c r="CE1608" s="6"/>
      <c r="CF1608" s="6"/>
      <c r="CG1608" s="6"/>
      <c r="CH1608" s="6"/>
      <c r="CI1608" s="6"/>
      <c r="CJ1608" s="6"/>
      <c r="CK1608" s="6"/>
      <c r="CL1608" s="6"/>
      <c r="CM1608" s="6"/>
      <c r="CN1608" s="6"/>
      <c r="CO1608" s="6"/>
      <c r="CP1608" s="6"/>
      <c r="CQ1608" s="6"/>
      <c r="CR1608" s="6"/>
      <c r="CS1608" s="6"/>
      <c r="CT1608" s="6"/>
      <c r="CU1608" s="6"/>
      <c r="CV1608" s="6"/>
      <c r="CW1608" s="6"/>
      <c r="CX1608" s="6"/>
      <c r="CY1608" s="6"/>
      <c r="CZ1608" s="6"/>
      <c r="DA1608" s="6"/>
      <c r="DB1608" s="6"/>
      <c r="DC1608" s="6"/>
      <c r="DD1608" s="6"/>
    </row>
    <row r="1609" spans="1:108" ht="12.75" hidden="1" customHeight="1" outlineLevel="5" collapsed="1">
      <c r="A1609" s="104" t="s">
        <v>2</v>
      </c>
      <c r="B1609" s="99" t="s">
        <v>386</v>
      </c>
      <c r="C1609" s="11"/>
      <c r="D1609" s="6" t="str">
        <f>"&lt;" &amp; A1609 &amp; "&gt;"</f>
        <v>&lt;Airfoil&gt;</v>
      </c>
      <c r="E1609" s="175"/>
      <c r="F1609" s="6" t="s">
        <v>678</v>
      </c>
      <c r="G1609" s="6"/>
      <c r="H1609" s="6"/>
      <c r="I1609" s="6"/>
      <c r="J1609" s="6"/>
      <c r="K1609" s="6"/>
      <c r="L1609" s="6"/>
      <c r="M1609" s="6"/>
      <c r="N1609" s="6"/>
      <c r="O1609" s="6"/>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c r="BU1609" s="6"/>
      <c r="BV1609" s="6"/>
      <c r="BW1609" s="6"/>
      <c r="BX1609" s="6"/>
      <c r="BY1609" s="6"/>
      <c r="BZ1609" s="6"/>
      <c r="CA1609" s="6"/>
      <c r="CB1609" s="6"/>
      <c r="CC1609" s="6"/>
      <c r="CD1609" s="6"/>
      <c r="CE1609" s="6"/>
      <c r="CF1609" s="6"/>
      <c r="CG1609" s="6"/>
      <c r="CH1609" s="6"/>
      <c r="CI1609" s="6"/>
      <c r="CJ1609" s="6"/>
      <c r="CK1609" s="6"/>
      <c r="CL1609" s="6"/>
      <c r="CM1609" s="6"/>
      <c r="CN1609" s="6"/>
      <c r="CO1609" s="6"/>
      <c r="CP1609" s="6"/>
      <c r="CQ1609" s="6"/>
      <c r="CR1609" s="6"/>
      <c r="CS1609" s="6"/>
      <c r="CT1609" s="6"/>
      <c r="CU1609" s="6"/>
      <c r="CV1609" s="6"/>
      <c r="CW1609" s="6"/>
      <c r="CX1609" s="6"/>
      <c r="CY1609" s="6"/>
      <c r="CZ1609" s="6"/>
      <c r="DA1609" s="6"/>
      <c r="DB1609" s="6"/>
      <c r="DC1609" s="6"/>
      <c r="DD1609" s="6"/>
    </row>
    <row r="1610" spans="1:108" ht="12.75" hidden="1" customHeight="1" outlineLevel="6">
      <c r="A1610" s="104" t="s">
        <v>14</v>
      </c>
      <c r="B1610" s="28">
        <v>1</v>
      </c>
      <c r="C1610" s="11"/>
      <c r="D1610" s="18" t="str">
        <f>"&lt;" &amp; A1610 &amp; "&gt;" &amp; TEXT(B1610,0) &amp; "&lt;/" &amp; A1610 &amp; "&gt;"</f>
        <v>&lt;Type&gt;1&lt;/Type&gt;</v>
      </c>
      <c r="E1610" s="175"/>
      <c r="F1610" s="6" t="s">
        <v>679</v>
      </c>
      <c r="G1610" s="6"/>
      <c r="H1610" s="6"/>
      <c r="I1610" s="6"/>
      <c r="J1610" s="6"/>
      <c r="K1610" s="6"/>
      <c r="L1610" s="6"/>
      <c r="M1610" s="6"/>
      <c r="N1610" s="6"/>
      <c r="O1610" s="6"/>
      <c r="P1610" s="6"/>
      <c r="Q1610" s="6"/>
      <c r="R1610" s="6"/>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c r="BU1610" s="6"/>
      <c r="BV1610" s="6"/>
      <c r="BW1610" s="6"/>
      <c r="BX1610" s="6"/>
      <c r="BY1610" s="6"/>
      <c r="BZ1610" s="6"/>
      <c r="CA1610" s="6"/>
      <c r="CB1610" s="6"/>
      <c r="CC1610" s="6"/>
      <c r="CD1610" s="6"/>
      <c r="CE1610" s="6"/>
      <c r="CF1610" s="6"/>
      <c r="CG1610" s="6"/>
      <c r="CH1610" s="6"/>
      <c r="CI1610" s="6"/>
      <c r="CJ1610" s="6"/>
      <c r="CK1610" s="6"/>
      <c r="CL1610" s="6"/>
      <c r="CM1610" s="6"/>
      <c r="CN1610" s="6"/>
      <c r="CO1610" s="6"/>
      <c r="CP1610" s="6"/>
      <c r="CQ1610" s="6"/>
      <c r="CR1610" s="6"/>
      <c r="CS1610" s="6"/>
      <c r="CT1610" s="6"/>
      <c r="CU1610" s="6"/>
      <c r="CV1610" s="6"/>
      <c r="CW1610" s="6"/>
      <c r="CX1610" s="6"/>
      <c r="CY1610" s="6"/>
      <c r="CZ1610" s="6"/>
      <c r="DA1610" s="6"/>
      <c r="DB1610" s="6"/>
      <c r="DC1610" s="6"/>
      <c r="DD1610" s="6"/>
    </row>
    <row r="1611" spans="1:108" ht="12.75" hidden="1" customHeight="1" outlineLevel="6">
      <c r="A1611" s="104" t="s">
        <v>102</v>
      </c>
      <c r="B1611" s="28">
        <v>0</v>
      </c>
      <c r="C1611" s="11"/>
      <c r="D1611" s="18" t="str">
        <f>"&lt;" &amp; A1611 &amp; "&gt;" &amp; TEXT(B1611,0) &amp; "&lt;/" &amp; A1611 &amp; "&gt;"</f>
        <v>&lt;Inverted_Flag&gt;0&lt;/Inverted_Flag&gt;</v>
      </c>
      <c r="E1611" s="175"/>
      <c r="F1611" s="6" t="s">
        <v>680</v>
      </c>
      <c r="G1611" s="6"/>
      <c r="H1611" s="6"/>
      <c r="I1611" s="6"/>
      <c r="J1611" s="6"/>
      <c r="K1611" s="6"/>
      <c r="L1611" s="6"/>
      <c r="M1611" s="6"/>
      <c r="N1611" s="6"/>
      <c r="O1611" s="6"/>
      <c r="P1611" s="6"/>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c r="BU1611" s="6"/>
      <c r="BV1611" s="6"/>
      <c r="BW1611" s="6"/>
      <c r="BX1611" s="6"/>
      <c r="BY1611" s="6"/>
      <c r="BZ1611" s="6"/>
      <c r="CA1611" s="6"/>
      <c r="CB1611" s="6"/>
      <c r="CC1611" s="6"/>
      <c r="CD1611" s="6"/>
      <c r="CE1611" s="6"/>
      <c r="CF1611" s="6"/>
      <c r="CG1611" s="6"/>
      <c r="CH1611" s="6"/>
      <c r="CI1611" s="6"/>
      <c r="CJ1611" s="6"/>
      <c r="CK1611" s="6"/>
      <c r="CL1611" s="6"/>
      <c r="CM1611" s="6"/>
      <c r="CN1611" s="6"/>
      <c r="CO1611" s="6"/>
      <c r="CP1611" s="6"/>
      <c r="CQ1611" s="6"/>
      <c r="CR1611" s="6"/>
      <c r="CS1611" s="6"/>
      <c r="CT1611" s="6"/>
      <c r="CU1611" s="6"/>
      <c r="CV1611" s="6"/>
      <c r="CW1611" s="6"/>
      <c r="CX1611" s="6"/>
      <c r="CY1611" s="6"/>
      <c r="CZ1611" s="6"/>
      <c r="DA1611" s="6"/>
      <c r="DB1611" s="6"/>
      <c r="DC1611" s="6"/>
      <c r="DD1611" s="6"/>
    </row>
    <row r="1612" spans="1:108" ht="12.75" hidden="1" customHeight="1" outlineLevel="6">
      <c r="A1612" s="104" t="s">
        <v>4</v>
      </c>
      <c r="B1612" s="28">
        <v>0</v>
      </c>
      <c r="C1612" s="11"/>
      <c r="D1612" s="18" t="str">
        <f t="shared" ref="D1612:D1617" si="86">"&lt;" &amp; A1612 &amp; "&gt;" &amp; TEXT(B1612,"0.000000") &amp; "&lt;/" &amp; A1612 &amp; "&gt;"</f>
        <v>&lt;Camber&gt;0.000000&lt;/Camber&gt;</v>
      </c>
      <c r="E1612" s="175"/>
      <c r="F1612" s="6" t="s">
        <v>681</v>
      </c>
      <c r="G1612" s="6"/>
      <c r="H1612" s="6"/>
      <c r="I1612" s="6"/>
      <c r="J1612" s="6"/>
      <c r="K1612" s="6"/>
      <c r="L1612" s="6"/>
      <c r="M1612" s="6"/>
      <c r="N1612" s="6"/>
      <c r="O1612" s="6"/>
      <c r="P1612" s="6"/>
      <c r="Q1612" s="6"/>
      <c r="R1612" s="6"/>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c r="BU1612" s="6"/>
      <c r="BV1612" s="6"/>
      <c r="BW1612" s="6"/>
      <c r="BX1612" s="6"/>
      <c r="BY1612" s="6"/>
      <c r="BZ1612" s="6"/>
      <c r="CA1612" s="6"/>
      <c r="CB1612" s="6"/>
      <c r="CC1612" s="6"/>
      <c r="CD1612" s="6"/>
      <c r="CE1612" s="6"/>
      <c r="CF1612" s="6"/>
      <c r="CG1612" s="6"/>
      <c r="CH1612" s="6"/>
      <c r="CI1612" s="6"/>
      <c r="CJ1612" s="6"/>
      <c r="CK1612" s="6"/>
      <c r="CL1612" s="6"/>
      <c r="CM1612" s="6"/>
      <c r="CN1612" s="6"/>
      <c r="CO1612" s="6"/>
      <c r="CP1612" s="6"/>
      <c r="CQ1612" s="6"/>
      <c r="CR1612" s="6"/>
      <c r="CS1612" s="6"/>
      <c r="CT1612" s="6"/>
      <c r="CU1612" s="6"/>
      <c r="CV1612" s="6"/>
      <c r="CW1612" s="6"/>
      <c r="CX1612" s="6"/>
      <c r="CY1612" s="6"/>
      <c r="CZ1612" s="6"/>
      <c r="DA1612" s="6"/>
      <c r="DB1612" s="6"/>
      <c r="DC1612" s="6"/>
      <c r="DD1612" s="6"/>
    </row>
    <row r="1613" spans="1:108" ht="12.75" hidden="1" customHeight="1" outlineLevel="6">
      <c r="A1613" s="104" t="s">
        <v>103</v>
      </c>
      <c r="B1613" s="28">
        <v>0.5</v>
      </c>
      <c r="C1613" s="11"/>
      <c r="D1613" s="18" t="str">
        <f t="shared" si="86"/>
        <v>&lt;Camber_Loc&gt;0.500000&lt;/Camber_Loc&gt;</v>
      </c>
      <c r="E1613" s="175"/>
      <c r="F1613" s="6" t="s">
        <v>917</v>
      </c>
      <c r="G1613" s="6"/>
      <c r="H1613" s="6"/>
      <c r="I1613" s="6"/>
      <c r="J1613" s="6"/>
      <c r="K1613" s="6"/>
      <c r="L1613" s="6"/>
      <c r="M1613" s="6"/>
      <c r="N1613" s="6"/>
      <c r="O1613" s="6"/>
      <c r="P1613" s="6"/>
      <c r="Q1613" s="6"/>
      <c r="R1613" s="6"/>
      <c r="S1613" s="6"/>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c r="BU1613" s="6"/>
      <c r="BV1613" s="6"/>
      <c r="BW1613" s="6"/>
      <c r="BX1613" s="6"/>
      <c r="BY1613" s="6"/>
      <c r="BZ1613" s="6"/>
      <c r="CA1613" s="6"/>
      <c r="CB1613" s="6"/>
      <c r="CC1613" s="6"/>
      <c r="CD1613" s="6"/>
      <c r="CE1613" s="6"/>
      <c r="CF1613" s="6"/>
      <c r="CG1613" s="6"/>
      <c r="CH1613" s="6"/>
      <c r="CI1613" s="6"/>
      <c r="CJ1613" s="6"/>
      <c r="CK1613" s="6"/>
      <c r="CL1613" s="6"/>
      <c r="CM1613" s="6"/>
      <c r="CN1613" s="6"/>
      <c r="CO1613" s="6"/>
      <c r="CP1613" s="6"/>
      <c r="CQ1613" s="6"/>
      <c r="CR1613" s="6"/>
      <c r="CS1613" s="6"/>
      <c r="CT1613" s="6"/>
      <c r="CU1613" s="6"/>
      <c r="CV1613" s="6"/>
      <c r="CW1613" s="6"/>
      <c r="CX1613" s="6"/>
      <c r="CY1613" s="6"/>
      <c r="CZ1613" s="6"/>
      <c r="DA1613" s="6"/>
      <c r="DB1613" s="6"/>
      <c r="DC1613" s="6"/>
      <c r="DD1613" s="6"/>
    </row>
    <row r="1614" spans="1:108" ht="12.75" hidden="1" customHeight="1" outlineLevel="6">
      <c r="A1614" s="104" t="s">
        <v>5</v>
      </c>
      <c r="B1614" s="28">
        <v>0.08</v>
      </c>
      <c r="C1614" s="11"/>
      <c r="D1614" s="18" t="str">
        <f t="shared" si="86"/>
        <v>&lt;Thickness&gt;0.080000&lt;/Thickness&gt;</v>
      </c>
      <c r="E1614" s="175"/>
      <c r="F1614" s="6" t="s">
        <v>940</v>
      </c>
      <c r="G1614" s="6"/>
      <c r="H1614" s="6"/>
      <c r="I1614" s="6"/>
      <c r="J1614" s="6"/>
      <c r="K1614" s="6"/>
      <c r="L1614" s="6"/>
      <c r="M1614" s="6"/>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c r="BU1614" s="6"/>
      <c r="BV1614" s="6"/>
      <c r="BW1614" s="6"/>
      <c r="BX1614" s="6"/>
      <c r="BY1614" s="6"/>
      <c r="BZ1614" s="6"/>
      <c r="CA1614" s="6"/>
      <c r="CB1614" s="6"/>
      <c r="CC1614" s="6"/>
      <c r="CD1614" s="6"/>
      <c r="CE1614" s="6"/>
      <c r="CF1614" s="6"/>
      <c r="CG1614" s="6"/>
      <c r="CH1614" s="6"/>
      <c r="CI1614" s="6"/>
      <c r="CJ1614" s="6"/>
      <c r="CK1614" s="6"/>
      <c r="CL1614" s="6"/>
      <c r="CM1614" s="6"/>
      <c r="CN1614" s="6"/>
      <c r="CO1614" s="6"/>
      <c r="CP1614" s="6"/>
      <c r="CQ1614" s="6"/>
      <c r="CR1614" s="6"/>
      <c r="CS1614" s="6"/>
      <c r="CT1614" s="6"/>
      <c r="CU1614" s="6"/>
      <c r="CV1614" s="6"/>
      <c r="CW1614" s="6"/>
      <c r="CX1614" s="6"/>
      <c r="CY1614" s="6"/>
      <c r="CZ1614" s="6"/>
      <c r="DA1614" s="6"/>
      <c r="DB1614" s="6"/>
      <c r="DC1614" s="6"/>
      <c r="DD1614" s="6"/>
    </row>
    <row r="1615" spans="1:108" ht="12.75" hidden="1" customHeight="1" outlineLevel="6">
      <c r="A1615" s="104" t="s">
        <v>104</v>
      </c>
      <c r="B1615" s="28">
        <v>0.3</v>
      </c>
      <c r="C1615" s="11"/>
      <c r="D1615" s="18" t="str">
        <f t="shared" si="86"/>
        <v>&lt;Thickness_Loc&gt;0.300000&lt;/Thickness_Loc&gt;</v>
      </c>
      <c r="E1615" s="175"/>
      <c r="F1615" s="6" t="s">
        <v>684</v>
      </c>
      <c r="G1615" s="6"/>
      <c r="H1615" s="6"/>
      <c r="I1615" s="6"/>
      <c r="J1615" s="6"/>
      <c r="K1615" s="6"/>
      <c r="L1615" s="6"/>
      <c r="M1615" s="6"/>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c r="BU1615" s="6"/>
      <c r="BV1615" s="6"/>
      <c r="BW1615" s="6"/>
      <c r="BX1615" s="6"/>
      <c r="BY1615" s="6"/>
      <c r="BZ1615" s="6"/>
      <c r="CA1615" s="6"/>
      <c r="CB1615" s="6"/>
      <c r="CC1615" s="6"/>
      <c r="CD1615" s="6"/>
      <c r="CE1615" s="6"/>
      <c r="CF1615" s="6"/>
      <c r="CG1615" s="6"/>
      <c r="CH1615" s="6"/>
      <c r="CI1615" s="6"/>
      <c r="CJ1615" s="6"/>
      <c r="CK1615" s="6"/>
      <c r="CL1615" s="6"/>
      <c r="CM1615" s="6"/>
      <c r="CN1615" s="6"/>
      <c r="CO1615" s="6"/>
      <c r="CP1615" s="6"/>
      <c r="CQ1615" s="6"/>
      <c r="CR1615" s="6"/>
      <c r="CS1615" s="6"/>
      <c r="CT1615" s="6"/>
      <c r="CU1615" s="6"/>
      <c r="CV1615" s="6"/>
      <c r="CW1615" s="6"/>
      <c r="CX1615" s="6"/>
      <c r="CY1615" s="6"/>
      <c r="CZ1615" s="6"/>
      <c r="DA1615" s="6"/>
      <c r="DB1615" s="6"/>
      <c r="DC1615" s="6"/>
      <c r="DD1615" s="6"/>
    </row>
    <row r="1616" spans="1:108" ht="12.75" hidden="1" customHeight="1" outlineLevel="6">
      <c r="A1616" s="104" t="s">
        <v>105</v>
      </c>
      <c r="B1616" s="28">
        <v>7.0520000000000001E-3</v>
      </c>
      <c r="C1616" s="11"/>
      <c r="D1616" s="18" t="str">
        <f t="shared" si="86"/>
        <v>&lt;Radius_Le&gt;0.007052&lt;/Radius_Le&gt;</v>
      </c>
      <c r="E1616" s="175"/>
      <c r="F1616" s="6" t="s">
        <v>941</v>
      </c>
      <c r="G1616" s="6"/>
      <c r="H1616" s="6"/>
      <c r="I1616" s="6"/>
      <c r="J1616" s="6"/>
      <c r="K1616" s="6"/>
      <c r="L1616" s="6"/>
      <c r="M1616" s="6"/>
      <c r="N1616" s="6"/>
      <c r="O1616" s="6"/>
      <c r="P1616" s="6"/>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c r="BU1616" s="6"/>
      <c r="BV1616" s="6"/>
      <c r="BW1616" s="6"/>
      <c r="BX1616" s="6"/>
      <c r="BY1616" s="6"/>
      <c r="BZ1616" s="6"/>
      <c r="CA1616" s="6"/>
      <c r="CB1616" s="6"/>
      <c r="CC1616" s="6"/>
      <c r="CD1616" s="6"/>
      <c r="CE1616" s="6"/>
      <c r="CF1616" s="6"/>
      <c r="CG1616" s="6"/>
      <c r="CH1616" s="6"/>
      <c r="CI1616" s="6"/>
      <c r="CJ1616" s="6"/>
      <c r="CK1616" s="6"/>
      <c r="CL1616" s="6"/>
      <c r="CM1616" s="6"/>
      <c r="CN1616" s="6"/>
      <c r="CO1616" s="6"/>
      <c r="CP1616" s="6"/>
      <c r="CQ1616" s="6"/>
      <c r="CR1616" s="6"/>
      <c r="CS1616" s="6"/>
      <c r="CT1616" s="6"/>
      <c r="CU1616" s="6"/>
      <c r="CV1616" s="6"/>
      <c r="CW1616" s="6"/>
      <c r="CX1616" s="6"/>
      <c r="CY1616" s="6"/>
      <c r="CZ1616" s="6"/>
      <c r="DA1616" s="6"/>
      <c r="DB1616" s="6"/>
      <c r="DC1616" s="6"/>
      <c r="DD1616" s="6"/>
    </row>
    <row r="1617" spans="1:108" ht="12.75" hidden="1" customHeight="1" outlineLevel="6">
      <c r="A1617" s="104" t="s">
        <v>106</v>
      </c>
      <c r="B1617" s="28">
        <v>0</v>
      </c>
      <c r="C1617" s="11"/>
      <c r="D1617" s="18" t="str">
        <f t="shared" si="86"/>
        <v>&lt;Radius_Te&gt;0.000000&lt;/Radius_Te&gt;</v>
      </c>
      <c r="E1617" s="175"/>
      <c r="F1617" s="6" t="s">
        <v>686</v>
      </c>
      <c r="G1617" s="6"/>
      <c r="H1617" s="6"/>
      <c r="I1617" s="6"/>
      <c r="J1617" s="6"/>
      <c r="K1617" s="6"/>
      <c r="L1617" s="6"/>
      <c r="M1617" s="6"/>
      <c r="N1617" s="6"/>
      <c r="O1617" s="6"/>
      <c r="P1617" s="6"/>
      <c r="Q1617" s="6"/>
      <c r="R1617" s="6"/>
      <c r="S1617" s="6"/>
      <c r="T1617" s="6"/>
      <c r="U1617" s="6"/>
      <c r="V1617" s="6"/>
      <c r="W1617" s="6"/>
      <c r="X1617" s="6"/>
      <c r="Y1617" s="6"/>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c r="BU1617" s="6"/>
      <c r="BV1617" s="6"/>
      <c r="BW1617" s="6"/>
      <c r="BX1617" s="6"/>
      <c r="BY1617" s="6"/>
      <c r="BZ1617" s="6"/>
      <c r="CA1617" s="6"/>
      <c r="CB1617" s="6"/>
      <c r="CC1617" s="6"/>
      <c r="CD1617" s="6"/>
      <c r="CE1617" s="6"/>
      <c r="CF1617" s="6"/>
      <c r="CG1617" s="6"/>
      <c r="CH1617" s="6"/>
      <c r="CI1617" s="6"/>
      <c r="CJ1617" s="6"/>
      <c r="CK1617" s="6"/>
      <c r="CL1617" s="6"/>
      <c r="CM1617" s="6"/>
      <c r="CN1617" s="6"/>
      <c r="CO1617" s="6"/>
      <c r="CP1617" s="6"/>
      <c r="CQ1617" s="6"/>
      <c r="CR1617" s="6"/>
      <c r="CS1617" s="6"/>
      <c r="CT1617" s="6"/>
      <c r="CU1617" s="6"/>
      <c r="CV1617" s="6"/>
      <c r="CW1617" s="6"/>
      <c r="CX1617" s="6"/>
      <c r="CY1617" s="6"/>
      <c r="CZ1617" s="6"/>
      <c r="DA1617" s="6"/>
      <c r="DB1617" s="6"/>
      <c r="DC1617" s="6"/>
      <c r="DD1617" s="6"/>
    </row>
    <row r="1618" spans="1:108" ht="12.75" hidden="1" customHeight="1" outlineLevel="6">
      <c r="A1618" s="104" t="s">
        <v>107</v>
      </c>
      <c r="B1618" s="28">
        <v>63</v>
      </c>
      <c r="C1618" s="11"/>
      <c r="D1618" s="18" t="str">
        <f>"&lt;" &amp; A1618 &amp; "&gt;" &amp; TEXT(B1618,0) &amp; "&lt;/" &amp; A1618 &amp; "&gt;"</f>
        <v>&lt;Six_Series&gt;63&lt;/Six_Series&gt;</v>
      </c>
      <c r="E1618" s="175"/>
      <c r="F1618" s="6" t="s">
        <v>687</v>
      </c>
      <c r="G1618" s="6"/>
      <c r="H1618" s="6"/>
      <c r="I1618" s="6"/>
      <c r="J1618" s="6"/>
      <c r="K1618" s="6"/>
      <c r="L1618" s="6"/>
      <c r="M1618" s="6"/>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c r="BU1618" s="6"/>
      <c r="BV1618" s="6"/>
      <c r="BW1618" s="6"/>
      <c r="BX1618" s="6"/>
      <c r="BY1618" s="6"/>
      <c r="BZ1618" s="6"/>
      <c r="CA1618" s="6"/>
      <c r="CB1618" s="6"/>
      <c r="CC1618" s="6"/>
      <c r="CD1618" s="6"/>
      <c r="CE1618" s="6"/>
      <c r="CF1618" s="6"/>
      <c r="CG1618" s="6"/>
      <c r="CH1618" s="6"/>
      <c r="CI1618" s="6"/>
      <c r="CJ1618" s="6"/>
      <c r="CK1618" s="6"/>
      <c r="CL1618" s="6"/>
      <c r="CM1618" s="6"/>
      <c r="CN1618" s="6"/>
      <c r="CO1618" s="6"/>
      <c r="CP1618" s="6"/>
      <c r="CQ1618" s="6"/>
      <c r="CR1618" s="6"/>
      <c r="CS1618" s="6"/>
      <c r="CT1618" s="6"/>
      <c r="CU1618" s="6"/>
      <c r="CV1618" s="6"/>
      <c r="CW1618" s="6"/>
      <c r="CX1618" s="6"/>
      <c r="CY1618" s="6"/>
      <c r="CZ1618" s="6"/>
      <c r="DA1618" s="6"/>
      <c r="DB1618" s="6"/>
      <c r="DC1618" s="6"/>
      <c r="DD1618" s="6"/>
    </row>
    <row r="1619" spans="1:108" ht="12.75" hidden="1" customHeight="1" outlineLevel="6">
      <c r="A1619" s="104" t="s">
        <v>108</v>
      </c>
      <c r="B1619" s="28">
        <v>0</v>
      </c>
      <c r="C1619" s="11"/>
      <c r="D1619" s="18" t="str">
        <f>"&lt;" &amp; A1619 &amp; "&gt;" &amp; TEXT(B1619,"0.000000") &amp; "&lt;/" &amp; A1619 &amp; "&gt;"</f>
        <v>&lt;Ideal_Cl&gt;0.000000&lt;/Ideal_Cl&gt;</v>
      </c>
      <c r="E1619" s="175"/>
      <c r="F1619" s="6" t="s">
        <v>688</v>
      </c>
      <c r="G1619" s="6"/>
      <c r="H1619" s="6"/>
      <c r="I1619" s="6"/>
      <c r="J1619" s="6"/>
      <c r="K1619" s="6"/>
      <c r="L1619" s="6"/>
      <c r="M1619" s="6"/>
      <c r="N1619" s="6"/>
      <c r="O1619" s="6"/>
      <c r="P1619" s="6"/>
      <c r="Q1619" s="6"/>
      <c r="R1619" s="6"/>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c r="BU1619" s="6"/>
      <c r="BV1619" s="6"/>
      <c r="BW1619" s="6"/>
      <c r="BX1619" s="6"/>
      <c r="BY1619" s="6"/>
      <c r="BZ1619" s="6"/>
      <c r="CA1619" s="6"/>
      <c r="CB1619" s="6"/>
      <c r="CC1619" s="6"/>
      <c r="CD1619" s="6"/>
      <c r="CE1619" s="6"/>
      <c r="CF1619" s="6"/>
      <c r="CG1619" s="6"/>
      <c r="CH1619" s="6"/>
      <c r="CI1619" s="6"/>
      <c r="CJ1619" s="6"/>
      <c r="CK1619" s="6"/>
      <c r="CL1619" s="6"/>
      <c r="CM1619" s="6"/>
      <c r="CN1619" s="6"/>
      <c r="CO1619" s="6"/>
      <c r="CP1619" s="6"/>
      <c r="CQ1619" s="6"/>
      <c r="CR1619" s="6"/>
      <c r="CS1619" s="6"/>
      <c r="CT1619" s="6"/>
      <c r="CU1619" s="6"/>
      <c r="CV1619" s="6"/>
      <c r="CW1619" s="6"/>
      <c r="CX1619" s="6"/>
      <c r="CY1619" s="6"/>
      <c r="CZ1619" s="6"/>
      <c r="DA1619" s="6"/>
      <c r="DB1619" s="6"/>
      <c r="DC1619" s="6"/>
      <c r="DD1619" s="6"/>
    </row>
    <row r="1620" spans="1:108" ht="12.75" hidden="1" customHeight="1" outlineLevel="6">
      <c r="A1620" s="104" t="s">
        <v>109</v>
      </c>
      <c r="B1620" s="28">
        <v>0</v>
      </c>
      <c r="C1620" s="11"/>
      <c r="D1620" s="18" t="str">
        <f>"&lt;" &amp; A1620 &amp; "&gt;" &amp; TEXT(B1620,"0.000000") &amp; "&lt;/" &amp; A1620 &amp; "&gt;"</f>
        <v>&lt;A&gt;0.000000&lt;/A&gt;</v>
      </c>
      <c r="E1620" s="175"/>
      <c r="F1620" s="6" t="s">
        <v>689</v>
      </c>
      <c r="G1620" s="6"/>
      <c r="H1620" s="6"/>
      <c r="I1620" s="6"/>
      <c r="J1620" s="6"/>
      <c r="K1620" s="6"/>
      <c r="L1620" s="6"/>
      <c r="M1620" s="6"/>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c r="BU1620" s="6"/>
      <c r="BV1620" s="6"/>
      <c r="BW1620" s="6"/>
      <c r="BX1620" s="6"/>
      <c r="BY1620" s="6"/>
      <c r="BZ1620" s="6"/>
      <c r="CA1620" s="6"/>
      <c r="CB1620" s="6"/>
      <c r="CC1620" s="6"/>
      <c r="CD1620" s="6"/>
      <c r="CE1620" s="6"/>
      <c r="CF1620" s="6"/>
      <c r="CG1620" s="6"/>
      <c r="CH1620" s="6"/>
      <c r="CI1620" s="6"/>
      <c r="CJ1620" s="6"/>
      <c r="CK1620" s="6"/>
      <c r="CL1620" s="6"/>
      <c r="CM1620" s="6"/>
      <c r="CN1620" s="6"/>
      <c r="CO1620" s="6"/>
      <c r="CP1620" s="6"/>
      <c r="CQ1620" s="6"/>
      <c r="CR1620" s="6"/>
      <c r="CS1620" s="6"/>
      <c r="CT1620" s="6"/>
      <c r="CU1620" s="6"/>
      <c r="CV1620" s="6"/>
      <c r="CW1620" s="6"/>
      <c r="CX1620" s="6"/>
      <c r="CY1620" s="6"/>
      <c r="CZ1620" s="6"/>
      <c r="DA1620" s="6"/>
      <c r="DB1620" s="6"/>
      <c r="DC1620" s="6"/>
      <c r="DD1620" s="6"/>
    </row>
    <row r="1621" spans="1:108" ht="12.75" hidden="1" customHeight="1" outlineLevel="6">
      <c r="A1621" s="104" t="s">
        <v>110</v>
      </c>
      <c r="B1621" s="28">
        <v>0</v>
      </c>
      <c r="C1621" s="11"/>
      <c r="D1621" s="18" t="str">
        <f>"&lt;" &amp; A1621 &amp; "&gt;" &amp; TEXT(B1621,0) &amp; "&lt;/" &amp; A1621 &amp; "&gt;"</f>
        <v>&lt;Slat_Flag&gt;0&lt;/Slat_Flag&gt;</v>
      </c>
      <c r="E1621" s="175"/>
      <c r="F1621" s="6" t="s">
        <v>690</v>
      </c>
      <c r="G1621" s="6"/>
      <c r="H1621" s="6"/>
      <c r="I1621" s="6"/>
      <c r="J1621" s="6"/>
      <c r="K1621" s="6"/>
      <c r="L1621" s="6"/>
      <c r="M1621" s="6"/>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c r="BU1621" s="6"/>
      <c r="BV1621" s="6"/>
      <c r="BW1621" s="6"/>
      <c r="BX1621" s="6"/>
      <c r="BY1621" s="6"/>
      <c r="BZ1621" s="6"/>
      <c r="CA1621" s="6"/>
      <c r="CB1621" s="6"/>
      <c r="CC1621" s="6"/>
      <c r="CD1621" s="6"/>
      <c r="CE1621" s="6"/>
      <c r="CF1621" s="6"/>
      <c r="CG1621" s="6"/>
      <c r="CH1621" s="6"/>
      <c r="CI1621" s="6"/>
      <c r="CJ1621" s="6"/>
      <c r="CK1621" s="6"/>
      <c r="CL1621" s="6"/>
      <c r="CM1621" s="6"/>
      <c r="CN1621" s="6"/>
      <c r="CO1621" s="6"/>
      <c r="CP1621" s="6"/>
      <c r="CQ1621" s="6"/>
      <c r="CR1621" s="6"/>
      <c r="CS1621" s="6"/>
      <c r="CT1621" s="6"/>
      <c r="CU1621" s="6"/>
      <c r="CV1621" s="6"/>
      <c r="CW1621" s="6"/>
      <c r="CX1621" s="6"/>
      <c r="CY1621" s="6"/>
      <c r="CZ1621" s="6"/>
      <c r="DA1621" s="6"/>
      <c r="DB1621" s="6"/>
      <c r="DC1621" s="6"/>
      <c r="DD1621" s="6"/>
    </row>
    <row r="1622" spans="1:108" ht="12.75" hidden="1" customHeight="1" outlineLevel="6">
      <c r="A1622" s="104" t="s">
        <v>111</v>
      </c>
      <c r="B1622" s="28">
        <v>0</v>
      </c>
      <c r="C1622" s="11"/>
      <c r="D1622" s="18" t="str">
        <f>"&lt;" &amp; A1622 &amp; "&gt;" &amp; TEXT(B1622,0) &amp; "&lt;/" &amp; A1622 &amp; "&gt;"</f>
        <v>&lt;Slat_Shear_Flag&gt;0&lt;/Slat_Shear_Flag&gt;</v>
      </c>
      <c r="E1622" s="175"/>
      <c r="F1622" s="6" t="s">
        <v>691</v>
      </c>
      <c r="G1622" s="6"/>
      <c r="H1622" s="6"/>
      <c r="I1622" s="6"/>
      <c r="J1622" s="6"/>
      <c r="K1622" s="6"/>
      <c r="L1622" s="6"/>
      <c r="M1622" s="6"/>
      <c r="N1622" s="6"/>
      <c r="O1622" s="6"/>
      <c r="P1622" s="6"/>
      <c r="Q1622" s="6"/>
      <c r="R1622" s="6"/>
      <c r="S1622" s="6"/>
      <c r="T1622" s="6"/>
      <c r="U1622" s="6"/>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c r="BU1622" s="6"/>
      <c r="BV1622" s="6"/>
      <c r="BW1622" s="6"/>
      <c r="BX1622" s="6"/>
      <c r="BY1622" s="6"/>
      <c r="BZ1622" s="6"/>
      <c r="CA1622" s="6"/>
      <c r="CB1622" s="6"/>
      <c r="CC1622" s="6"/>
      <c r="CD1622" s="6"/>
      <c r="CE1622" s="6"/>
      <c r="CF1622" s="6"/>
      <c r="CG1622" s="6"/>
      <c r="CH1622" s="6"/>
      <c r="CI1622" s="6"/>
      <c r="CJ1622" s="6"/>
      <c r="CK1622" s="6"/>
      <c r="CL1622" s="6"/>
      <c r="CM1622" s="6"/>
      <c r="CN1622" s="6"/>
      <c r="CO1622" s="6"/>
      <c r="CP1622" s="6"/>
      <c r="CQ1622" s="6"/>
      <c r="CR1622" s="6"/>
      <c r="CS1622" s="6"/>
      <c r="CT1622" s="6"/>
      <c r="CU1622" s="6"/>
      <c r="CV1622" s="6"/>
      <c r="CW1622" s="6"/>
      <c r="CX1622" s="6"/>
      <c r="CY1622" s="6"/>
      <c r="CZ1622" s="6"/>
      <c r="DA1622" s="6"/>
      <c r="DB1622" s="6"/>
      <c r="DC1622" s="6"/>
      <c r="DD1622" s="6"/>
    </row>
    <row r="1623" spans="1:108" ht="12.75" hidden="1" customHeight="1" outlineLevel="6">
      <c r="A1623" s="104" t="s">
        <v>112</v>
      </c>
      <c r="B1623" s="28">
        <v>0.25</v>
      </c>
      <c r="C1623" s="11"/>
      <c r="D1623" s="18" t="str">
        <f>"&lt;" &amp; A1623 &amp; "&gt;" &amp; TEXT(B1623,"0.000000") &amp; "&lt;/" &amp; A1623 &amp; "&gt;"</f>
        <v>&lt;Slat_Chord&gt;0.250000&lt;/Slat_Chord&gt;</v>
      </c>
      <c r="E1623" s="175"/>
      <c r="F1623" s="6" t="s">
        <v>692</v>
      </c>
      <c r="G1623" s="6"/>
      <c r="H1623" s="6"/>
      <c r="I1623" s="6"/>
      <c r="J1623" s="6"/>
      <c r="K1623" s="6"/>
      <c r="L1623" s="6"/>
      <c r="M1623" s="6"/>
      <c r="N1623" s="6"/>
      <c r="O1623" s="6"/>
      <c r="P1623" s="6"/>
      <c r="Q1623" s="6"/>
      <c r="R1623" s="6"/>
      <c r="S1623" s="6"/>
      <c r="T1623" s="6"/>
      <c r="U1623" s="6"/>
      <c r="V1623" s="6"/>
      <c r="W1623" s="6"/>
      <c r="X1623" s="6"/>
      <c r="Y1623" s="6"/>
      <c r="Z1623" s="6"/>
      <c r="AA1623" s="6"/>
      <c r="AB1623" s="6"/>
      <c r="AC1623" s="6"/>
      <c r="AD1623" s="6"/>
      <c r="AE1623" s="6"/>
      <c r="AF1623" s="6"/>
      <c r="AG1623" s="6"/>
      <c r="AH1623" s="6"/>
      <c r="AI1623" s="6"/>
      <c r="AJ1623" s="6"/>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c r="BU1623" s="6"/>
      <c r="BV1623" s="6"/>
      <c r="BW1623" s="6"/>
      <c r="BX1623" s="6"/>
      <c r="BY1623" s="6"/>
      <c r="BZ1623" s="6"/>
      <c r="CA1623" s="6"/>
      <c r="CB1623" s="6"/>
      <c r="CC1623" s="6"/>
      <c r="CD1623" s="6"/>
      <c r="CE1623" s="6"/>
      <c r="CF1623" s="6"/>
      <c r="CG1623" s="6"/>
      <c r="CH1623" s="6"/>
      <c r="CI1623" s="6"/>
      <c r="CJ1623" s="6"/>
      <c r="CK1623" s="6"/>
      <c r="CL1623" s="6"/>
      <c r="CM1623" s="6"/>
      <c r="CN1623" s="6"/>
      <c r="CO1623" s="6"/>
      <c r="CP1623" s="6"/>
      <c r="CQ1623" s="6"/>
      <c r="CR1623" s="6"/>
      <c r="CS1623" s="6"/>
      <c r="CT1623" s="6"/>
      <c r="CU1623" s="6"/>
      <c r="CV1623" s="6"/>
      <c r="CW1623" s="6"/>
      <c r="CX1623" s="6"/>
      <c r="CY1623" s="6"/>
      <c r="CZ1623" s="6"/>
      <c r="DA1623" s="6"/>
      <c r="DB1623" s="6"/>
      <c r="DC1623" s="6"/>
      <c r="DD1623" s="6"/>
    </row>
    <row r="1624" spans="1:108" ht="12.75" hidden="1" customHeight="1" outlineLevel="6">
      <c r="A1624" s="104" t="s">
        <v>113</v>
      </c>
      <c r="B1624" s="28">
        <v>10</v>
      </c>
      <c r="C1624" s="11"/>
      <c r="D1624" s="18" t="str">
        <f>"&lt;" &amp; A1624 &amp; "&gt;" &amp; TEXT(B1624,"0.000000") &amp; "&lt;/" &amp; A1624 &amp; "&gt;"</f>
        <v>&lt;Slat_Angle&gt;10.000000&lt;/Slat_Angle&gt;</v>
      </c>
      <c r="E1624" s="175"/>
      <c r="F1624" s="6" t="s">
        <v>693</v>
      </c>
      <c r="G1624" s="6"/>
      <c r="H1624" s="6"/>
      <c r="I1624" s="6"/>
      <c r="J1624" s="6"/>
      <c r="K1624" s="6"/>
      <c r="L1624" s="6"/>
      <c r="M1624" s="6"/>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c r="BU1624" s="6"/>
      <c r="BV1624" s="6"/>
      <c r="BW1624" s="6"/>
      <c r="BX1624" s="6"/>
      <c r="BY1624" s="6"/>
      <c r="BZ1624" s="6"/>
      <c r="CA1624" s="6"/>
      <c r="CB1624" s="6"/>
      <c r="CC1624" s="6"/>
      <c r="CD1624" s="6"/>
      <c r="CE1624" s="6"/>
      <c r="CF1624" s="6"/>
      <c r="CG1624" s="6"/>
      <c r="CH1624" s="6"/>
      <c r="CI1624" s="6"/>
      <c r="CJ1624" s="6"/>
      <c r="CK1624" s="6"/>
      <c r="CL1624" s="6"/>
      <c r="CM1624" s="6"/>
      <c r="CN1624" s="6"/>
      <c r="CO1624" s="6"/>
      <c r="CP1624" s="6"/>
      <c r="CQ1624" s="6"/>
      <c r="CR1624" s="6"/>
      <c r="CS1624" s="6"/>
      <c r="CT1624" s="6"/>
      <c r="CU1624" s="6"/>
      <c r="CV1624" s="6"/>
      <c r="CW1624" s="6"/>
      <c r="CX1624" s="6"/>
      <c r="CY1624" s="6"/>
      <c r="CZ1624" s="6"/>
      <c r="DA1624" s="6"/>
      <c r="DB1624" s="6"/>
      <c r="DC1624" s="6"/>
      <c r="DD1624" s="6"/>
    </row>
    <row r="1625" spans="1:108" ht="12.75" hidden="1" customHeight="1" outlineLevel="6">
      <c r="A1625" s="104" t="s">
        <v>114</v>
      </c>
      <c r="B1625" s="28">
        <v>0</v>
      </c>
      <c r="C1625" s="11"/>
      <c r="D1625" s="18" t="str">
        <f>"&lt;" &amp; A1625 &amp; "&gt;" &amp; TEXT(B1625,0) &amp; "&lt;/" &amp; A1625 &amp; "&gt;"</f>
        <v>&lt;Flap_Flag&gt;0&lt;/Flap_Flag&gt;</v>
      </c>
      <c r="E1625" s="175"/>
      <c r="F1625" s="6" t="s">
        <v>920</v>
      </c>
      <c r="G1625" s="6"/>
      <c r="H1625" s="6"/>
      <c r="I1625" s="6"/>
      <c r="J1625" s="6"/>
      <c r="K1625" s="6"/>
      <c r="L1625" s="6"/>
      <c r="M1625" s="6"/>
      <c r="N1625" s="6"/>
      <c r="O1625" s="6"/>
      <c r="P1625" s="6"/>
      <c r="Q1625" s="6"/>
      <c r="R1625" s="6"/>
      <c r="S1625" s="6"/>
      <c r="T1625" s="6"/>
      <c r="U1625" s="6"/>
      <c r="V1625" s="6"/>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c r="BU1625" s="6"/>
      <c r="BV1625" s="6"/>
      <c r="BW1625" s="6"/>
      <c r="BX1625" s="6"/>
      <c r="BY1625" s="6"/>
      <c r="BZ1625" s="6"/>
      <c r="CA1625" s="6"/>
      <c r="CB1625" s="6"/>
      <c r="CC1625" s="6"/>
      <c r="CD1625" s="6"/>
      <c r="CE1625" s="6"/>
      <c r="CF1625" s="6"/>
      <c r="CG1625" s="6"/>
      <c r="CH1625" s="6"/>
      <c r="CI1625" s="6"/>
      <c r="CJ1625" s="6"/>
      <c r="CK1625" s="6"/>
      <c r="CL1625" s="6"/>
      <c r="CM1625" s="6"/>
      <c r="CN1625" s="6"/>
      <c r="CO1625" s="6"/>
      <c r="CP1625" s="6"/>
      <c r="CQ1625" s="6"/>
      <c r="CR1625" s="6"/>
      <c r="CS1625" s="6"/>
      <c r="CT1625" s="6"/>
      <c r="CU1625" s="6"/>
      <c r="CV1625" s="6"/>
      <c r="CW1625" s="6"/>
      <c r="CX1625" s="6"/>
      <c r="CY1625" s="6"/>
      <c r="CZ1625" s="6"/>
      <c r="DA1625" s="6"/>
      <c r="DB1625" s="6"/>
      <c r="DC1625" s="6"/>
      <c r="DD1625" s="6"/>
    </row>
    <row r="1626" spans="1:108" ht="12.75" hidden="1" customHeight="1" outlineLevel="6">
      <c r="A1626" s="104" t="s">
        <v>115</v>
      </c>
      <c r="B1626" s="28">
        <v>0</v>
      </c>
      <c r="C1626" s="11"/>
      <c r="D1626" s="18" t="str">
        <f>"&lt;" &amp; A1626 &amp; "&gt;" &amp; TEXT(B1626,0) &amp; "&lt;/" &amp; A1626 &amp; "&gt;"</f>
        <v>&lt;Flap_Shear_Flag&gt;0&lt;/Flap_Shear_Flag&gt;</v>
      </c>
      <c r="E1626" s="175"/>
      <c r="F1626" s="6" t="s">
        <v>695</v>
      </c>
      <c r="G1626" s="6"/>
      <c r="H1626" s="6"/>
      <c r="I1626" s="6"/>
      <c r="J1626" s="6"/>
      <c r="K1626" s="6"/>
      <c r="L1626" s="6"/>
      <c r="M1626" s="6"/>
      <c r="N1626" s="6"/>
      <c r="O1626" s="6"/>
      <c r="P1626" s="6"/>
      <c r="Q1626" s="6"/>
      <c r="R1626" s="6"/>
      <c r="S1626" s="6"/>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c r="BU1626" s="6"/>
      <c r="BV1626" s="6"/>
      <c r="BW1626" s="6"/>
      <c r="BX1626" s="6"/>
      <c r="BY1626" s="6"/>
      <c r="BZ1626" s="6"/>
      <c r="CA1626" s="6"/>
      <c r="CB1626" s="6"/>
      <c r="CC1626" s="6"/>
      <c r="CD1626" s="6"/>
      <c r="CE1626" s="6"/>
      <c r="CF1626" s="6"/>
      <c r="CG1626" s="6"/>
      <c r="CH1626" s="6"/>
      <c r="CI1626" s="6"/>
      <c r="CJ1626" s="6"/>
      <c r="CK1626" s="6"/>
      <c r="CL1626" s="6"/>
      <c r="CM1626" s="6"/>
      <c r="CN1626" s="6"/>
      <c r="CO1626" s="6"/>
      <c r="CP1626" s="6"/>
      <c r="CQ1626" s="6"/>
      <c r="CR1626" s="6"/>
      <c r="CS1626" s="6"/>
      <c r="CT1626" s="6"/>
      <c r="CU1626" s="6"/>
      <c r="CV1626" s="6"/>
      <c r="CW1626" s="6"/>
      <c r="CX1626" s="6"/>
      <c r="CY1626" s="6"/>
      <c r="CZ1626" s="6"/>
      <c r="DA1626" s="6"/>
      <c r="DB1626" s="6"/>
      <c r="DC1626" s="6"/>
      <c r="DD1626" s="6"/>
    </row>
    <row r="1627" spans="1:108" ht="12.75" hidden="1" customHeight="1" outlineLevel="6">
      <c r="A1627" s="104" t="s">
        <v>116</v>
      </c>
      <c r="B1627" s="28">
        <v>0.25</v>
      </c>
      <c r="C1627" s="11"/>
      <c r="D1627" s="18" t="str">
        <f>"&lt;" &amp; A1627 &amp; "&gt;" &amp; TEXT(B1627,"0.000000") &amp; "&lt;/" &amp; A1627 &amp; "&gt;"</f>
        <v>&lt;Flap_Chord&gt;0.250000&lt;/Flap_Chord&gt;</v>
      </c>
      <c r="E1627" s="175"/>
      <c r="F1627" s="6" t="s">
        <v>921</v>
      </c>
      <c r="G1627" s="6"/>
      <c r="H1627" s="6"/>
      <c r="I1627" s="6"/>
      <c r="J1627" s="6"/>
      <c r="K1627" s="6"/>
      <c r="L1627" s="6"/>
      <c r="M1627" s="6"/>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c r="BU1627" s="6"/>
      <c r="BV1627" s="6"/>
      <c r="BW1627" s="6"/>
      <c r="BX1627" s="6"/>
      <c r="BY1627" s="6"/>
      <c r="BZ1627" s="6"/>
      <c r="CA1627" s="6"/>
      <c r="CB1627" s="6"/>
      <c r="CC1627" s="6"/>
      <c r="CD1627" s="6"/>
      <c r="CE1627" s="6"/>
      <c r="CF1627" s="6"/>
      <c r="CG1627" s="6"/>
      <c r="CH1627" s="6"/>
      <c r="CI1627" s="6"/>
      <c r="CJ1627" s="6"/>
      <c r="CK1627" s="6"/>
      <c r="CL1627" s="6"/>
      <c r="CM1627" s="6"/>
      <c r="CN1627" s="6"/>
      <c r="CO1627" s="6"/>
      <c r="CP1627" s="6"/>
      <c r="CQ1627" s="6"/>
      <c r="CR1627" s="6"/>
      <c r="CS1627" s="6"/>
      <c r="CT1627" s="6"/>
      <c r="CU1627" s="6"/>
      <c r="CV1627" s="6"/>
      <c r="CW1627" s="6"/>
      <c r="CX1627" s="6"/>
      <c r="CY1627" s="6"/>
      <c r="CZ1627" s="6"/>
      <c r="DA1627" s="6"/>
      <c r="DB1627" s="6"/>
      <c r="DC1627" s="6"/>
      <c r="DD1627" s="6"/>
    </row>
    <row r="1628" spans="1:108" ht="12.75" hidden="1" customHeight="1" outlineLevel="6">
      <c r="A1628" s="104" t="s">
        <v>117</v>
      </c>
      <c r="B1628" s="28">
        <v>10</v>
      </c>
      <c r="C1628" s="11"/>
      <c r="D1628" s="18" t="str">
        <f>"&lt;" &amp; A1628 &amp; "&gt;" &amp; TEXT(B1628,"0.000000") &amp; "&lt;/" &amp; A1628 &amp; "&gt;"</f>
        <v>&lt;Flap_Angle&gt;10.000000&lt;/Flap_Angle&gt;</v>
      </c>
      <c r="E1628" s="175"/>
      <c r="F1628" s="6" t="s">
        <v>697</v>
      </c>
      <c r="G1628" s="6"/>
      <c r="H1628" s="6"/>
      <c r="I1628" s="6"/>
      <c r="J1628" s="6"/>
      <c r="K1628" s="6"/>
      <c r="L1628" s="6"/>
      <c r="M1628" s="6"/>
      <c r="N1628" s="6"/>
      <c r="O1628" s="6"/>
      <c r="P1628" s="6"/>
      <c r="Q1628" s="6"/>
      <c r="R1628" s="6"/>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c r="BU1628" s="6"/>
      <c r="BV1628" s="6"/>
      <c r="BW1628" s="6"/>
      <c r="BX1628" s="6"/>
      <c r="BY1628" s="6"/>
      <c r="BZ1628" s="6"/>
      <c r="CA1628" s="6"/>
      <c r="CB1628" s="6"/>
      <c r="CC1628" s="6"/>
      <c r="CD1628" s="6"/>
      <c r="CE1628" s="6"/>
      <c r="CF1628" s="6"/>
      <c r="CG1628" s="6"/>
      <c r="CH1628" s="6"/>
      <c r="CI1628" s="6"/>
      <c r="CJ1628" s="6"/>
      <c r="CK1628" s="6"/>
      <c r="CL1628" s="6"/>
      <c r="CM1628" s="6"/>
      <c r="CN1628" s="6"/>
      <c r="CO1628" s="6"/>
      <c r="CP1628" s="6"/>
      <c r="CQ1628" s="6"/>
      <c r="CR1628" s="6"/>
      <c r="CS1628" s="6"/>
      <c r="CT1628" s="6"/>
      <c r="CU1628" s="6"/>
      <c r="CV1628" s="6"/>
      <c r="CW1628" s="6"/>
      <c r="CX1628" s="6"/>
      <c r="CY1628" s="6"/>
      <c r="CZ1628" s="6"/>
      <c r="DA1628" s="6"/>
      <c r="DB1628" s="6"/>
      <c r="DC1628" s="6"/>
      <c r="DD1628" s="6"/>
    </row>
    <row r="1629" spans="1:108" ht="12.75" hidden="1" customHeight="1" outlineLevel="6">
      <c r="A1629" s="104" t="s">
        <v>118</v>
      </c>
      <c r="B1629" s="100"/>
      <c r="C1629" s="11"/>
      <c r="D1629" s="6" t="str">
        <f>"&lt;" &amp; A1629 &amp; "&gt;"</f>
        <v>&lt;/Airfoil&gt;</v>
      </c>
      <c r="E1629" s="175"/>
      <c r="F1629" s="6" t="s">
        <v>698</v>
      </c>
      <c r="G1629" s="6"/>
      <c r="H1629" s="6"/>
      <c r="I1629" s="6"/>
      <c r="J1629" s="6"/>
      <c r="K1629" s="6"/>
      <c r="L1629" s="6"/>
      <c r="M1629" s="6"/>
      <c r="N1629" s="6"/>
      <c r="O1629" s="6"/>
      <c r="P1629" s="6"/>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c r="BU1629" s="6"/>
      <c r="BV1629" s="6"/>
      <c r="BW1629" s="6"/>
      <c r="BX1629" s="6"/>
      <c r="BY1629" s="6"/>
      <c r="BZ1629" s="6"/>
      <c r="CA1629" s="6"/>
      <c r="CB1629" s="6"/>
      <c r="CC1629" s="6"/>
      <c r="CD1629" s="6"/>
      <c r="CE1629" s="6"/>
      <c r="CF1629" s="6"/>
      <c r="CG1629" s="6"/>
      <c r="CH1629" s="6"/>
      <c r="CI1629" s="6"/>
      <c r="CJ1629" s="6"/>
      <c r="CK1629" s="6"/>
      <c r="CL1629" s="6"/>
      <c r="CM1629" s="6"/>
      <c r="CN1629" s="6"/>
      <c r="CO1629" s="6"/>
      <c r="CP1629" s="6"/>
      <c r="CQ1629" s="6"/>
      <c r="CR1629" s="6"/>
      <c r="CS1629" s="6"/>
      <c r="CT1629" s="6"/>
      <c r="CU1629" s="6"/>
      <c r="CV1629" s="6"/>
      <c r="CW1629" s="6"/>
      <c r="CX1629" s="6"/>
      <c r="CY1629" s="6"/>
      <c r="CZ1629" s="6"/>
      <c r="DA1629" s="6"/>
      <c r="DB1629" s="6"/>
      <c r="DC1629" s="6"/>
      <c r="DD1629" s="6"/>
    </row>
    <row r="1630" spans="1:108" ht="12.75" hidden="1" customHeight="1" outlineLevel="5">
      <c r="A1630" s="104" t="s">
        <v>119</v>
      </c>
      <c r="B1630" s="100"/>
      <c r="C1630" s="11"/>
      <c r="D1630" s="6" t="str">
        <f>"&lt;" &amp; A1630 &amp; "&gt;"</f>
        <v>&lt;/Airfoil_List&gt;</v>
      </c>
      <c r="E1630" s="175"/>
      <c r="F1630" s="6" t="s">
        <v>699</v>
      </c>
      <c r="G1630" s="6"/>
      <c r="H1630" s="6"/>
      <c r="I1630" s="6"/>
      <c r="J1630" s="6"/>
      <c r="K1630" s="6"/>
      <c r="L1630" s="6"/>
      <c r="M1630" s="6"/>
      <c r="N1630" s="6"/>
      <c r="O1630" s="6"/>
      <c r="P1630" s="6"/>
      <c r="Q1630" s="6"/>
      <c r="R1630" s="6"/>
      <c r="S1630" s="6"/>
      <c r="T1630" s="6"/>
      <c r="U1630" s="6"/>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c r="BU1630" s="6"/>
      <c r="BV1630" s="6"/>
      <c r="BW1630" s="6"/>
      <c r="BX1630" s="6"/>
      <c r="BY1630" s="6"/>
      <c r="BZ1630" s="6"/>
      <c r="CA1630" s="6"/>
      <c r="CB1630" s="6"/>
      <c r="CC1630" s="6"/>
      <c r="CD1630" s="6"/>
      <c r="CE1630" s="6"/>
      <c r="CF1630" s="6"/>
      <c r="CG1630" s="6"/>
      <c r="CH1630" s="6"/>
      <c r="CI1630" s="6"/>
      <c r="CJ1630" s="6"/>
      <c r="CK1630" s="6"/>
      <c r="CL1630" s="6"/>
      <c r="CM1630" s="6"/>
      <c r="CN1630" s="6"/>
      <c r="CO1630" s="6"/>
      <c r="CP1630" s="6"/>
      <c r="CQ1630" s="6"/>
      <c r="CR1630" s="6"/>
      <c r="CS1630" s="6"/>
      <c r="CT1630" s="6"/>
      <c r="CU1630" s="6"/>
      <c r="CV1630" s="6"/>
      <c r="CW1630" s="6"/>
      <c r="CX1630" s="6"/>
      <c r="CY1630" s="6"/>
      <c r="CZ1630" s="6"/>
      <c r="DA1630" s="6"/>
      <c r="DB1630" s="6"/>
      <c r="DC1630" s="6"/>
      <c r="DD1630" s="6"/>
    </row>
    <row r="1631" spans="1:108" ht="12.75" hidden="1" customHeight="1" outlineLevel="4" collapsed="1">
      <c r="A1631" s="104" t="s">
        <v>120</v>
      </c>
      <c r="B1631" s="100"/>
      <c r="C1631" s="11"/>
      <c r="D1631" s="6" t="str">
        <f>"&lt;" &amp; A1631 &amp; "&gt;"</f>
        <v>&lt;Section_List&gt;</v>
      </c>
      <c r="E1631" s="175"/>
      <c r="F1631" s="6" t="s">
        <v>700</v>
      </c>
      <c r="G1631" s="6"/>
      <c r="H1631" s="6"/>
      <c r="I1631" s="6"/>
      <c r="J1631" s="6"/>
      <c r="K1631" s="6"/>
      <c r="L1631" s="6"/>
      <c r="M1631" s="6"/>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c r="BU1631" s="6"/>
      <c r="BV1631" s="6"/>
      <c r="BW1631" s="6"/>
      <c r="BX1631" s="6"/>
      <c r="BY1631" s="6"/>
      <c r="BZ1631" s="6"/>
      <c r="CA1631" s="6"/>
      <c r="CB1631" s="6"/>
      <c r="CC1631" s="6"/>
      <c r="CD1631" s="6"/>
      <c r="CE1631" s="6"/>
      <c r="CF1631" s="6"/>
      <c r="CG1631" s="6"/>
      <c r="CH1631" s="6"/>
      <c r="CI1631" s="6"/>
      <c r="CJ1631" s="6"/>
      <c r="CK1631" s="6"/>
      <c r="CL1631" s="6"/>
      <c r="CM1631" s="6"/>
      <c r="CN1631" s="6"/>
      <c r="CO1631" s="6"/>
      <c r="CP1631" s="6"/>
      <c r="CQ1631" s="6"/>
      <c r="CR1631" s="6"/>
      <c r="CS1631" s="6"/>
      <c r="CT1631" s="6"/>
      <c r="CU1631" s="6"/>
      <c r="CV1631" s="6"/>
      <c r="CW1631" s="6"/>
      <c r="CX1631" s="6"/>
      <c r="CY1631" s="6"/>
      <c r="CZ1631" s="6"/>
      <c r="DA1631" s="6"/>
      <c r="DB1631" s="6"/>
      <c r="DC1631" s="6"/>
      <c r="DD1631" s="6"/>
    </row>
    <row r="1632" spans="1:108" ht="12.75" hidden="1" customHeight="1" outlineLevel="5" collapsed="1">
      <c r="A1632" s="104" t="s">
        <v>121</v>
      </c>
      <c r="B1632" s="99" t="s">
        <v>400</v>
      </c>
      <c r="C1632" s="11"/>
      <c r="D1632" s="6" t="str">
        <f>"&lt;" &amp; A1632 &amp; "&gt;"</f>
        <v>&lt;Section&gt;</v>
      </c>
      <c r="E1632" s="175"/>
      <c r="F1632" s="6" t="s">
        <v>701</v>
      </c>
      <c r="G1632" s="6"/>
      <c r="H1632" s="6"/>
      <c r="I1632" s="6"/>
      <c r="J1632" s="6"/>
      <c r="K1632" s="6"/>
      <c r="L1632" s="6"/>
      <c r="M1632" s="6"/>
      <c r="N1632" s="6"/>
      <c r="O1632" s="6"/>
      <c r="P1632" s="6"/>
      <c r="Q1632" s="6"/>
      <c r="R1632" s="6"/>
      <c r="S1632" s="6"/>
      <c r="T1632" s="6"/>
      <c r="U1632" s="6"/>
      <c r="V1632" s="6"/>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c r="BU1632" s="6"/>
      <c r="BV1632" s="6"/>
      <c r="BW1632" s="6"/>
      <c r="BX1632" s="6"/>
      <c r="BY1632" s="6"/>
      <c r="BZ1632" s="6"/>
      <c r="CA1632" s="6"/>
      <c r="CB1632" s="6"/>
      <c r="CC1632" s="6"/>
      <c r="CD1632" s="6"/>
      <c r="CE1632" s="6"/>
      <c r="CF1632" s="6"/>
      <c r="CG1632" s="6"/>
      <c r="CH1632" s="6"/>
      <c r="CI1632" s="6"/>
      <c r="CJ1632" s="6"/>
      <c r="CK1632" s="6"/>
      <c r="CL1632" s="6"/>
      <c r="CM1632" s="6"/>
      <c r="CN1632" s="6"/>
      <c r="CO1632" s="6"/>
      <c r="CP1632" s="6"/>
      <c r="CQ1632" s="6"/>
      <c r="CR1632" s="6"/>
      <c r="CS1632" s="6"/>
      <c r="CT1632" s="6"/>
      <c r="CU1632" s="6"/>
      <c r="CV1632" s="6"/>
      <c r="CW1632" s="6"/>
      <c r="CX1632" s="6"/>
      <c r="CY1632" s="6"/>
      <c r="CZ1632" s="6"/>
      <c r="DA1632" s="6"/>
      <c r="DB1632" s="6"/>
      <c r="DC1632" s="6"/>
      <c r="DD1632" s="6"/>
    </row>
    <row r="1633" spans="1:108" ht="12.75" hidden="1" customHeight="1" outlineLevel="6">
      <c r="A1633" s="104" t="s">
        <v>122</v>
      </c>
      <c r="B1633" s="28">
        <v>4</v>
      </c>
      <c r="C1633" s="11"/>
      <c r="D1633" s="18" t="str">
        <f>"&lt;" &amp; A1633 &amp; "&gt;" &amp; TEXT(B1633,0) &amp; "&lt;/" &amp; A1633 &amp; "&gt;"</f>
        <v>&lt;Driver&gt;4&lt;/Driver&gt;</v>
      </c>
      <c r="E1633" s="175"/>
      <c r="F1633" s="6" t="s">
        <v>702</v>
      </c>
      <c r="G1633" s="6"/>
      <c r="H1633" s="6"/>
      <c r="I1633" s="6"/>
      <c r="J1633" s="6"/>
      <c r="K1633" s="6"/>
      <c r="L1633" s="6"/>
      <c r="M1633" s="6"/>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c r="BU1633" s="6"/>
      <c r="BV1633" s="6"/>
      <c r="BW1633" s="6"/>
      <c r="BX1633" s="6"/>
      <c r="BY1633" s="6"/>
      <c r="BZ1633" s="6"/>
      <c r="CA1633" s="6"/>
      <c r="CB1633" s="6"/>
      <c r="CC1633" s="6"/>
      <c r="CD1633" s="6"/>
      <c r="CE1633" s="6"/>
      <c r="CF1633" s="6"/>
      <c r="CG1633" s="6"/>
      <c r="CH1633" s="6"/>
      <c r="CI1633" s="6"/>
      <c r="CJ1633" s="6"/>
      <c r="CK1633" s="6"/>
      <c r="CL1633" s="6"/>
      <c r="CM1633" s="6"/>
      <c r="CN1633" s="6"/>
      <c r="CO1633" s="6"/>
      <c r="CP1633" s="6"/>
      <c r="CQ1633" s="6"/>
      <c r="CR1633" s="6"/>
      <c r="CS1633" s="6"/>
      <c r="CT1633" s="6"/>
      <c r="CU1633" s="6"/>
      <c r="CV1633" s="6"/>
      <c r="CW1633" s="6"/>
      <c r="CX1633" s="6"/>
      <c r="CY1633" s="6"/>
      <c r="CZ1633" s="6"/>
      <c r="DA1633" s="6"/>
      <c r="DB1633" s="6"/>
      <c r="DC1633" s="6"/>
      <c r="DD1633" s="6"/>
    </row>
    <row r="1634" spans="1:108" ht="12.75" hidden="1" customHeight="1" outlineLevel="6">
      <c r="A1634" s="104" t="s">
        <v>123</v>
      </c>
      <c r="B1634" s="37">
        <f ca="1">(B1637^2)/B1636</f>
        <v>0.39524386284045754</v>
      </c>
      <c r="C1634" s="11"/>
      <c r="D1634" s="18" t="str">
        <f t="shared" ref="D1634:D1648" ca="1" si="87">"&lt;" &amp; A1634 &amp; "&gt;" &amp; TEXT(B1634,"0.000000") &amp; "&lt;/" &amp; A1634 &amp; "&gt;"</f>
        <v>&lt;AR&gt;0.395244&lt;/AR&gt;</v>
      </c>
      <c r="E1634" s="175"/>
      <c r="F1634" s="6" t="s">
        <v>942</v>
      </c>
      <c r="G1634" s="6"/>
      <c r="H1634" s="6"/>
      <c r="I1634" s="6"/>
      <c r="J1634" s="6"/>
      <c r="K1634" s="6"/>
      <c r="L1634" s="6"/>
      <c r="M1634" s="6"/>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c r="BU1634" s="6"/>
      <c r="BV1634" s="6"/>
      <c r="BW1634" s="6"/>
      <c r="BX1634" s="6"/>
      <c r="BY1634" s="6"/>
      <c r="BZ1634" s="6"/>
      <c r="CA1634" s="6"/>
      <c r="CB1634" s="6"/>
      <c r="CC1634" s="6"/>
      <c r="CD1634" s="6"/>
      <c r="CE1634" s="6"/>
      <c r="CF1634" s="6"/>
      <c r="CG1634" s="6"/>
      <c r="CH1634" s="6"/>
      <c r="CI1634" s="6"/>
      <c r="CJ1634" s="6"/>
      <c r="CK1634" s="6"/>
      <c r="CL1634" s="6"/>
      <c r="CM1634" s="6"/>
      <c r="CN1634" s="6"/>
      <c r="CO1634" s="6"/>
      <c r="CP1634" s="6"/>
      <c r="CQ1634" s="6"/>
      <c r="CR1634" s="6"/>
      <c r="CS1634" s="6"/>
      <c r="CT1634" s="6"/>
      <c r="CU1634" s="6"/>
      <c r="CV1634" s="6"/>
      <c r="CW1634" s="6"/>
      <c r="CX1634" s="6"/>
      <c r="CY1634" s="6"/>
      <c r="CZ1634" s="6"/>
      <c r="DA1634" s="6"/>
      <c r="DB1634" s="6"/>
      <c r="DC1634" s="6"/>
      <c r="DD1634" s="6"/>
    </row>
    <row r="1635" spans="1:108" ht="12.75" hidden="1" customHeight="1" outlineLevel="6">
      <c r="A1635" s="104" t="s">
        <v>124</v>
      </c>
      <c r="B1635" s="37">
        <f ca="1">B1638/B1639</f>
        <v>1</v>
      </c>
      <c r="C1635" s="11"/>
      <c r="D1635" s="18" t="str">
        <f t="shared" ca="1" si="87"/>
        <v>&lt;TR&gt;1.000000&lt;/TR&gt;</v>
      </c>
      <c r="E1635" s="175"/>
      <c r="F1635" s="6" t="s">
        <v>943</v>
      </c>
      <c r="G1635" s="6"/>
      <c r="H1635" s="6"/>
      <c r="I1635" s="6"/>
      <c r="J1635" s="6"/>
      <c r="K1635" s="6"/>
      <c r="L1635" s="6"/>
      <c r="M1635" s="6"/>
      <c r="N1635" s="6"/>
      <c r="O1635" s="6"/>
      <c r="P1635" s="6"/>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c r="BU1635" s="6"/>
      <c r="BV1635" s="6"/>
      <c r="BW1635" s="6"/>
      <c r="BX1635" s="6"/>
      <c r="BY1635" s="6"/>
      <c r="BZ1635" s="6"/>
      <c r="CA1635" s="6"/>
      <c r="CB1635" s="6"/>
      <c r="CC1635" s="6"/>
      <c r="CD1635" s="6"/>
      <c r="CE1635" s="6"/>
      <c r="CF1635" s="6"/>
      <c r="CG1635" s="6"/>
      <c r="CH1635" s="6"/>
      <c r="CI1635" s="6"/>
      <c r="CJ1635" s="6"/>
      <c r="CK1635" s="6"/>
      <c r="CL1635" s="6"/>
      <c r="CM1635" s="6"/>
      <c r="CN1635" s="6"/>
      <c r="CO1635" s="6"/>
      <c r="CP1635" s="6"/>
      <c r="CQ1635" s="6"/>
      <c r="CR1635" s="6"/>
      <c r="CS1635" s="6"/>
      <c r="CT1635" s="6"/>
      <c r="CU1635" s="6"/>
      <c r="CV1635" s="6"/>
      <c r="CW1635" s="6"/>
      <c r="CX1635" s="6"/>
      <c r="CY1635" s="6"/>
      <c r="CZ1635" s="6"/>
      <c r="DA1635" s="6"/>
      <c r="DB1635" s="6"/>
      <c r="DC1635" s="6"/>
      <c r="DD1635" s="6"/>
    </row>
    <row r="1636" spans="1:108" ht="12.75" hidden="1" customHeight="1" outlineLevel="6">
      <c r="A1636" s="104" t="s">
        <v>6</v>
      </c>
      <c r="B1636" s="37">
        <f ca="1">0.5*(B1638+B1639)*B1637</f>
        <v>2.0493676844944742</v>
      </c>
      <c r="C1636" s="11"/>
      <c r="D1636" s="18" t="str">
        <f t="shared" ca="1" si="87"/>
        <v>&lt;Area&gt;2.049368&lt;/Area&gt;</v>
      </c>
      <c r="E1636" s="175"/>
      <c r="F1636" s="6" t="s">
        <v>1006</v>
      </c>
      <c r="G1636" s="6"/>
      <c r="H1636" s="6"/>
      <c r="I1636" s="6"/>
      <c r="J1636" s="6"/>
      <c r="K1636" s="6"/>
      <c r="L1636" s="6"/>
      <c r="M1636" s="6"/>
      <c r="N1636" s="6"/>
      <c r="O1636" s="6"/>
      <c r="P1636" s="6"/>
      <c r="Q1636" s="6"/>
      <c r="R1636" s="6"/>
      <c r="S1636" s="6"/>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c r="BU1636" s="6"/>
      <c r="BV1636" s="6"/>
      <c r="BW1636" s="6"/>
      <c r="BX1636" s="6"/>
      <c r="BY1636" s="6"/>
      <c r="BZ1636" s="6"/>
      <c r="CA1636" s="6"/>
      <c r="CB1636" s="6"/>
      <c r="CC1636" s="6"/>
      <c r="CD1636" s="6"/>
      <c r="CE1636" s="6"/>
      <c r="CF1636" s="6"/>
      <c r="CG1636" s="6"/>
      <c r="CH1636" s="6"/>
      <c r="CI1636" s="6"/>
      <c r="CJ1636" s="6"/>
      <c r="CK1636" s="6"/>
      <c r="CL1636" s="6"/>
      <c r="CM1636" s="6"/>
      <c r="CN1636" s="6"/>
      <c r="CO1636" s="6"/>
      <c r="CP1636" s="6"/>
      <c r="CQ1636" s="6"/>
      <c r="CR1636" s="6"/>
      <c r="CS1636" s="6"/>
      <c r="CT1636" s="6"/>
      <c r="CU1636" s="6"/>
      <c r="CV1636" s="6"/>
      <c r="CW1636" s="6"/>
      <c r="CX1636" s="6"/>
      <c r="CY1636" s="6"/>
      <c r="CZ1636" s="6"/>
      <c r="DA1636" s="6"/>
      <c r="DB1636" s="6"/>
      <c r="DC1636" s="6"/>
      <c r="DD1636" s="6"/>
    </row>
    <row r="1637" spans="1:108" ht="12.75" hidden="1" customHeight="1" outlineLevel="6">
      <c r="A1637" s="104" t="s">
        <v>7</v>
      </c>
      <c r="B1637" s="28">
        <v>0.9</v>
      </c>
      <c r="C1637" s="11"/>
      <c r="D1637" s="18" t="str">
        <f t="shared" si="87"/>
        <v>&lt;Span&gt;0.900000&lt;/Span&gt;</v>
      </c>
      <c r="E1637" s="175"/>
      <c r="F1637" s="6" t="s">
        <v>944</v>
      </c>
      <c r="G1637" s="6"/>
      <c r="H1637" s="6"/>
      <c r="I1637" s="6"/>
      <c r="J1637" s="6"/>
      <c r="K1637" s="6"/>
      <c r="L1637" s="6"/>
      <c r="M1637" s="6"/>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c r="BU1637" s="6"/>
      <c r="BV1637" s="6"/>
      <c r="BW1637" s="6"/>
      <c r="BX1637" s="6"/>
      <c r="BY1637" s="6"/>
      <c r="BZ1637" s="6"/>
      <c r="CA1637" s="6"/>
      <c r="CB1637" s="6"/>
      <c r="CC1637" s="6"/>
      <c r="CD1637" s="6"/>
      <c r="CE1637" s="6"/>
      <c r="CF1637" s="6"/>
      <c r="CG1637" s="6"/>
      <c r="CH1637" s="6"/>
      <c r="CI1637" s="6"/>
      <c r="CJ1637" s="6"/>
      <c r="CK1637" s="6"/>
      <c r="CL1637" s="6"/>
      <c r="CM1637" s="6"/>
      <c r="CN1637" s="6"/>
      <c r="CO1637" s="6"/>
      <c r="CP1637" s="6"/>
      <c r="CQ1637" s="6"/>
      <c r="CR1637" s="6"/>
      <c r="CS1637" s="6"/>
      <c r="CT1637" s="6"/>
      <c r="CU1637" s="6"/>
      <c r="CV1637" s="6"/>
      <c r="CW1637" s="6"/>
      <c r="CX1637" s="6"/>
      <c r="CY1637" s="6"/>
      <c r="CZ1637" s="6"/>
      <c r="DA1637" s="6"/>
      <c r="DB1637" s="6"/>
      <c r="DC1637" s="6"/>
      <c r="DD1637" s="6"/>
    </row>
    <row r="1638" spans="1:108" ht="12.75" hidden="1" customHeight="1" outlineLevel="6">
      <c r="A1638" s="104" t="s">
        <v>125</v>
      </c>
      <c r="B1638" s="38">
        <f ca="1">0.8*IF(B1228 &lt; b_W.i, c_r.W + B1228*(TAN(phi_100.W.i*PI()/180) - TAN(phi_0.W.i*PI()/180)), c_W.k + B1228*(TAN(phi_100.W.o*PI()/180) - TAN(phi_0.W.o*PI()/180)))</f>
        <v>2.2770752049938601</v>
      </c>
      <c r="C1638" s="11"/>
      <c r="D1638" s="18" t="str">
        <f t="shared" ca="1" si="87"/>
        <v>&lt;TC&gt;2.277075&lt;/TC&gt;</v>
      </c>
      <c r="E1638" s="175"/>
      <c r="F1638" s="6" t="s">
        <v>945</v>
      </c>
      <c r="G1638" s="6"/>
      <c r="H1638" s="6"/>
      <c r="I1638" s="6"/>
      <c r="J1638" s="6"/>
      <c r="K1638" s="6"/>
      <c r="L1638" s="6"/>
      <c r="M1638" s="6"/>
      <c r="N1638" s="6"/>
      <c r="O1638" s="6"/>
      <c r="P1638" s="6"/>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c r="BU1638" s="6"/>
      <c r="BV1638" s="6"/>
      <c r="BW1638" s="6"/>
      <c r="BX1638" s="6"/>
      <c r="BY1638" s="6"/>
      <c r="BZ1638" s="6"/>
      <c r="CA1638" s="6"/>
      <c r="CB1638" s="6"/>
      <c r="CC1638" s="6"/>
      <c r="CD1638" s="6"/>
      <c r="CE1638" s="6"/>
      <c r="CF1638" s="6"/>
      <c r="CG1638" s="6"/>
      <c r="CH1638" s="6"/>
      <c r="CI1638" s="6"/>
      <c r="CJ1638" s="6"/>
      <c r="CK1638" s="6"/>
      <c r="CL1638" s="6"/>
      <c r="CM1638" s="6"/>
      <c r="CN1638" s="6"/>
      <c r="CO1638" s="6"/>
      <c r="CP1638" s="6"/>
      <c r="CQ1638" s="6"/>
      <c r="CR1638" s="6"/>
      <c r="CS1638" s="6"/>
      <c r="CT1638" s="6"/>
      <c r="CU1638" s="6"/>
      <c r="CV1638" s="6"/>
      <c r="CW1638" s="6"/>
      <c r="CX1638" s="6"/>
      <c r="CY1638" s="6"/>
      <c r="CZ1638" s="6"/>
      <c r="DA1638" s="6"/>
      <c r="DB1638" s="6"/>
      <c r="DC1638" s="6"/>
      <c r="DD1638" s="6"/>
    </row>
    <row r="1639" spans="1:108" ht="12.75" hidden="1" customHeight="1" outlineLevel="6">
      <c r="A1639" s="104" t="s">
        <v>126</v>
      </c>
      <c r="B1639" s="38">
        <f ca="1">B1638</f>
        <v>2.2770752049938601</v>
      </c>
      <c r="C1639" s="11"/>
      <c r="D1639" s="18" t="str">
        <f t="shared" ca="1" si="87"/>
        <v>&lt;RC&gt;2.277075&lt;/RC&gt;</v>
      </c>
      <c r="E1639" s="175"/>
      <c r="F1639" s="6" t="s">
        <v>946</v>
      </c>
      <c r="G1639" s="6"/>
      <c r="H1639" s="6"/>
      <c r="I1639" s="6"/>
      <c r="J1639" s="6"/>
      <c r="K1639" s="6"/>
      <c r="L1639" s="6"/>
      <c r="M1639" s="6"/>
      <c r="N1639" s="6"/>
      <c r="O1639" s="6"/>
      <c r="P1639" s="6"/>
      <c r="Q1639" s="6"/>
      <c r="R1639" s="6"/>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c r="BU1639" s="6"/>
      <c r="BV1639" s="6"/>
      <c r="BW1639" s="6"/>
      <c r="BX1639" s="6"/>
      <c r="BY1639" s="6"/>
      <c r="BZ1639" s="6"/>
      <c r="CA1639" s="6"/>
      <c r="CB1639" s="6"/>
      <c r="CC1639" s="6"/>
      <c r="CD1639" s="6"/>
      <c r="CE1639" s="6"/>
      <c r="CF1639" s="6"/>
      <c r="CG1639" s="6"/>
      <c r="CH1639" s="6"/>
      <c r="CI1639" s="6"/>
      <c r="CJ1639" s="6"/>
      <c r="CK1639" s="6"/>
      <c r="CL1639" s="6"/>
      <c r="CM1639" s="6"/>
      <c r="CN1639" s="6"/>
      <c r="CO1639" s="6"/>
      <c r="CP1639" s="6"/>
      <c r="CQ1639" s="6"/>
      <c r="CR1639" s="6"/>
      <c r="CS1639" s="6"/>
      <c r="CT1639" s="6"/>
      <c r="CU1639" s="6"/>
      <c r="CV1639" s="6"/>
      <c r="CW1639" s="6"/>
      <c r="CX1639" s="6"/>
      <c r="CY1639" s="6"/>
      <c r="CZ1639" s="6"/>
      <c r="DA1639" s="6"/>
      <c r="DB1639" s="6"/>
      <c r="DC1639" s="6"/>
      <c r="DD1639" s="6"/>
    </row>
    <row r="1640" spans="1:108" ht="12.75" hidden="1" customHeight="1" outlineLevel="6">
      <c r="A1640" s="104" t="s">
        <v>8</v>
      </c>
      <c r="B1640" s="39">
        <v>50</v>
      </c>
      <c r="C1640" s="11"/>
      <c r="D1640" s="18" t="str">
        <f t="shared" si="87"/>
        <v>&lt;Sweep&gt;50.000000&lt;/Sweep&gt;</v>
      </c>
      <c r="E1640" s="175"/>
      <c r="F1640" s="6" t="s">
        <v>947</v>
      </c>
      <c r="G1640" s="6"/>
      <c r="H1640" s="6"/>
      <c r="I1640" s="6"/>
      <c r="J1640" s="6"/>
      <c r="K1640" s="6"/>
      <c r="L1640" s="6"/>
      <c r="M1640" s="6"/>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c r="BU1640" s="6"/>
      <c r="BV1640" s="6"/>
      <c r="BW1640" s="6"/>
      <c r="BX1640" s="6"/>
      <c r="BY1640" s="6"/>
      <c r="BZ1640" s="6"/>
      <c r="CA1640" s="6"/>
      <c r="CB1640" s="6"/>
      <c r="CC1640" s="6"/>
      <c r="CD1640" s="6"/>
      <c r="CE1640" s="6"/>
      <c r="CF1640" s="6"/>
      <c r="CG1640" s="6"/>
      <c r="CH1640" s="6"/>
      <c r="CI1640" s="6"/>
      <c r="CJ1640" s="6"/>
      <c r="CK1640" s="6"/>
      <c r="CL1640" s="6"/>
      <c r="CM1640" s="6"/>
      <c r="CN1640" s="6"/>
      <c r="CO1640" s="6"/>
      <c r="CP1640" s="6"/>
      <c r="CQ1640" s="6"/>
      <c r="CR1640" s="6"/>
      <c r="CS1640" s="6"/>
      <c r="CT1640" s="6"/>
      <c r="CU1640" s="6"/>
      <c r="CV1640" s="6"/>
      <c r="CW1640" s="6"/>
      <c r="CX1640" s="6"/>
      <c r="CY1640" s="6"/>
      <c r="CZ1640" s="6"/>
      <c r="DA1640" s="6"/>
      <c r="DB1640" s="6"/>
      <c r="DC1640" s="6"/>
      <c r="DD1640" s="6"/>
    </row>
    <row r="1641" spans="1:108" ht="12.75" hidden="1" customHeight="1" outlineLevel="6">
      <c r="A1641" s="104" t="s">
        <v>127</v>
      </c>
      <c r="B1641" s="28">
        <v>0</v>
      </c>
      <c r="C1641" s="11"/>
      <c r="D1641" s="18" t="str">
        <f t="shared" si="87"/>
        <v>&lt;SweepLoc&gt;0.000000&lt;/SweepLoc&gt;</v>
      </c>
      <c r="E1641" s="175"/>
      <c r="F1641" s="6" t="s">
        <v>751</v>
      </c>
      <c r="G1641" s="6"/>
      <c r="H1641" s="6"/>
      <c r="I1641" s="6"/>
      <c r="J1641" s="6"/>
      <c r="K1641" s="6"/>
      <c r="L1641" s="6"/>
      <c r="M1641" s="6"/>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c r="BU1641" s="6"/>
      <c r="BV1641" s="6"/>
      <c r="BW1641" s="6"/>
      <c r="BX1641" s="6"/>
      <c r="BY1641" s="6"/>
      <c r="BZ1641" s="6"/>
      <c r="CA1641" s="6"/>
      <c r="CB1641" s="6"/>
      <c r="CC1641" s="6"/>
      <c r="CD1641" s="6"/>
      <c r="CE1641" s="6"/>
      <c r="CF1641" s="6"/>
      <c r="CG1641" s="6"/>
      <c r="CH1641" s="6"/>
      <c r="CI1641" s="6"/>
      <c r="CJ1641" s="6"/>
      <c r="CK1641" s="6"/>
      <c r="CL1641" s="6"/>
      <c r="CM1641" s="6"/>
      <c r="CN1641" s="6"/>
      <c r="CO1641" s="6"/>
      <c r="CP1641" s="6"/>
      <c r="CQ1641" s="6"/>
      <c r="CR1641" s="6"/>
      <c r="CS1641" s="6"/>
      <c r="CT1641" s="6"/>
      <c r="CU1641" s="6"/>
      <c r="CV1641" s="6"/>
      <c r="CW1641" s="6"/>
      <c r="CX1641" s="6"/>
      <c r="CY1641" s="6"/>
      <c r="CZ1641" s="6"/>
      <c r="DA1641" s="6"/>
      <c r="DB1641" s="6"/>
      <c r="DC1641" s="6"/>
      <c r="DD1641" s="6"/>
    </row>
    <row r="1642" spans="1:108" ht="12.75" hidden="1" customHeight="1" outlineLevel="6">
      <c r="A1642" s="104" t="s">
        <v>9</v>
      </c>
      <c r="B1642" s="28">
        <v>0</v>
      </c>
      <c r="C1642" s="11"/>
      <c r="D1642" s="18" t="str">
        <f t="shared" si="87"/>
        <v>&lt;Twist&gt;0.000000&lt;/Twist&gt;</v>
      </c>
      <c r="E1642" s="175"/>
      <c r="F1642" s="6" t="s">
        <v>707</v>
      </c>
      <c r="G1642" s="6"/>
      <c r="H1642" s="6"/>
      <c r="I1642" s="6"/>
      <c r="J1642" s="6"/>
      <c r="K1642" s="6"/>
      <c r="L1642" s="6"/>
      <c r="M1642" s="6"/>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c r="BU1642" s="6"/>
      <c r="BV1642" s="6"/>
      <c r="BW1642" s="6"/>
      <c r="BX1642" s="6"/>
      <c r="BY1642" s="6"/>
      <c r="BZ1642" s="6"/>
      <c r="CA1642" s="6"/>
      <c r="CB1642" s="6"/>
      <c r="CC1642" s="6"/>
      <c r="CD1642" s="6"/>
      <c r="CE1642" s="6"/>
      <c r="CF1642" s="6"/>
      <c r="CG1642" s="6"/>
      <c r="CH1642" s="6"/>
      <c r="CI1642" s="6"/>
      <c r="CJ1642" s="6"/>
      <c r="CK1642" s="6"/>
      <c r="CL1642" s="6"/>
      <c r="CM1642" s="6"/>
      <c r="CN1642" s="6"/>
      <c r="CO1642" s="6"/>
      <c r="CP1642" s="6"/>
      <c r="CQ1642" s="6"/>
      <c r="CR1642" s="6"/>
      <c r="CS1642" s="6"/>
      <c r="CT1642" s="6"/>
      <c r="CU1642" s="6"/>
      <c r="CV1642" s="6"/>
      <c r="CW1642" s="6"/>
      <c r="CX1642" s="6"/>
      <c r="CY1642" s="6"/>
      <c r="CZ1642" s="6"/>
      <c r="DA1642" s="6"/>
      <c r="DB1642" s="6"/>
      <c r="DC1642" s="6"/>
      <c r="DD1642" s="6"/>
    </row>
    <row r="1643" spans="1:108" ht="12.75" hidden="1" customHeight="1" outlineLevel="6">
      <c r="A1643" s="104" t="s">
        <v>128</v>
      </c>
      <c r="B1643" s="28">
        <v>0</v>
      </c>
      <c r="C1643" s="11"/>
      <c r="D1643" s="18" t="str">
        <f t="shared" si="87"/>
        <v>&lt;TwistLoc&gt;0.000000&lt;/TwistLoc&gt;</v>
      </c>
      <c r="E1643" s="175"/>
      <c r="F1643" s="6" t="s">
        <v>708</v>
      </c>
      <c r="G1643" s="6"/>
      <c r="H1643" s="6"/>
      <c r="I1643" s="6"/>
      <c r="J1643" s="6"/>
      <c r="K1643" s="6"/>
      <c r="L1643" s="6"/>
      <c r="M1643" s="6"/>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c r="BU1643" s="6"/>
      <c r="BV1643" s="6"/>
      <c r="BW1643" s="6"/>
      <c r="BX1643" s="6"/>
      <c r="BY1643" s="6"/>
      <c r="BZ1643" s="6"/>
      <c r="CA1643" s="6"/>
      <c r="CB1643" s="6"/>
      <c r="CC1643" s="6"/>
      <c r="CD1643" s="6"/>
      <c r="CE1643" s="6"/>
      <c r="CF1643" s="6"/>
      <c r="CG1643" s="6"/>
      <c r="CH1643" s="6"/>
      <c r="CI1643" s="6"/>
      <c r="CJ1643" s="6"/>
      <c r="CK1643" s="6"/>
      <c r="CL1643" s="6"/>
      <c r="CM1643" s="6"/>
      <c r="CN1643" s="6"/>
      <c r="CO1643" s="6"/>
      <c r="CP1643" s="6"/>
      <c r="CQ1643" s="6"/>
      <c r="CR1643" s="6"/>
      <c r="CS1643" s="6"/>
      <c r="CT1643" s="6"/>
      <c r="CU1643" s="6"/>
      <c r="CV1643" s="6"/>
      <c r="CW1643" s="6"/>
      <c r="CX1643" s="6"/>
      <c r="CY1643" s="6"/>
      <c r="CZ1643" s="6"/>
      <c r="DA1643" s="6"/>
      <c r="DB1643" s="6"/>
      <c r="DC1643" s="6"/>
      <c r="DD1643" s="6"/>
    </row>
    <row r="1644" spans="1:108" ht="12.75" hidden="1" customHeight="1" outlineLevel="6">
      <c r="A1644" s="104" t="s">
        <v>10</v>
      </c>
      <c r="B1644" s="28">
        <v>0</v>
      </c>
      <c r="C1644" s="11"/>
      <c r="D1644" s="18" t="str">
        <f t="shared" si="87"/>
        <v>&lt;Dihedral&gt;0.000000&lt;/Dihedral&gt;</v>
      </c>
      <c r="E1644" s="175"/>
      <c r="F1644" s="6" t="s">
        <v>729</v>
      </c>
      <c r="G1644" s="6"/>
      <c r="H1644" s="6"/>
      <c r="I1644" s="6"/>
      <c r="J1644" s="6"/>
      <c r="K1644" s="6"/>
      <c r="L1644" s="6"/>
      <c r="M1644" s="6"/>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c r="BU1644" s="6"/>
      <c r="BV1644" s="6"/>
      <c r="BW1644" s="6"/>
      <c r="BX1644" s="6"/>
      <c r="BY1644" s="6"/>
      <c r="BZ1644" s="6"/>
      <c r="CA1644" s="6"/>
      <c r="CB1644" s="6"/>
      <c r="CC1644" s="6"/>
      <c r="CD1644" s="6"/>
      <c r="CE1644" s="6"/>
      <c r="CF1644" s="6"/>
      <c r="CG1644" s="6"/>
      <c r="CH1644" s="6"/>
      <c r="CI1644" s="6"/>
      <c r="CJ1644" s="6"/>
      <c r="CK1644" s="6"/>
      <c r="CL1644" s="6"/>
      <c r="CM1644" s="6"/>
      <c r="CN1644" s="6"/>
      <c r="CO1644" s="6"/>
      <c r="CP1644" s="6"/>
      <c r="CQ1644" s="6"/>
      <c r="CR1644" s="6"/>
      <c r="CS1644" s="6"/>
      <c r="CT1644" s="6"/>
      <c r="CU1644" s="6"/>
      <c r="CV1644" s="6"/>
      <c r="CW1644" s="6"/>
      <c r="CX1644" s="6"/>
      <c r="CY1644" s="6"/>
      <c r="CZ1644" s="6"/>
      <c r="DA1644" s="6"/>
      <c r="DB1644" s="6"/>
      <c r="DC1644" s="6"/>
      <c r="DD1644" s="6"/>
    </row>
    <row r="1645" spans="1:108" ht="12.75" hidden="1" customHeight="1" outlineLevel="6">
      <c r="A1645" s="104" t="s">
        <v>129</v>
      </c>
      <c r="B1645" s="28">
        <v>0</v>
      </c>
      <c r="C1645" s="11"/>
      <c r="D1645" s="18" t="str">
        <f t="shared" si="87"/>
        <v>&lt;Dihed_Crv1&gt;0.000000&lt;/Dihed_Crv1&gt;</v>
      </c>
      <c r="E1645" s="175"/>
      <c r="F1645" s="6" t="s">
        <v>710</v>
      </c>
      <c r="G1645" s="6"/>
      <c r="H1645" s="6"/>
      <c r="I1645" s="6"/>
      <c r="J1645" s="6"/>
      <c r="K1645" s="6"/>
      <c r="L1645" s="6"/>
      <c r="M1645" s="6"/>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c r="BU1645" s="6"/>
      <c r="BV1645" s="6"/>
      <c r="BW1645" s="6"/>
      <c r="BX1645" s="6"/>
      <c r="BY1645" s="6"/>
      <c r="BZ1645" s="6"/>
      <c r="CA1645" s="6"/>
      <c r="CB1645" s="6"/>
      <c r="CC1645" s="6"/>
      <c r="CD1645" s="6"/>
      <c r="CE1645" s="6"/>
      <c r="CF1645" s="6"/>
      <c r="CG1645" s="6"/>
      <c r="CH1645" s="6"/>
      <c r="CI1645" s="6"/>
      <c r="CJ1645" s="6"/>
      <c r="CK1645" s="6"/>
      <c r="CL1645" s="6"/>
      <c r="CM1645" s="6"/>
      <c r="CN1645" s="6"/>
      <c r="CO1645" s="6"/>
      <c r="CP1645" s="6"/>
      <c r="CQ1645" s="6"/>
      <c r="CR1645" s="6"/>
      <c r="CS1645" s="6"/>
      <c r="CT1645" s="6"/>
      <c r="CU1645" s="6"/>
      <c r="CV1645" s="6"/>
      <c r="CW1645" s="6"/>
      <c r="CX1645" s="6"/>
      <c r="CY1645" s="6"/>
      <c r="CZ1645" s="6"/>
      <c r="DA1645" s="6"/>
      <c r="DB1645" s="6"/>
      <c r="DC1645" s="6"/>
      <c r="DD1645" s="6"/>
    </row>
    <row r="1646" spans="1:108" ht="12.75" hidden="1" customHeight="1" outlineLevel="6">
      <c r="A1646" s="104" t="s">
        <v>130</v>
      </c>
      <c r="B1646" s="28">
        <v>0</v>
      </c>
      <c r="C1646" s="11"/>
      <c r="D1646" s="18" t="str">
        <f t="shared" si="87"/>
        <v>&lt;Dihed_Crv2&gt;0.000000&lt;/Dihed_Crv2&gt;</v>
      </c>
      <c r="E1646" s="175"/>
      <c r="F1646" s="6" t="s">
        <v>711</v>
      </c>
      <c r="G1646" s="6"/>
      <c r="H1646" s="6"/>
      <c r="I1646" s="6"/>
      <c r="J1646" s="6"/>
      <c r="K1646" s="6"/>
      <c r="L1646" s="6"/>
      <c r="M1646" s="6"/>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c r="BU1646" s="6"/>
      <c r="BV1646" s="6"/>
      <c r="BW1646" s="6"/>
      <c r="BX1646" s="6"/>
      <c r="BY1646" s="6"/>
      <c r="BZ1646" s="6"/>
      <c r="CA1646" s="6"/>
      <c r="CB1646" s="6"/>
      <c r="CC1646" s="6"/>
      <c r="CD1646" s="6"/>
      <c r="CE1646" s="6"/>
      <c r="CF1646" s="6"/>
      <c r="CG1646" s="6"/>
      <c r="CH1646" s="6"/>
      <c r="CI1646" s="6"/>
      <c r="CJ1646" s="6"/>
      <c r="CK1646" s="6"/>
      <c r="CL1646" s="6"/>
      <c r="CM1646" s="6"/>
      <c r="CN1646" s="6"/>
      <c r="CO1646" s="6"/>
      <c r="CP1646" s="6"/>
      <c r="CQ1646" s="6"/>
      <c r="CR1646" s="6"/>
      <c r="CS1646" s="6"/>
      <c r="CT1646" s="6"/>
      <c r="CU1646" s="6"/>
      <c r="CV1646" s="6"/>
      <c r="CW1646" s="6"/>
      <c r="CX1646" s="6"/>
      <c r="CY1646" s="6"/>
      <c r="CZ1646" s="6"/>
      <c r="DA1646" s="6"/>
      <c r="DB1646" s="6"/>
      <c r="DC1646" s="6"/>
      <c r="DD1646" s="6"/>
    </row>
    <row r="1647" spans="1:108" ht="12.75" hidden="1" customHeight="1" outlineLevel="6">
      <c r="A1647" s="104" t="s">
        <v>131</v>
      </c>
      <c r="B1647" s="28">
        <v>0.75</v>
      </c>
      <c r="C1647" s="11"/>
      <c r="D1647" s="18" t="str">
        <f t="shared" si="87"/>
        <v>&lt;Dihed_Crv1_Str&gt;0.750000&lt;/Dihed_Crv1_Str&gt;</v>
      </c>
      <c r="E1647" s="175"/>
      <c r="F1647" s="6" t="s">
        <v>712</v>
      </c>
      <c r="G1647" s="6"/>
      <c r="H1647" s="6"/>
      <c r="I1647" s="6"/>
      <c r="J1647" s="6"/>
      <c r="K1647" s="6"/>
      <c r="L1647" s="6"/>
      <c r="M1647" s="6"/>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c r="BU1647" s="6"/>
      <c r="BV1647" s="6"/>
      <c r="BW1647" s="6"/>
      <c r="BX1647" s="6"/>
      <c r="BY1647" s="6"/>
      <c r="BZ1647" s="6"/>
      <c r="CA1647" s="6"/>
      <c r="CB1647" s="6"/>
      <c r="CC1647" s="6"/>
      <c r="CD1647" s="6"/>
      <c r="CE1647" s="6"/>
      <c r="CF1647" s="6"/>
      <c r="CG1647" s="6"/>
      <c r="CH1647" s="6"/>
      <c r="CI1647" s="6"/>
      <c r="CJ1647" s="6"/>
      <c r="CK1647" s="6"/>
      <c r="CL1647" s="6"/>
      <c r="CM1647" s="6"/>
      <c r="CN1647" s="6"/>
      <c r="CO1647" s="6"/>
      <c r="CP1647" s="6"/>
      <c r="CQ1647" s="6"/>
      <c r="CR1647" s="6"/>
      <c r="CS1647" s="6"/>
      <c r="CT1647" s="6"/>
      <c r="CU1647" s="6"/>
      <c r="CV1647" s="6"/>
      <c r="CW1647" s="6"/>
      <c r="CX1647" s="6"/>
      <c r="CY1647" s="6"/>
      <c r="CZ1647" s="6"/>
      <c r="DA1647" s="6"/>
      <c r="DB1647" s="6"/>
      <c r="DC1647" s="6"/>
      <c r="DD1647" s="6"/>
    </row>
    <row r="1648" spans="1:108" ht="12.75" hidden="1" customHeight="1" outlineLevel="6">
      <c r="A1648" s="104" t="s">
        <v>132</v>
      </c>
      <c r="B1648" s="28">
        <v>0.75</v>
      </c>
      <c r="C1648" s="11"/>
      <c r="D1648" s="18" t="str">
        <f t="shared" si="87"/>
        <v>&lt;Dihed_Crv2_Str&gt;0.750000&lt;/Dihed_Crv2_Str&gt;</v>
      </c>
      <c r="E1648" s="175"/>
      <c r="F1648" s="6" t="s">
        <v>713</v>
      </c>
      <c r="G1648" s="6"/>
      <c r="H1648" s="6"/>
      <c r="I1648" s="6"/>
      <c r="J1648" s="6"/>
      <c r="K1648" s="6"/>
      <c r="L1648" s="6"/>
      <c r="M1648" s="6"/>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c r="BU1648" s="6"/>
      <c r="BV1648" s="6"/>
      <c r="BW1648" s="6"/>
      <c r="BX1648" s="6"/>
      <c r="BY1648" s="6"/>
      <c r="BZ1648" s="6"/>
      <c r="CA1648" s="6"/>
      <c r="CB1648" s="6"/>
      <c r="CC1648" s="6"/>
      <c r="CD1648" s="6"/>
      <c r="CE1648" s="6"/>
      <c r="CF1648" s="6"/>
      <c r="CG1648" s="6"/>
      <c r="CH1648" s="6"/>
      <c r="CI1648" s="6"/>
      <c r="CJ1648" s="6"/>
      <c r="CK1648" s="6"/>
      <c r="CL1648" s="6"/>
      <c r="CM1648" s="6"/>
      <c r="CN1648" s="6"/>
      <c r="CO1648" s="6"/>
      <c r="CP1648" s="6"/>
      <c r="CQ1648" s="6"/>
      <c r="CR1648" s="6"/>
      <c r="CS1648" s="6"/>
      <c r="CT1648" s="6"/>
      <c r="CU1648" s="6"/>
      <c r="CV1648" s="6"/>
      <c r="CW1648" s="6"/>
      <c r="CX1648" s="6"/>
      <c r="CY1648" s="6"/>
      <c r="CZ1648" s="6"/>
      <c r="DA1648" s="6"/>
      <c r="DB1648" s="6"/>
      <c r="DC1648" s="6"/>
      <c r="DD1648" s="6"/>
    </row>
    <row r="1649" spans="1:108" ht="12.75" hidden="1" customHeight="1" outlineLevel="6">
      <c r="A1649" s="104" t="s">
        <v>133</v>
      </c>
      <c r="B1649" s="28">
        <v>0</v>
      </c>
      <c r="C1649" s="11"/>
      <c r="D1649" s="18" t="str">
        <f>"&lt;" &amp; A1649 &amp; "&gt;" &amp; TEXT(B1649,0) &amp; "&lt;/" &amp; A1649 &amp; "&gt;"</f>
        <v>&lt;DihedRotFlag&gt;0&lt;/DihedRotFlag&gt;</v>
      </c>
      <c r="E1649" s="175"/>
      <c r="F1649" s="6" t="s">
        <v>714</v>
      </c>
      <c r="G1649" s="6"/>
      <c r="H1649" s="6"/>
      <c r="I1649" s="6"/>
      <c r="J1649" s="6"/>
      <c r="K1649" s="6"/>
      <c r="L1649" s="6"/>
      <c r="M1649" s="6"/>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c r="BU1649" s="6"/>
      <c r="BV1649" s="6"/>
      <c r="BW1649" s="6"/>
      <c r="BX1649" s="6"/>
      <c r="BY1649" s="6"/>
      <c r="BZ1649" s="6"/>
      <c r="CA1649" s="6"/>
      <c r="CB1649" s="6"/>
      <c r="CC1649" s="6"/>
      <c r="CD1649" s="6"/>
      <c r="CE1649" s="6"/>
      <c r="CF1649" s="6"/>
      <c r="CG1649" s="6"/>
      <c r="CH1649" s="6"/>
      <c r="CI1649" s="6"/>
      <c r="CJ1649" s="6"/>
      <c r="CK1649" s="6"/>
      <c r="CL1649" s="6"/>
      <c r="CM1649" s="6"/>
      <c r="CN1649" s="6"/>
      <c r="CO1649" s="6"/>
      <c r="CP1649" s="6"/>
      <c r="CQ1649" s="6"/>
      <c r="CR1649" s="6"/>
      <c r="CS1649" s="6"/>
      <c r="CT1649" s="6"/>
      <c r="CU1649" s="6"/>
      <c r="CV1649" s="6"/>
      <c r="CW1649" s="6"/>
      <c r="CX1649" s="6"/>
      <c r="CY1649" s="6"/>
      <c r="CZ1649" s="6"/>
      <c r="DA1649" s="6"/>
      <c r="DB1649" s="6"/>
      <c r="DC1649" s="6"/>
      <c r="DD1649" s="6"/>
    </row>
    <row r="1650" spans="1:108" ht="12.75" hidden="1" customHeight="1" outlineLevel="6">
      <c r="A1650" s="104" t="s">
        <v>134</v>
      </c>
      <c r="B1650" s="28">
        <v>0</v>
      </c>
      <c r="C1650" s="11"/>
      <c r="D1650" s="18" t="str">
        <f>"&lt;" &amp; A1650 &amp; "&gt;" &amp; TEXT(B1650,0) &amp; "&lt;/" &amp; A1650 &amp; "&gt;"</f>
        <v>&lt;SmoothBlendFlag&gt;0&lt;/SmoothBlendFlag&gt;</v>
      </c>
      <c r="E1650" s="175"/>
      <c r="F1650" s="6" t="s">
        <v>715</v>
      </c>
      <c r="G1650" s="6"/>
      <c r="H1650" s="6"/>
      <c r="I1650" s="6"/>
      <c r="J1650" s="6"/>
      <c r="K1650" s="6"/>
      <c r="L1650" s="6"/>
      <c r="M1650" s="6"/>
      <c r="N1650" s="6"/>
      <c r="O1650" s="6"/>
      <c r="P1650" s="6"/>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c r="BU1650" s="6"/>
      <c r="BV1650" s="6"/>
      <c r="BW1650" s="6"/>
      <c r="BX1650" s="6"/>
      <c r="BY1650" s="6"/>
      <c r="BZ1650" s="6"/>
      <c r="CA1650" s="6"/>
      <c r="CB1650" s="6"/>
      <c r="CC1650" s="6"/>
      <c r="CD1650" s="6"/>
      <c r="CE1650" s="6"/>
      <c r="CF1650" s="6"/>
      <c r="CG1650" s="6"/>
      <c r="CH1650" s="6"/>
      <c r="CI1650" s="6"/>
      <c r="CJ1650" s="6"/>
      <c r="CK1650" s="6"/>
      <c r="CL1650" s="6"/>
      <c r="CM1650" s="6"/>
      <c r="CN1650" s="6"/>
      <c r="CO1650" s="6"/>
      <c r="CP1650" s="6"/>
      <c r="CQ1650" s="6"/>
      <c r="CR1650" s="6"/>
      <c r="CS1650" s="6"/>
      <c r="CT1650" s="6"/>
      <c r="CU1650" s="6"/>
      <c r="CV1650" s="6"/>
      <c r="CW1650" s="6"/>
      <c r="CX1650" s="6"/>
      <c r="CY1650" s="6"/>
      <c r="CZ1650" s="6"/>
      <c r="DA1650" s="6"/>
      <c r="DB1650" s="6"/>
      <c r="DC1650" s="6"/>
      <c r="DD1650" s="6"/>
    </row>
    <row r="1651" spans="1:108" ht="12.75" hidden="1" customHeight="1" outlineLevel="6">
      <c r="A1651" s="104" t="s">
        <v>135</v>
      </c>
      <c r="B1651" s="28">
        <v>1</v>
      </c>
      <c r="C1651" s="11"/>
      <c r="D1651" s="18" t="str">
        <f>"&lt;" &amp; A1651 &amp; "&gt;" &amp; TEXT(B1651,0) &amp; "&lt;/" &amp; A1651 &amp; "&gt;"</f>
        <v>&lt;NumInterpXsecs&gt;1&lt;/NumInterpXsecs&gt;</v>
      </c>
      <c r="E1651" s="175"/>
      <c r="F1651" s="6" t="s">
        <v>716</v>
      </c>
      <c r="G1651" s="6"/>
      <c r="H1651" s="6"/>
      <c r="I1651" s="6"/>
      <c r="J1651" s="6"/>
      <c r="K1651" s="6"/>
      <c r="L1651" s="6"/>
      <c r="M1651" s="6"/>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c r="BU1651" s="6"/>
      <c r="BV1651" s="6"/>
      <c r="BW1651" s="6"/>
      <c r="BX1651" s="6"/>
      <c r="BY1651" s="6"/>
      <c r="BZ1651" s="6"/>
      <c r="CA1651" s="6"/>
      <c r="CB1651" s="6"/>
      <c r="CC1651" s="6"/>
      <c r="CD1651" s="6"/>
      <c r="CE1651" s="6"/>
      <c r="CF1651" s="6"/>
      <c r="CG1651" s="6"/>
      <c r="CH1651" s="6"/>
      <c r="CI1651" s="6"/>
      <c r="CJ1651" s="6"/>
      <c r="CK1651" s="6"/>
      <c r="CL1651" s="6"/>
      <c r="CM1651" s="6"/>
      <c r="CN1651" s="6"/>
      <c r="CO1651" s="6"/>
      <c r="CP1651" s="6"/>
      <c r="CQ1651" s="6"/>
      <c r="CR1651" s="6"/>
      <c r="CS1651" s="6"/>
      <c r="CT1651" s="6"/>
      <c r="CU1651" s="6"/>
      <c r="CV1651" s="6"/>
      <c r="CW1651" s="6"/>
      <c r="CX1651" s="6"/>
      <c r="CY1651" s="6"/>
      <c r="CZ1651" s="6"/>
      <c r="DA1651" s="6"/>
      <c r="DB1651" s="6"/>
      <c r="DC1651" s="6"/>
      <c r="DD1651" s="6"/>
    </row>
    <row r="1652" spans="1:108" ht="12.75" hidden="1" customHeight="1" outlineLevel="6">
      <c r="A1652" s="104" t="s">
        <v>136</v>
      </c>
      <c r="B1652" s="100"/>
      <c r="C1652" s="11"/>
      <c r="D1652" s="6" t="str">
        <f>"&lt;" &amp; A1652 &amp; "&gt;"</f>
        <v>&lt;/Section&gt;</v>
      </c>
      <c r="E1652" s="175"/>
      <c r="F1652" s="6" t="s">
        <v>717</v>
      </c>
      <c r="G1652" s="6"/>
      <c r="H1652" s="6"/>
      <c r="I1652" s="6"/>
      <c r="J1652" s="6"/>
      <c r="K1652" s="6"/>
      <c r="L1652" s="6"/>
      <c r="M1652" s="6"/>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c r="BU1652" s="6"/>
      <c r="BV1652" s="6"/>
      <c r="BW1652" s="6"/>
      <c r="BX1652" s="6"/>
      <c r="BY1652" s="6"/>
      <c r="BZ1652" s="6"/>
      <c r="CA1652" s="6"/>
      <c r="CB1652" s="6"/>
      <c r="CC1652" s="6"/>
      <c r="CD1652" s="6"/>
      <c r="CE1652" s="6"/>
      <c r="CF1652" s="6"/>
      <c r="CG1652" s="6"/>
      <c r="CH1652" s="6"/>
      <c r="CI1652" s="6"/>
      <c r="CJ1652" s="6"/>
      <c r="CK1652" s="6"/>
      <c r="CL1652" s="6"/>
      <c r="CM1652" s="6"/>
      <c r="CN1652" s="6"/>
      <c r="CO1652" s="6"/>
      <c r="CP1652" s="6"/>
      <c r="CQ1652" s="6"/>
      <c r="CR1652" s="6"/>
      <c r="CS1652" s="6"/>
      <c r="CT1652" s="6"/>
      <c r="CU1652" s="6"/>
      <c r="CV1652" s="6"/>
      <c r="CW1652" s="6"/>
      <c r="CX1652" s="6"/>
      <c r="CY1652" s="6"/>
      <c r="CZ1652" s="6"/>
      <c r="DA1652" s="6"/>
      <c r="DB1652" s="6"/>
      <c r="DC1652" s="6"/>
      <c r="DD1652" s="6"/>
    </row>
    <row r="1653" spans="1:108" ht="12.75" hidden="1" customHeight="1" outlineLevel="5">
      <c r="A1653" s="104" t="s">
        <v>137</v>
      </c>
      <c r="B1653" s="100"/>
      <c r="C1653" s="11"/>
      <c r="D1653" s="6" t="str">
        <f>"&lt;" &amp; A1653 &amp; "&gt;"</f>
        <v>&lt;/Section_List&gt;</v>
      </c>
      <c r="E1653" s="175"/>
      <c r="F1653" s="6" t="s">
        <v>718</v>
      </c>
      <c r="G1653" s="6"/>
      <c r="H1653" s="6"/>
      <c r="I1653" s="6"/>
      <c r="J1653" s="6"/>
      <c r="K1653" s="6"/>
      <c r="L1653" s="6"/>
      <c r="M1653" s="6"/>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c r="BU1653" s="6"/>
      <c r="BV1653" s="6"/>
      <c r="BW1653" s="6"/>
      <c r="BX1653" s="6"/>
      <c r="BY1653" s="6"/>
      <c r="BZ1653" s="6"/>
      <c r="CA1653" s="6"/>
      <c r="CB1653" s="6"/>
      <c r="CC1653" s="6"/>
      <c r="CD1653" s="6"/>
      <c r="CE1653" s="6"/>
      <c r="CF1653" s="6"/>
      <c r="CG1653" s="6"/>
      <c r="CH1653" s="6"/>
      <c r="CI1653" s="6"/>
      <c r="CJ1653" s="6"/>
      <c r="CK1653" s="6"/>
      <c r="CL1653" s="6"/>
      <c r="CM1653" s="6"/>
      <c r="CN1653" s="6"/>
      <c r="CO1653" s="6"/>
      <c r="CP1653" s="6"/>
      <c r="CQ1653" s="6"/>
      <c r="CR1653" s="6"/>
      <c r="CS1653" s="6"/>
      <c r="CT1653" s="6"/>
      <c r="CU1653" s="6"/>
      <c r="CV1653" s="6"/>
      <c r="CW1653" s="6"/>
      <c r="CX1653" s="6"/>
      <c r="CY1653" s="6"/>
      <c r="CZ1653" s="6"/>
      <c r="DA1653" s="6"/>
      <c r="DB1653" s="6"/>
      <c r="DC1653" s="6"/>
      <c r="DD1653" s="6"/>
    </row>
    <row r="1654" spans="1:108" ht="12.75" hidden="1" customHeight="1" outlineLevel="4">
      <c r="A1654" s="104" t="s">
        <v>138</v>
      </c>
      <c r="B1654" s="100"/>
      <c r="C1654" s="11" t="str">
        <f>C1525</f>
        <v>Yes</v>
      </c>
      <c r="D1654" s="133" t="str">
        <f>IF(C1654="Yes",("&lt;"&amp;A1654&amp;"&gt;"),("&lt;"&amp;A1654&amp;"--&gt;"))</f>
        <v>&lt;/Component&gt;</v>
      </c>
      <c r="E1654" s="175"/>
      <c r="F1654" s="6" t="s">
        <v>27</v>
      </c>
      <c r="G1654" s="6"/>
      <c r="H1654" s="6"/>
      <c r="I1654" s="6"/>
      <c r="J1654" s="6"/>
      <c r="K1654" s="6"/>
      <c r="L1654" s="6"/>
      <c r="M1654" s="6"/>
      <c r="N1654" s="6"/>
      <c r="O1654" s="6"/>
      <c r="P1654" s="6"/>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c r="BU1654" s="6"/>
      <c r="BV1654" s="6"/>
      <c r="BW1654" s="6"/>
      <c r="BX1654" s="6"/>
      <c r="BY1654" s="6"/>
      <c r="BZ1654" s="6"/>
      <c r="CA1654" s="6"/>
      <c r="CB1654" s="6"/>
      <c r="CC1654" s="6"/>
      <c r="CD1654" s="6"/>
      <c r="CE1654" s="6"/>
      <c r="CF1654" s="6"/>
      <c r="CG1654" s="6"/>
      <c r="CH1654" s="6"/>
      <c r="CI1654" s="6"/>
      <c r="CJ1654" s="6"/>
      <c r="CK1654" s="6"/>
      <c r="CL1654" s="6"/>
      <c r="CM1654" s="6"/>
      <c r="CN1654" s="6"/>
      <c r="CO1654" s="6"/>
      <c r="CP1654" s="6"/>
      <c r="CQ1654" s="6"/>
      <c r="CR1654" s="6"/>
      <c r="CS1654" s="6"/>
      <c r="CT1654" s="6"/>
      <c r="CU1654" s="6"/>
      <c r="CV1654" s="6"/>
      <c r="CW1654" s="6"/>
      <c r="CX1654" s="6"/>
      <c r="CY1654" s="6"/>
      <c r="CZ1654" s="6"/>
      <c r="DA1654" s="6"/>
      <c r="DB1654" s="6"/>
      <c r="DC1654" s="6"/>
      <c r="DD1654" s="6"/>
    </row>
    <row r="1655" spans="1:108" ht="12.75" hidden="1" customHeight="1" outlineLevel="3" collapsed="1">
      <c r="A1655" s="104" t="s">
        <v>40</v>
      </c>
      <c r="B1655" s="110" t="s">
        <v>543</v>
      </c>
      <c r="C1655" s="2" t="str">
        <f>IF(AND(C1210="Yes",C1357="Yes"),"No","Yes")</f>
        <v>Yes</v>
      </c>
      <c r="D1655" s="6" t="str">
        <f>IF(C1655="Yes",("&lt;"&amp;A1655&amp;"&gt;"),("&lt;!--"&amp;A1655&amp;"&gt;"))</f>
        <v>&lt;Component&gt;</v>
      </c>
      <c r="E1655" s="175"/>
      <c r="F1655" s="6" t="s">
        <v>283</v>
      </c>
      <c r="G1655" s="6"/>
      <c r="H1655" s="6"/>
      <c r="I1655" s="6"/>
      <c r="J1655" s="6"/>
      <c r="K1655" s="6"/>
      <c r="L1655" s="6"/>
      <c r="M1655" s="6"/>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c r="BU1655" s="6"/>
      <c r="BV1655" s="6"/>
      <c r="BW1655" s="6"/>
      <c r="BX1655" s="6"/>
      <c r="BY1655" s="6"/>
      <c r="BZ1655" s="6"/>
      <c r="CA1655" s="6"/>
      <c r="CB1655" s="6"/>
      <c r="CC1655" s="6"/>
      <c r="CD1655" s="6"/>
      <c r="CE1655" s="6"/>
      <c r="CF1655" s="6"/>
      <c r="CG1655" s="6"/>
      <c r="CH1655" s="6"/>
      <c r="CI1655" s="6"/>
      <c r="CJ1655" s="6"/>
      <c r="CK1655" s="6"/>
      <c r="CL1655" s="6"/>
      <c r="CM1655" s="6"/>
      <c r="CN1655" s="6"/>
      <c r="CO1655" s="6"/>
      <c r="CP1655" s="6"/>
      <c r="CQ1655" s="6"/>
      <c r="CR1655" s="6"/>
      <c r="CS1655" s="6"/>
      <c r="CT1655" s="6"/>
      <c r="CU1655" s="6"/>
      <c r="CV1655" s="6"/>
      <c r="CW1655" s="6"/>
      <c r="CX1655" s="6"/>
      <c r="CY1655" s="6"/>
      <c r="CZ1655" s="6"/>
      <c r="DA1655" s="6"/>
      <c r="DB1655" s="6"/>
      <c r="DC1655" s="6"/>
      <c r="DD1655" s="6"/>
    </row>
    <row r="1656" spans="1:108" ht="12.75" hidden="1" customHeight="1" outlineLevel="4">
      <c r="A1656" s="104" t="s">
        <v>14</v>
      </c>
      <c r="B1656" s="100" t="s">
        <v>226</v>
      </c>
      <c r="C1656" s="11"/>
      <c r="D1656" s="18" t="str">
        <f>"&lt;" &amp; A1656 &amp; "&gt;" &amp; TEXT(B1656,"0.000000") &amp; "&lt;/" &amp; A1656 &amp; "&gt;"</f>
        <v>&lt;Type&gt;Engine&lt;/Type&gt;</v>
      </c>
      <c r="E1656" s="175"/>
      <c r="F1656" s="6" t="s">
        <v>859</v>
      </c>
      <c r="G1656" s="6"/>
      <c r="H1656" s="6"/>
      <c r="I1656" s="6"/>
      <c r="J1656" s="6"/>
      <c r="K1656" s="6"/>
      <c r="L1656" s="6"/>
      <c r="M1656" s="6"/>
      <c r="N1656" s="6"/>
      <c r="O1656" s="6"/>
      <c r="P1656" s="6"/>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c r="BU1656" s="6"/>
      <c r="BV1656" s="6"/>
      <c r="BW1656" s="6"/>
      <c r="BX1656" s="6"/>
      <c r="BY1656" s="6"/>
      <c r="BZ1656" s="6"/>
      <c r="CA1656" s="6"/>
      <c r="CB1656" s="6"/>
      <c r="CC1656" s="6"/>
      <c r="CD1656" s="6"/>
      <c r="CE1656" s="6"/>
      <c r="CF1656" s="6"/>
      <c r="CG1656" s="6"/>
      <c r="CH1656" s="6"/>
      <c r="CI1656" s="6"/>
      <c r="CJ1656" s="6"/>
      <c r="CK1656" s="6"/>
      <c r="CL1656" s="6"/>
      <c r="CM1656" s="6"/>
      <c r="CN1656" s="6"/>
      <c r="CO1656" s="6"/>
      <c r="CP1656" s="6"/>
      <c r="CQ1656" s="6"/>
      <c r="CR1656" s="6"/>
      <c r="CS1656" s="6"/>
      <c r="CT1656" s="6"/>
      <c r="CU1656" s="6"/>
      <c r="CV1656" s="6"/>
      <c r="CW1656" s="6"/>
      <c r="CX1656" s="6"/>
      <c r="CY1656" s="6"/>
      <c r="CZ1656" s="6"/>
      <c r="DA1656" s="6"/>
      <c r="DB1656" s="6"/>
      <c r="DC1656" s="6"/>
      <c r="DD1656" s="6"/>
    </row>
    <row r="1657" spans="1:108" ht="12.75" hidden="1" customHeight="1" outlineLevel="4" collapsed="1">
      <c r="A1657" s="104" t="s">
        <v>42</v>
      </c>
      <c r="B1657" s="100"/>
      <c r="C1657" s="11"/>
      <c r="D1657" s="6" t="str">
        <f>"&lt;" &amp; A1657 &amp; "&gt;"</f>
        <v>&lt;General_Parms&gt;</v>
      </c>
      <c r="E1657" s="175"/>
      <c r="F1657" s="6" t="s">
        <v>622</v>
      </c>
      <c r="G1657" s="6"/>
      <c r="H1657" s="6"/>
      <c r="I1657" s="6"/>
      <c r="J1657" s="6"/>
      <c r="K1657" s="6"/>
      <c r="L1657" s="6"/>
      <c r="M1657" s="6"/>
      <c r="N1657" s="6"/>
      <c r="O1657" s="6"/>
      <c r="P1657" s="6"/>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c r="BU1657" s="6"/>
      <c r="BV1657" s="6"/>
      <c r="BW1657" s="6"/>
      <c r="BX1657" s="6"/>
      <c r="BY1657" s="6"/>
      <c r="BZ1657" s="6"/>
      <c r="CA1657" s="6"/>
      <c r="CB1657" s="6"/>
      <c r="CC1657" s="6"/>
      <c r="CD1657" s="6"/>
      <c r="CE1657" s="6"/>
      <c r="CF1657" s="6"/>
      <c r="CG1657" s="6"/>
      <c r="CH1657" s="6"/>
      <c r="CI1657" s="6"/>
      <c r="CJ1657" s="6"/>
      <c r="CK1657" s="6"/>
      <c r="CL1657" s="6"/>
      <c r="CM1657" s="6"/>
      <c r="CN1657" s="6"/>
      <c r="CO1657" s="6"/>
      <c r="CP1657" s="6"/>
      <c r="CQ1657" s="6"/>
      <c r="CR1657" s="6"/>
      <c r="CS1657" s="6"/>
      <c r="CT1657" s="6"/>
      <c r="CU1657" s="6"/>
      <c r="CV1657" s="6"/>
      <c r="CW1657" s="6"/>
      <c r="CX1657" s="6"/>
      <c r="CY1657" s="6"/>
      <c r="CZ1657" s="6"/>
      <c r="DA1657" s="6"/>
      <c r="DB1657" s="6"/>
      <c r="DC1657" s="6"/>
      <c r="DD1657" s="6"/>
    </row>
    <row r="1658" spans="1:108" ht="12.75" hidden="1" customHeight="1" outlineLevel="5">
      <c r="A1658" s="104" t="s">
        <v>1</v>
      </c>
      <c r="B1658" s="100" t="s">
        <v>265</v>
      </c>
      <c r="C1658" s="11"/>
      <c r="D1658" s="18" t="str">
        <f>"&lt;" &amp; A1658 &amp; "&gt;" &amp; TEXT(B1658,"0.000000") &amp; "&lt;/" &amp; A1658 &amp; "&gt;"</f>
        <v>&lt;Name&gt;fan_section&lt;/Name&gt;</v>
      </c>
      <c r="E1658" s="175"/>
      <c r="F1658" s="6" t="s">
        <v>948</v>
      </c>
      <c r="G1658" s="6"/>
      <c r="H1658" s="6"/>
      <c r="I1658" s="6"/>
      <c r="J1658" s="6"/>
      <c r="K1658" s="6"/>
      <c r="L1658" s="6"/>
      <c r="M1658" s="6"/>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c r="BU1658" s="6"/>
      <c r="BV1658" s="6"/>
      <c r="BW1658" s="6"/>
      <c r="BX1658" s="6"/>
      <c r="BY1658" s="6"/>
      <c r="BZ1658" s="6"/>
      <c r="CA1658" s="6"/>
      <c r="CB1658" s="6"/>
      <c r="CC1658" s="6"/>
      <c r="CD1658" s="6"/>
      <c r="CE1658" s="6"/>
      <c r="CF1658" s="6"/>
      <c r="CG1658" s="6"/>
      <c r="CH1658" s="6"/>
      <c r="CI1658" s="6"/>
      <c r="CJ1658" s="6"/>
      <c r="CK1658" s="6"/>
      <c r="CL1658" s="6"/>
      <c r="CM1658" s="6"/>
      <c r="CN1658" s="6"/>
      <c r="CO1658" s="6"/>
      <c r="CP1658" s="6"/>
      <c r="CQ1658" s="6"/>
      <c r="CR1658" s="6"/>
      <c r="CS1658" s="6"/>
      <c r="CT1658" s="6"/>
      <c r="CU1658" s="6"/>
      <c r="CV1658" s="6"/>
      <c r="CW1658" s="6"/>
      <c r="CX1658" s="6"/>
      <c r="CY1658" s="6"/>
      <c r="CZ1658" s="6"/>
      <c r="DA1658" s="6"/>
      <c r="DB1658" s="6"/>
      <c r="DC1658" s="6"/>
      <c r="DD1658" s="6"/>
    </row>
    <row r="1659" spans="1:108" ht="12.75" hidden="1" customHeight="1" outlineLevel="5">
      <c r="A1659" s="104" t="s">
        <v>43</v>
      </c>
      <c r="B1659" s="28">
        <v>0</v>
      </c>
      <c r="C1659" s="11"/>
      <c r="D1659" s="18" t="str">
        <f>"&lt;" &amp; A1659 &amp; "&gt;" &amp; TEXT(B1659,"0.000000") &amp; "&lt;/" &amp; A1659 &amp; "&gt;"</f>
        <v>&lt;ColorR&gt;0.000000&lt;/ColorR&gt;</v>
      </c>
      <c r="E1659" s="175"/>
      <c r="F1659" s="6" t="s">
        <v>845</v>
      </c>
      <c r="G1659" s="6"/>
      <c r="H1659" s="6"/>
      <c r="I1659" s="6"/>
      <c r="J1659" s="6"/>
      <c r="K1659" s="6"/>
      <c r="L1659" s="6"/>
      <c r="M1659" s="6"/>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c r="BU1659" s="6"/>
      <c r="BV1659" s="6"/>
      <c r="BW1659" s="6"/>
      <c r="BX1659" s="6"/>
      <c r="BY1659" s="6"/>
      <c r="BZ1659" s="6"/>
      <c r="CA1659" s="6"/>
      <c r="CB1659" s="6"/>
      <c r="CC1659" s="6"/>
      <c r="CD1659" s="6"/>
      <c r="CE1659" s="6"/>
      <c r="CF1659" s="6"/>
      <c r="CG1659" s="6"/>
      <c r="CH1659" s="6"/>
      <c r="CI1659" s="6"/>
      <c r="CJ1659" s="6"/>
      <c r="CK1659" s="6"/>
      <c r="CL1659" s="6"/>
      <c r="CM1659" s="6"/>
      <c r="CN1659" s="6"/>
      <c r="CO1659" s="6"/>
      <c r="CP1659" s="6"/>
      <c r="CQ1659" s="6"/>
      <c r="CR1659" s="6"/>
      <c r="CS1659" s="6"/>
      <c r="CT1659" s="6"/>
      <c r="CU1659" s="6"/>
      <c r="CV1659" s="6"/>
      <c r="CW1659" s="6"/>
      <c r="CX1659" s="6"/>
      <c r="CY1659" s="6"/>
      <c r="CZ1659" s="6"/>
      <c r="DA1659" s="6"/>
      <c r="DB1659" s="6"/>
      <c r="DC1659" s="6"/>
      <c r="DD1659" s="6"/>
    </row>
    <row r="1660" spans="1:108" ht="12.75" hidden="1" customHeight="1" outlineLevel="5">
      <c r="A1660" s="104" t="s">
        <v>44</v>
      </c>
      <c r="B1660" s="28">
        <v>0</v>
      </c>
      <c r="C1660" s="11"/>
      <c r="D1660" s="18" t="str">
        <f>"&lt;" &amp; A1660 &amp; "&gt;" &amp; TEXT(B1660,"0.000000") &amp; "&lt;/" &amp; A1660 &amp; "&gt;"</f>
        <v>&lt;ColorG&gt;0.000000&lt;/ColorG&gt;</v>
      </c>
      <c r="E1660" s="175"/>
      <c r="F1660" s="6" t="s">
        <v>625</v>
      </c>
      <c r="G1660" s="6"/>
      <c r="H1660" s="6"/>
      <c r="I1660" s="6"/>
      <c r="J1660" s="6"/>
      <c r="K1660" s="6"/>
      <c r="L1660" s="6"/>
      <c r="M1660" s="6"/>
      <c r="N1660" s="6"/>
      <c r="O1660" s="6"/>
      <c r="P1660" s="6"/>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c r="BU1660" s="6"/>
      <c r="BV1660" s="6"/>
      <c r="BW1660" s="6"/>
      <c r="BX1660" s="6"/>
      <c r="BY1660" s="6"/>
      <c r="BZ1660" s="6"/>
      <c r="CA1660" s="6"/>
      <c r="CB1660" s="6"/>
      <c r="CC1660" s="6"/>
      <c r="CD1660" s="6"/>
      <c r="CE1660" s="6"/>
      <c r="CF1660" s="6"/>
      <c r="CG1660" s="6"/>
      <c r="CH1660" s="6"/>
      <c r="CI1660" s="6"/>
      <c r="CJ1660" s="6"/>
      <c r="CK1660" s="6"/>
      <c r="CL1660" s="6"/>
      <c r="CM1660" s="6"/>
      <c r="CN1660" s="6"/>
      <c r="CO1660" s="6"/>
      <c r="CP1660" s="6"/>
      <c r="CQ1660" s="6"/>
      <c r="CR1660" s="6"/>
      <c r="CS1660" s="6"/>
      <c r="CT1660" s="6"/>
      <c r="CU1660" s="6"/>
      <c r="CV1660" s="6"/>
      <c r="CW1660" s="6"/>
      <c r="CX1660" s="6"/>
      <c r="CY1660" s="6"/>
      <c r="CZ1660" s="6"/>
      <c r="DA1660" s="6"/>
      <c r="DB1660" s="6"/>
      <c r="DC1660" s="6"/>
      <c r="DD1660" s="6"/>
    </row>
    <row r="1661" spans="1:108" ht="12.75" hidden="1" customHeight="1" outlineLevel="5">
      <c r="A1661" s="104" t="s">
        <v>45</v>
      </c>
      <c r="B1661" s="28">
        <v>255</v>
      </c>
      <c r="C1661" s="11"/>
      <c r="D1661" s="18" t="str">
        <f>"&lt;" &amp; A1661 &amp; "&gt;" &amp; TEXT(B1661,"0.000000") &amp; "&lt;/" &amp; A1661 &amp; "&gt;"</f>
        <v>&lt;ColorB&gt;255.000000&lt;/ColorB&gt;</v>
      </c>
      <c r="E1661" s="175"/>
      <c r="F1661" s="6" t="s">
        <v>846</v>
      </c>
      <c r="G1661" s="6"/>
      <c r="H1661" s="6"/>
      <c r="I1661" s="6"/>
      <c r="J1661" s="6"/>
      <c r="K1661" s="6"/>
      <c r="L1661" s="6"/>
      <c r="M1661" s="6"/>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c r="BU1661" s="6"/>
      <c r="BV1661" s="6"/>
      <c r="BW1661" s="6"/>
      <c r="BX1661" s="6"/>
      <c r="BY1661" s="6"/>
      <c r="BZ1661" s="6"/>
      <c r="CA1661" s="6"/>
      <c r="CB1661" s="6"/>
      <c r="CC1661" s="6"/>
      <c r="CD1661" s="6"/>
      <c r="CE1661" s="6"/>
      <c r="CF1661" s="6"/>
      <c r="CG1661" s="6"/>
      <c r="CH1661" s="6"/>
      <c r="CI1661" s="6"/>
      <c r="CJ1661" s="6"/>
      <c r="CK1661" s="6"/>
      <c r="CL1661" s="6"/>
      <c r="CM1661" s="6"/>
      <c r="CN1661" s="6"/>
      <c r="CO1661" s="6"/>
      <c r="CP1661" s="6"/>
      <c r="CQ1661" s="6"/>
      <c r="CR1661" s="6"/>
      <c r="CS1661" s="6"/>
      <c r="CT1661" s="6"/>
      <c r="CU1661" s="6"/>
      <c r="CV1661" s="6"/>
      <c r="CW1661" s="6"/>
      <c r="CX1661" s="6"/>
      <c r="CY1661" s="6"/>
      <c r="CZ1661" s="6"/>
      <c r="DA1661" s="6"/>
      <c r="DB1661" s="6"/>
      <c r="DC1661" s="6"/>
      <c r="DD1661" s="6"/>
    </row>
    <row r="1662" spans="1:108" ht="12.75" hidden="1" customHeight="1" outlineLevel="5">
      <c r="A1662" s="104" t="s">
        <v>46</v>
      </c>
      <c r="B1662" s="28">
        <v>0</v>
      </c>
      <c r="C1662" s="11"/>
      <c r="D1662" s="18" t="str">
        <f t="shared" ref="D1662:D1671" si="88">"&lt;" &amp; A1662 &amp; "&gt;" &amp; TEXT(B1662,0) &amp; "&lt;/" &amp; A1662 &amp; "&gt;"</f>
        <v>&lt;Symmetry&gt;0&lt;/Symmetry&gt;</v>
      </c>
      <c r="E1662" s="175"/>
      <c r="F1662" s="6" t="s">
        <v>720</v>
      </c>
      <c r="G1662" s="6"/>
      <c r="H1662" s="6"/>
      <c r="I1662" s="6"/>
      <c r="J1662" s="6"/>
      <c r="K1662" s="6"/>
      <c r="L1662" s="6"/>
      <c r="M1662" s="6"/>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c r="BU1662" s="6"/>
      <c r="BV1662" s="6"/>
      <c r="BW1662" s="6"/>
      <c r="BX1662" s="6"/>
      <c r="BY1662" s="6"/>
      <c r="BZ1662" s="6"/>
      <c r="CA1662" s="6"/>
      <c r="CB1662" s="6"/>
      <c r="CC1662" s="6"/>
      <c r="CD1662" s="6"/>
      <c r="CE1662" s="6"/>
      <c r="CF1662" s="6"/>
      <c r="CG1662" s="6"/>
      <c r="CH1662" s="6"/>
      <c r="CI1662" s="6"/>
      <c r="CJ1662" s="6"/>
      <c r="CK1662" s="6"/>
      <c r="CL1662" s="6"/>
      <c r="CM1662" s="6"/>
      <c r="CN1662" s="6"/>
      <c r="CO1662" s="6"/>
      <c r="CP1662" s="6"/>
      <c r="CQ1662" s="6"/>
      <c r="CR1662" s="6"/>
      <c r="CS1662" s="6"/>
      <c r="CT1662" s="6"/>
      <c r="CU1662" s="6"/>
      <c r="CV1662" s="6"/>
      <c r="CW1662" s="6"/>
      <c r="CX1662" s="6"/>
      <c r="CY1662" s="6"/>
      <c r="CZ1662" s="6"/>
      <c r="DA1662" s="6"/>
      <c r="DB1662" s="6"/>
      <c r="DC1662" s="6"/>
      <c r="DD1662" s="6"/>
    </row>
    <row r="1663" spans="1:108" ht="12.75" hidden="1" customHeight="1" outlineLevel="5">
      <c r="A1663" s="104" t="s">
        <v>47</v>
      </c>
      <c r="B1663" s="28">
        <v>0</v>
      </c>
      <c r="C1663" s="11"/>
      <c r="D1663" s="18" t="str">
        <f t="shared" si="88"/>
        <v>&lt;RelXFormFlag&gt;0&lt;/RelXFormFlag&gt;</v>
      </c>
      <c r="E1663" s="175"/>
      <c r="F1663" s="6" t="s">
        <v>628</v>
      </c>
      <c r="G1663" s="6"/>
      <c r="H1663" s="6"/>
      <c r="I1663" s="6"/>
      <c r="J1663" s="6"/>
      <c r="K1663" s="6"/>
      <c r="L1663" s="6"/>
      <c r="M1663" s="6"/>
      <c r="N1663" s="6"/>
      <c r="O1663" s="6"/>
      <c r="P1663" s="6"/>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c r="BU1663" s="6"/>
      <c r="BV1663" s="6"/>
      <c r="BW1663" s="6"/>
      <c r="BX1663" s="6"/>
      <c r="BY1663" s="6"/>
      <c r="BZ1663" s="6"/>
      <c r="CA1663" s="6"/>
      <c r="CB1663" s="6"/>
      <c r="CC1663" s="6"/>
      <c r="CD1663" s="6"/>
      <c r="CE1663" s="6"/>
      <c r="CF1663" s="6"/>
      <c r="CG1663" s="6"/>
      <c r="CH1663" s="6"/>
      <c r="CI1663" s="6"/>
      <c r="CJ1663" s="6"/>
      <c r="CK1663" s="6"/>
      <c r="CL1663" s="6"/>
      <c r="CM1663" s="6"/>
      <c r="CN1663" s="6"/>
      <c r="CO1663" s="6"/>
      <c r="CP1663" s="6"/>
      <c r="CQ1663" s="6"/>
      <c r="CR1663" s="6"/>
      <c r="CS1663" s="6"/>
      <c r="CT1663" s="6"/>
      <c r="CU1663" s="6"/>
      <c r="CV1663" s="6"/>
      <c r="CW1663" s="6"/>
      <c r="CX1663" s="6"/>
      <c r="CY1663" s="6"/>
      <c r="CZ1663" s="6"/>
      <c r="DA1663" s="6"/>
      <c r="DB1663" s="6"/>
      <c r="DC1663" s="6"/>
      <c r="DD1663" s="6"/>
    </row>
    <row r="1664" spans="1:108" ht="12.75" hidden="1" customHeight="1" outlineLevel="5">
      <c r="A1664" s="104" t="s">
        <v>48</v>
      </c>
      <c r="B1664" s="28">
        <v>2</v>
      </c>
      <c r="C1664" s="11"/>
      <c r="D1664" s="18" t="str">
        <f t="shared" si="88"/>
        <v>&lt;MaterialID&gt;2&lt;/MaterialID&gt;</v>
      </c>
      <c r="E1664" s="175"/>
      <c r="F1664" s="6" t="s">
        <v>861</v>
      </c>
      <c r="G1664" s="6"/>
      <c r="H1664" s="6"/>
      <c r="I1664" s="6"/>
      <c r="J1664" s="6"/>
      <c r="K1664" s="6"/>
      <c r="L1664" s="6"/>
      <c r="M1664" s="6"/>
      <c r="N1664" s="6"/>
      <c r="O1664" s="6"/>
      <c r="P1664" s="6"/>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c r="BU1664" s="6"/>
      <c r="BV1664" s="6"/>
      <c r="BW1664" s="6"/>
      <c r="BX1664" s="6"/>
      <c r="BY1664" s="6"/>
      <c r="BZ1664" s="6"/>
      <c r="CA1664" s="6"/>
      <c r="CB1664" s="6"/>
      <c r="CC1664" s="6"/>
      <c r="CD1664" s="6"/>
      <c r="CE1664" s="6"/>
      <c r="CF1664" s="6"/>
      <c r="CG1664" s="6"/>
      <c r="CH1664" s="6"/>
      <c r="CI1664" s="6"/>
      <c r="CJ1664" s="6"/>
      <c r="CK1664" s="6"/>
      <c r="CL1664" s="6"/>
      <c r="CM1664" s="6"/>
      <c r="CN1664" s="6"/>
      <c r="CO1664" s="6"/>
      <c r="CP1664" s="6"/>
      <c r="CQ1664" s="6"/>
      <c r="CR1664" s="6"/>
      <c r="CS1664" s="6"/>
      <c r="CT1664" s="6"/>
      <c r="CU1664" s="6"/>
      <c r="CV1664" s="6"/>
      <c r="CW1664" s="6"/>
      <c r="CX1664" s="6"/>
      <c r="CY1664" s="6"/>
      <c r="CZ1664" s="6"/>
      <c r="DA1664" s="6"/>
      <c r="DB1664" s="6"/>
      <c r="DC1664" s="6"/>
      <c r="DD1664" s="6"/>
    </row>
    <row r="1665" spans="1:108" ht="12.75" hidden="1" customHeight="1" outlineLevel="5">
      <c r="A1665" s="104" t="s">
        <v>49</v>
      </c>
      <c r="B1665" s="28">
        <v>1</v>
      </c>
      <c r="C1665" s="11"/>
      <c r="D1665" s="18" t="str">
        <f t="shared" si="88"/>
        <v>&lt;OutputFlag&gt;1&lt;/OutputFlag&gt;</v>
      </c>
      <c r="E1665" s="175"/>
      <c r="F1665" s="6" t="s">
        <v>630</v>
      </c>
      <c r="G1665" s="6"/>
      <c r="H1665" s="6"/>
      <c r="I1665" s="6"/>
      <c r="J1665" s="6"/>
      <c r="K1665" s="6"/>
      <c r="L1665" s="6"/>
      <c r="M1665" s="6"/>
      <c r="N1665" s="6"/>
      <c r="O1665" s="6"/>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c r="BU1665" s="6"/>
      <c r="BV1665" s="6"/>
      <c r="BW1665" s="6"/>
      <c r="BX1665" s="6"/>
      <c r="BY1665" s="6"/>
      <c r="BZ1665" s="6"/>
      <c r="CA1665" s="6"/>
      <c r="CB1665" s="6"/>
      <c r="CC1665" s="6"/>
      <c r="CD1665" s="6"/>
      <c r="CE1665" s="6"/>
      <c r="CF1665" s="6"/>
      <c r="CG1665" s="6"/>
      <c r="CH1665" s="6"/>
      <c r="CI1665" s="6"/>
      <c r="CJ1665" s="6"/>
      <c r="CK1665" s="6"/>
      <c r="CL1665" s="6"/>
      <c r="CM1665" s="6"/>
      <c r="CN1665" s="6"/>
      <c r="CO1665" s="6"/>
      <c r="CP1665" s="6"/>
      <c r="CQ1665" s="6"/>
      <c r="CR1665" s="6"/>
      <c r="CS1665" s="6"/>
      <c r="CT1665" s="6"/>
      <c r="CU1665" s="6"/>
      <c r="CV1665" s="6"/>
      <c r="CW1665" s="6"/>
      <c r="CX1665" s="6"/>
      <c r="CY1665" s="6"/>
      <c r="CZ1665" s="6"/>
      <c r="DA1665" s="6"/>
      <c r="DB1665" s="6"/>
      <c r="DC1665" s="6"/>
      <c r="DD1665" s="6"/>
    </row>
    <row r="1666" spans="1:108" ht="12.75" hidden="1" customHeight="1" outlineLevel="5">
      <c r="A1666" s="104" t="s">
        <v>50</v>
      </c>
      <c r="B1666" s="28">
        <v>0</v>
      </c>
      <c r="C1666" s="11"/>
      <c r="D1666" s="18" t="str">
        <f t="shared" si="88"/>
        <v>&lt;OutputNameID&gt;0&lt;/OutputNameID&gt;</v>
      </c>
      <c r="E1666" s="175"/>
      <c r="F1666" s="6" t="s">
        <v>631</v>
      </c>
      <c r="G1666" s="6"/>
      <c r="H1666" s="6"/>
      <c r="I1666" s="6"/>
      <c r="J1666" s="6"/>
      <c r="K1666" s="6"/>
      <c r="L1666" s="6"/>
      <c r="M1666" s="6"/>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c r="BU1666" s="6"/>
      <c r="BV1666" s="6"/>
      <c r="BW1666" s="6"/>
      <c r="BX1666" s="6"/>
      <c r="BY1666" s="6"/>
      <c r="BZ1666" s="6"/>
      <c r="CA1666" s="6"/>
      <c r="CB1666" s="6"/>
      <c r="CC1666" s="6"/>
      <c r="CD1666" s="6"/>
      <c r="CE1666" s="6"/>
      <c r="CF1666" s="6"/>
      <c r="CG1666" s="6"/>
      <c r="CH1666" s="6"/>
      <c r="CI1666" s="6"/>
      <c r="CJ1666" s="6"/>
      <c r="CK1666" s="6"/>
      <c r="CL1666" s="6"/>
      <c r="CM1666" s="6"/>
      <c r="CN1666" s="6"/>
      <c r="CO1666" s="6"/>
      <c r="CP1666" s="6"/>
      <c r="CQ1666" s="6"/>
      <c r="CR1666" s="6"/>
      <c r="CS1666" s="6"/>
      <c r="CT1666" s="6"/>
      <c r="CU1666" s="6"/>
      <c r="CV1666" s="6"/>
      <c r="CW1666" s="6"/>
      <c r="CX1666" s="6"/>
      <c r="CY1666" s="6"/>
      <c r="CZ1666" s="6"/>
      <c r="DA1666" s="6"/>
      <c r="DB1666" s="6"/>
      <c r="DC1666" s="6"/>
      <c r="DD1666" s="6"/>
    </row>
    <row r="1667" spans="1:108" ht="12.75" hidden="1" customHeight="1" outlineLevel="5">
      <c r="A1667" s="104" t="s">
        <v>51</v>
      </c>
      <c r="B1667" s="28">
        <v>1</v>
      </c>
      <c r="C1667" s="11"/>
      <c r="D1667" s="18" t="str">
        <f t="shared" si="88"/>
        <v>&lt;DisplayChildrenFlag&gt;1&lt;/DisplayChildrenFlag&gt;</v>
      </c>
      <c r="E1667" s="175"/>
      <c r="F1667" s="6" t="s">
        <v>632</v>
      </c>
      <c r="G1667" s="6"/>
      <c r="H1667" s="6"/>
      <c r="I1667" s="6"/>
      <c r="J1667" s="6"/>
      <c r="K1667" s="6"/>
      <c r="L1667" s="6"/>
      <c r="M1667" s="6"/>
      <c r="N1667" s="6"/>
      <c r="O1667" s="6"/>
      <c r="P1667" s="6"/>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c r="BU1667" s="6"/>
      <c r="BV1667" s="6"/>
      <c r="BW1667" s="6"/>
      <c r="BX1667" s="6"/>
      <c r="BY1667" s="6"/>
      <c r="BZ1667" s="6"/>
      <c r="CA1667" s="6"/>
      <c r="CB1667" s="6"/>
      <c r="CC1667" s="6"/>
      <c r="CD1667" s="6"/>
      <c r="CE1667" s="6"/>
      <c r="CF1667" s="6"/>
      <c r="CG1667" s="6"/>
      <c r="CH1667" s="6"/>
      <c r="CI1667" s="6"/>
      <c r="CJ1667" s="6"/>
      <c r="CK1667" s="6"/>
      <c r="CL1667" s="6"/>
      <c r="CM1667" s="6"/>
      <c r="CN1667" s="6"/>
      <c r="CO1667" s="6"/>
      <c r="CP1667" s="6"/>
      <c r="CQ1667" s="6"/>
      <c r="CR1667" s="6"/>
      <c r="CS1667" s="6"/>
      <c r="CT1667" s="6"/>
      <c r="CU1667" s="6"/>
      <c r="CV1667" s="6"/>
      <c r="CW1667" s="6"/>
      <c r="CX1667" s="6"/>
      <c r="CY1667" s="6"/>
      <c r="CZ1667" s="6"/>
      <c r="DA1667" s="6"/>
      <c r="DB1667" s="6"/>
      <c r="DC1667" s="6"/>
      <c r="DD1667" s="6"/>
    </row>
    <row r="1668" spans="1:108" ht="12.75" hidden="1" customHeight="1" outlineLevel="5">
      <c r="A1668" s="104" t="s">
        <v>52</v>
      </c>
      <c r="B1668" s="28">
        <v>21</v>
      </c>
      <c r="C1668" s="11"/>
      <c r="D1668" s="18" t="str">
        <f t="shared" si="88"/>
        <v>&lt;NumPnts&gt;21&lt;/NumPnts&gt;</v>
      </c>
      <c r="E1668" s="175"/>
      <c r="F1668" s="6" t="s">
        <v>633</v>
      </c>
      <c r="G1668" s="6"/>
      <c r="H1668" s="6"/>
      <c r="I1668" s="6"/>
      <c r="J1668" s="6"/>
      <c r="K1668" s="6"/>
      <c r="L1668" s="6"/>
      <c r="M1668" s="6"/>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c r="BU1668" s="6"/>
      <c r="BV1668" s="6"/>
      <c r="BW1668" s="6"/>
      <c r="BX1668" s="6"/>
      <c r="BY1668" s="6"/>
      <c r="BZ1668" s="6"/>
      <c r="CA1668" s="6"/>
      <c r="CB1668" s="6"/>
      <c r="CC1668" s="6"/>
      <c r="CD1668" s="6"/>
      <c r="CE1668" s="6"/>
      <c r="CF1668" s="6"/>
      <c r="CG1668" s="6"/>
      <c r="CH1668" s="6"/>
      <c r="CI1668" s="6"/>
      <c r="CJ1668" s="6"/>
      <c r="CK1668" s="6"/>
      <c r="CL1668" s="6"/>
      <c r="CM1668" s="6"/>
      <c r="CN1668" s="6"/>
      <c r="CO1668" s="6"/>
      <c r="CP1668" s="6"/>
      <c r="CQ1668" s="6"/>
      <c r="CR1668" s="6"/>
      <c r="CS1668" s="6"/>
      <c r="CT1668" s="6"/>
      <c r="CU1668" s="6"/>
      <c r="CV1668" s="6"/>
      <c r="CW1668" s="6"/>
      <c r="CX1668" s="6"/>
      <c r="CY1668" s="6"/>
      <c r="CZ1668" s="6"/>
      <c r="DA1668" s="6"/>
      <c r="DB1668" s="6"/>
      <c r="DC1668" s="6"/>
      <c r="DD1668" s="6"/>
    </row>
    <row r="1669" spans="1:108" ht="12.75" hidden="1" customHeight="1" outlineLevel="5">
      <c r="A1669" s="104" t="s">
        <v>53</v>
      </c>
      <c r="B1669" s="28">
        <v>11</v>
      </c>
      <c r="C1669" s="11"/>
      <c r="D1669" s="18" t="str">
        <f t="shared" si="88"/>
        <v>&lt;NumXsecs&gt;11&lt;/NumXsecs&gt;</v>
      </c>
      <c r="E1669" s="175"/>
      <c r="F1669" s="6" t="s">
        <v>732</v>
      </c>
      <c r="G1669" s="6"/>
      <c r="H1669" s="6"/>
      <c r="I1669" s="6"/>
      <c r="J1669" s="6"/>
      <c r="K1669" s="6"/>
      <c r="L1669" s="6"/>
      <c r="M1669" s="6"/>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c r="BU1669" s="6"/>
      <c r="BV1669" s="6"/>
      <c r="BW1669" s="6"/>
      <c r="BX1669" s="6"/>
      <c r="BY1669" s="6"/>
      <c r="BZ1669" s="6"/>
      <c r="CA1669" s="6"/>
      <c r="CB1669" s="6"/>
      <c r="CC1669" s="6"/>
      <c r="CD1669" s="6"/>
      <c r="CE1669" s="6"/>
      <c r="CF1669" s="6"/>
      <c r="CG1669" s="6"/>
      <c r="CH1669" s="6"/>
      <c r="CI1669" s="6"/>
      <c r="CJ1669" s="6"/>
      <c r="CK1669" s="6"/>
      <c r="CL1669" s="6"/>
      <c r="CM1669" s="6"/>
      <c r="CN1669" s="6"/>
      <c r="CO1669" s="6"/>
      <c r="CP1669" s="6"/>
      <c r="CQ1669" s="6"/>
      <c r="CR1669" s="6"/>
      <c r="CS1669" s="6"/>
      <c r="CT1669" s="6"/>
      <c r="CU1669" s="6"/>
      <c r="CV1669" s="6"/>
      <c r="CW1669" s="6"/>
      <c r="CX1669" s="6"/>
      <c r="CY1669" s="6"/>
      <c r="CZ1669" s="6"/>
      <c r="DA1669" s="6"/>
      <c r="DB1669" s="6"/>
      <c r="DC1669" s="6"/>
      <c r="DD1669" s="6"/>
    </row>
    <row r="1670" spans="1:108" ht="12.75" hidden="1" customHeight="1" outlineLevel="5">
      <c r="A1670" s="104" t="s">
        <v>54</v>
      </c>
      <c r="B1670" s="28">
        <v>0</v>
      </c>
      <c r="C1670" s="11"/>
      <c r="D1670" s="18" t="str">
        <f t="shared" si="88"/>
        <v>&lt;MassPrior&gt;0&lt;/MassPrior&gt;</v>
      </c>
      <c r="E1670" s="175"/>
      <c r="F1670" s="6" t="s">
        <v>635</v>
      </c>
      <c r="G1670" s="6"/>
      <c r="H1670" s="6"/>
      <c r="I1670" s="6"/>
      <c r="J1670" s="6"/>
      <c r="K1670" s="6"/>
      <c r="L1670" s="6"/>
      <c r="M1670" s="6"/>
      <c r="N1670" s="6"/>
      <c r="O1670" s="6"/>
      <c r="P1670" s="6"/>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c r="BU1670" s="6"/>
      <c r="BV1670" s="6"/>
      <c r="BW1670" s="6"/>
      <c r="BX1670" s="6"/>
      <c r="BY1670" s="6"/>
      <c r="BZ1670" s="6"/>
      <c r="CA1670" s="6"/>
      <c r="CB1670" s="6"/>
      <c r="CC1670" s="6"/>
      <c r="CD1670" s="6"/>
      <c r="CE1670" s="6"/>
      <c r="CF1670" s="6"/>
      <c r="CG1670" s="6"/>
      <c r="CH1670" s="6"/>
      <c r="CI1670" s="6"/>
      <c r="CJ1670" s="6"/>
      <c r="CK1670" s="6"/>
      <c r="CL1670" s="6"/>
      <c r="CM1670" s="6"/>
      <c r="CN1670" s="6"/>
      <c r="CO1670" s="6"/>
      <c r="CP1670" s="6"/>
      <c r="CQ1670" s="6"/>
      <c r="CR1670" s="6"/>
      <c r="CS1670" s="6"/>
      <c r="CT1670" s="6"/>
      <c r="CU1670" s="6"/>
      <c r="CV1670" s="6"/>
      <c r="CW1670" s="6"/>
      <c r="CX1670" s="6"/>
      <c r="CY1670" s="6"/>
      <c r="CZ1670" s="6"/>
      <c r="DA1670" s="6"/>
      <c r="DB1670" s="6"/>
      <c r="DC1670" s="6"/>
      <c r="DD1670" s="6"/>
    </row>
    <row r="1671" spans="1:108" ht="12.75" hidden="1" customHeight="1" outlineLevel="5">
      <c r="A1671" s="104" t="s">
        <v>55</v>
      </c>
      <c r="B1671" s="28">
        <v>0</v>
      </c>
      <c r="C1671" s="11"/>
      <c r="D1671" s="18" t="str">
        <f t="shared" si="88"/>
        <v>&lt;ShellFlag&gt;0&lt;/ShellFlag&gt;</v>
      </c>
      <c r="E1671" s="175"/>
      <c r="F1671" s="6" t="s">
        <v>636</v>
      </c>
      <c r="G1671" s="6"/>
      <c r="H1671" s="6"/>
      <c r="I1671" s="6"/>
      <c r="J1671" s="6"/>
      <c r="K1671" s="6"/>
      <c r="L1671" s="6"/>
      <c r="M1671" s="6"/>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c r="BU1671" s="6"/>
      <c r="BV1671" s="6"/>
      <c r="BW1671" s="6"/>
      <c r="BX1671" s="6"/>
      <c r="BY1671" s="6"/>
      <c r="BZ1671" s="6"/>
      <c r="CA1671" s="6"/>
      <c r="CB1671" s="6"/>
      <c r="CC1671" s="6"/>
      <c r="CD1671" s="6"/>
      <c r="CE1671" s="6"/>
      <c r="CF1671" s="6"/>
      <c r="CG1671" s="6"/>
      <c r="CH1671" s="6"/>
      <c r="CI1671" s="6"/>
      <c r="CJ1671" s="6"/>
      <c r="CK1671" s="6"/>
      <c r="CL1671" s="6"/>
      <c r="CM1671" s="6"/>
      <c r="CN1671" s="6"/>
      <c r="CO1671" s="6"/>
      <c r="CP1671" s="6"/>
      <c r="CQ1671" s="6"/>
      <c r="CR1671" s="6"/>
      <c r="CS1671" s="6"/>
      <c r="CT1671" s="6"/>
      <c r="CU1671" s="6"/>
      <c r="CV1671" s="6"/>
      <c r="CW1671" s="6"/>
      <c r="CX1671" s="6"/>
      <c r="CY1671" s="6"/>
      <c r="CZ1671" s="6"/>
      <c r="DA1671" s="6"/>
      <c r="DB1671" s="6"/>
      <c r="DC1671" s="6"/>
      <c r="DD1671" s="6"/>
    </row>
    <row r="1672" spans="1:108" ht="12.75" hidden="1" customHeight="1" outlineLevel="5">
      <c r="A1672" s="104" t="s">
        <v>56</v>
      </c>
      <c r="B1672" s="28">
        <v>0</v>
      </c>
      <c r="C1672" s="11"/>
      <c r="D1672" s="18" t="str">
        <f t="shared" ref="D1672:D1686" si="89">"&lt;" &amp; A1672 &amp; "&gt;" &amp; TEXT(B1672,"0.000000") &amp; "&lt;/" &amp; A1672 &amp; "&gt;"</f>
        <v>&lt;Tran_X&gt;0.000000&lt;/Tran_X&gt;</v>
      </c>
      <c r="E1672" s="175"/>
      <c r="F1672" s="6" t="s">
        <v>759</v>
      </c>
      <c r="G1672" s="6"/>
      <c r="H1672" s="6"/>
      <c r="I1672" s="6"/>
      <c r="J1672" s="6"/>
      <c r="K1672" s="6"/>
      <c r="L1672" s="6"/>
      <c r="M1672" s="6"/>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c r="BU1672" s="6"/>
      <c r="BV1672" s="6"/>
      <c r="BW1672" s="6"/>
      <c r="BX1672" s="6"/>
      <c r="BY1672" s="6"/>
      <c r="BZ1672" s="6"/>
      <c r="CA1672" s="6"/>
      <c r="CB1672" s="6"/>
      <c r="CC1672" s="6"/>
      <c r="CD1672" s="6"/>
      <c r="CE1672" s="6"/>
      <c r="CF1672" s="6"/>
      <c r="CG1672" s="6"/>
      <c r="CH1672" s="6"/>
      <c r="CI1672" s="6"/>
      <c r="CJ1672" s="6"/>
      <c r="CK1672" s="6"/>
      <c r="CL1672" s="6"/>
      <c r="CM1672" s="6"/>
      <c r="CN1672" s="6"/>
      <c r="CO1672" s="6"/>
      <c r="CP1672" s="6"/>
      <c r="CQ1672" s="6"/>
      <c r="CR1672" s="6"/>
      <c r="CS1672" s="6"/>
      <c r="CT1672" s="6"/>
      <c r="CU1672" s="6"/>
      <c r="CV1672" s="6"/>
      <c r="CW1672" s="6"/>
      <c r="CX1672" s="6"/>
      <c r="CY1672" s="6"/>
      <c r="CZ1672" s="6"/>
      <c r="DA1672" s="6"/>
      <c r="DB1672" s="6"/>
      <c r="DC1672" s="6"/>
      <c r="DD1672" s="6"/>
    </row>
    <row r="1673" spans="1:108" ht="12.75" hidden="1" customHeight="1" outlineLevel="5">
      <c r="A1673" s="104" t="s">
        <v>57</v>
      </c>
      <c r="B1673" s="28">
        <v>0</v>
      </c>
      <c r="C1673" s="11"/>
      <c r="D1673" s="18" t="str">
        <f t="shared" si="89"/>
        <v>&lt;Tran_Y&gt;0.000000&lt;/Tran_Y&gt;</v>
      </c>
      <c r="E1673" s="175"/>
      <c r="F1673" s="6" t="s">
        <v>638</v>
      </c>
      <c r="G1673" s="6"/>
      <c r="H1673" s="6"/>
      <c r="I1673" s="6"/>
      <c r="J1673" s="6"/>
      <c r="K1673" s="6"/>
      <c r="L1673" s="6"/>
      <c r="M1673" s="6"/>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c r="BU1673" s="6"/>
      <c r="BV1673" s="6"/>
      <c r="BW1673" s="6"/>
      <c r="BX1673" s="6"/>
      <c r="BY1673" s="6"/>
      <c r="BZ1673" s="6"/>
      <c r="CA1673" s="6"/>
      <c r="CB1673" s="6"/>
      <c r="CC1673" s="6"/>
      <c r="CD1673" s="6"/>
      <c r="CE1673" s="6"/>
      <c r="CF1673" s="6"/>
      <c r="CG1673" s="6"/>
      <c r="CH1673" s="6"/>
      <c r="CI1673" s="6"/>
      <c r="CJ1673" s="6"/>
      <c r="CK1673" s="6"/>
      <c r="CL1673" s="6"/>
      <c r="CM1673" s="6"/>
      <c r="CN1673" s="6"/>
      <c r="CO1673" s="6"/>
      <c r="CP1673" s="6"/>
      <c r="CQ1673" s="6"/>
      <c r="CR1673" s="6"/>
      <c r="CS1673" s="6"/>
      <c r="CT1673" s="6"/>
      <c r="CU1673" s="6"/>
      <c r="CV1673" s="6"/>
      <c r="CW1673" s="6"/>
      <c r="CX1673" s="6"/>
      <c r="CY1673" s="6"/>
      <c r="CZ1673" s="6"/>
      <c r="DA1673" s="6"/>
      <c r="DB1673" s="6"/>
      <c r="DC1673" s="6"/>
      <c r="DD1673" s="6"/>
    </row>
    <row r="1674" spans="1:108" ht="12.75" hidden="1" customHeight="1" outlineLevel="5">
      <c r="A1674" s="104" t="s">
        <v>58</v>
      </c>
      <c r="B1674" s="28">
        <v>0</v>
      </c>
      <c r="C1674" s="11"/>
      <c r="D1674" s="18" t="str">
        <f t="shared" si="89"/>
        <v>&lt;Tran_Z&gt;0.000000&lt;/Tran_Z&gt;</v>
      </c>
      <c r="E1674" s="175"/>
      <c r="F1674" s="6" t="s">
        <v>760</v>
      </c>
      <c r="G1674" s="6"/>
      <c r="H1674" s="6"/>
      <c r="I1674" s="6"/>
      <c r="J1674" s="6"/>
      <c r="K1674" s="6"/>
      <c r="L1674" s="6"/>
      <c r="M1674" s="6"/>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c r="BU1674" s="6"/>
      <c r="BV1674" s="6"/>
      <c r="BW1674" s="6"/>
      <c r="BX1674" s="6"/>
      <c r="BY1674" s="6"/>
      <c r="BZ1674" s="6"/>
      <c r="CA1674" s="6"/>
      <c r="CB1674" s="6"/>
      <c r="CC1674" s="6"/>
      <c r="CD1674" s="6"/>
      <c r="CE1674" s="6"/>
      <c r="CF1674" s="6"/>
      <c r="CG1674" s="6"/>
      <c r="CH1674" s="6"/>
      <c r="CI1674" s="6"/>
      <c r="CJ1674" s="6"/>
      <c r="CK1674" s="6"/>
      <c r="CL1674" s="6"/>
      <c r="CM1674" s="6"/>
      <c r="CN1674" s="6"/>
      <c r="CO1674" s="6"/>
      <c r="CP1674" s="6"/>
      <c r="CQ1674" s="6"/>
      <c r="CR1674" s="6"/>
      <c r="CS1674" s="6"/>
      <c r="CT1674" s="6"/>
      <c r="CU1674" s="6"/>
      <c r="CV1674" s="6"/>
      <c r="CW1674" s="6"/>
      <c r="CX1674" s="6"/>
      <c r="CY1674" s="6"/>
      <c r="CZ1674" s="6"/>
      <c r="DA1674" s="6"/>
      <c r="DB1674" s="6"/>
      <c r="DC1674" s="6"/>
      <c r="DD1674" s="6"/>
    </row>
    <row r="1675" spans="1:108" ht="12.75" hidden="1" customHeight="1" outlineLevel="5">
      <c r="A1675" s="104" t="s">
        <v>59</v>
      </c>
      <c r="B1675" s="28">
        <v>0</v>
      </c>
      <c r="C1675" s="11"/>
      <c r="D1675" s="18" t="str">
        <f t="shared" si="89"/>
        <v>&lt;TranRel_X&gt;0.000000&lt;/TranRel_X&gt;</v>
      </c>
      <c r="E1675" s="175"/>
      <c r="F1675" s="6" t="s">
        <v>639</v>
      </c>
      <c r="G1675" s="6"/>
      <c r="H1675" s="6"/>
      <c r="I1675" s="6"/>
      <c r="J1675" s="6"/>
      <c r="K1675" s="6"/>
      <c r="L1675" s="6"/>
      <c r="M1675" s="6"/>
      <c r="N1675" s="6"/>
      <c r="O1675" s="6"/>
      <c r="P1675" s="6"/>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c r="BU1675" s="6"/>
      <c r="BV1675" s="6"/>
      <c r="BW1675" s="6"/>
      <c r="BX1675" s="6"/>
      <c r="BY1675" s="6"/>
      <c r="BZ1675" s="6"/>
      <c r="CA1675" s="6"/>
      <c r="CB1675" s="6"/>
      <c r="CC1675" s="6"/>
      <c r="CD1675" s="6"/>
      <c r="CE1675" s="6"/>
      <c r="CF1675" s="6"/>
      <c r="CG1675" s="6"/>
      <c r="CH1675" s="6"/>
      <c r="CI1675" s="6"/>
      <c r="CJ1675" s="6"/>
      <c r="CK1675" s="6"/>
      <c r="CL1675" s="6"/>
      <c r="CM1675" s="6"/>
      <c r="CN1675" s="6"/>
      <c r="CO1675" s="6"/>
      <c r="CP1675" s="6"/>
      <c r="CQ1675" s="6"/>
      <c r="CR1675" s="6"/>
      <c r="CS1675" s="6"/>
      <c r="CT1675" s="6"/>
      <c r="CU1675" s="6"/>
      <c r="CV1675" s="6"/>
      <c r="CW1675" s="6"/>
      <c r="CX1675" s="6"/>
      <c r="CY1675" s="6"/>
      <c r="CZ1675" s="6"/>
      <c r="DA1675" s="6"/>
      <c r="DB1675" s="6"/>
      <c r="DC1675" s="6"/>
      <c r="DD1675" s="6"/>
    </row>
    <row r="1676" spans="1:108" ht="12.75" hidden="1" customHeight="1" outlineLevel="5">
      <c r="A1676" s="104" t="s">
        <v>60</v>
      </c>
      <c r="B1676" s="28">
        <v>0</v>
      </c>
      <c r="C1676" s="11"/>
      <c r="D1676" s="18" t="str">
        <f t="shared" si="89"/>
        <v>&lt;TranRel_Y&gt;0.000000&lt;/TranRel_Y&gt;</v>
      </c>
      <c r="E1676" s="175"/>
      <c r="F1676" s="6" t="s">
        <v>640</v>
      </c>
      <c r="G1676" s="6"/>
      <c r="H1676" s="6"/>
      <c r="I1676" s="6"/>
      <c r="J1676" s="6"/>
      <c r="K1676" s="6"/>
      <c r="L1676" s="6"/>
      <c r="M1676" s="6"/>
      <c r="N1676" s="6"/>
      <c r="O1676" s="6"/>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c r="BU1676" s="6"/>
      <c r="BV1676" s="6"/>
      <c r="BW1676" s="6"/>
      <c r="BX1676" s="6"/>
      <c r="BY1676" s="6"/>
      <c r="BZ1676" s="6"/>
      <c r="CA1676" s="6"/>
      <c r="CB1676" s="6"/>
      <c r="CC1676" s="6"/>
      <c r="CD1676" s="6"/>
      <c r="CE1676" s="6"/>
      <c r="CF1676" s="6"/>
      <c r="CG1676" s="6"/>
      <c r="CH1676" s="6"/>
      <c r="CI1676" s="6"/>
      <c r="CJ1676" s="6"/>
      <c r="CK1676" s="6"/>
      <c r="CL1676" s="6"/>
      <c r="CM1676" s="6"/>
      <c r="CN1676" s="6"/>
      <c r="CO1676" s="6"/>
      <c r="CP1676" s="6"/>
      <c r="CQ1676" s="6"/>
      <c r="CR1676" s="6"/>
      <c r="CS1676" s="6"/>
      <c r="CT1676" s="6"/>
      <c r="CU1676" s="6"/>
      <c r="CV1676" s="6"/>
      <c r="CW1676" s="6"/>
      <c r="CX1676" s="6"/>
      <c r="CY1676" s="6"/>
      <c r="CZ1676" s="6"/>
      <c r="DA1676" s="6"/>
      <c r="DB1676" s="6"/>
      <c r="DC1676" s="6"/>
      <c r="DD1676" s="6"/>
    </row>
    <row r="1677" spans="1:108" ht="12.75" hidden="1" customHeight="1" outlineLevel="5">
      <c r="A1677" s="104" t="s">
        <v>61</v>
      </c>
      <c r="B1677" s="28">
        <v>0</v>
      </c>
      <c r="C1677" s="11"/>
      <c r="D1677" s="18" t="str">
        <f t="shared" si="89"/>
        <v>&lt;TranRel_Z&gt;0.000000&lt;/TranRel_Z&gt;</v>
      </c>
      <c r="E1677" s="175"/>
      <c r="F1677" s="6" t="s">
        <v>641</v>
      </c>
      <c r="G1677" s="6"/>
      <c r="H1677" s="6"/>
      <c r="I1677" s="6"/>
      <c r="J1677" s="6"/>
      <c r="K1677" s="6"/>
      <c r="L1677" s="6"/>
      <c r="M1677" s="6"/>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c r="BU1677" s="6"/>
      <c r="BV1677" s="6"/>
      <c r="BW1677" s="6"/>
      <c r="BX1677" s="6"/>
      <c r="BY1677" s="6"/>
      <c r="BZ1677" s="6"/>
      <c r="CA1677" s="6"/>
      <c r="CB1677" s="6"/>
      <c r="CC1677" s="6"/>
      <c r="CD1677" s="6"/>
      <c r="CE1677" s="6"/>
      <c r="CF1677" s="6"/>
      <c r="CG1677" s="6"/>
      <c r="CH1677" s="6"/>
      <c r="CI1677" s="6"/>
      <c r="CJ1677" s="6"/>
      <c r="CK1677" s="6"/>
      <c r="CL1677" s="6"/>
      <c r="CM1677" s="6"/>
      <c r="CN1677" s="6"/>
      <c r="CO1677" s="6"/>
      <c r="CP1677" s="6"/>
      <c r="CQ1677" s="6"/>
      <c r="CR1677" s="6"/>
      <c r="CS1677" s="6"/>
      <c r="CT1677" s="6"/>
      <c r="CU1677" s="6"/>
      <c r="CV1677" s="6"/>
      <c r="CW1677" s="6"/>
      <c r="CX1677" s="6"/>
      <c r="CY1677" s="6"/>
      <c r="CZ1677" s="6"/>
      <c r="DA1677" s="6"/>
      <c r="DB1677" s="6"/>
      <c r="DC1677" s="6"/>
      <c r="DD1677" s="6"/>
    </row>
    <row r="1678" spans="1:108" ht="12.75" hidden="1" customHeight="1" outlineLevel="5">
      <c r="A1678" s="104" t="s">
        <v>62</v>
      </c>
      <c r="B1678" s="28">
        <v>0</v>
      </c>
      <c r="C1678" s="11"/>
      <c r="D1678" s="18" t="str">
        <f t="shared" si="89"/>
        <v>&lt;Rot_X&gt;0.000000&lt;/Rot_X&gt;</v>
      </c>
      <c r="E1678" s="175"/>
      <c r="F1678" s="6" t="s">
        <v>642</v>
      </c>
      <c r="G1678" s="6"/>
      <c r="H1678" s="6"/>
      <c r="I1678" s="6"/>
      <c r="J1678" s="6"/>
      <c r="K1678" s="6"/>
      <c r="L1678" s="6"/>
      <c r="M1678" s="6"/>
      <c r="N1678" s="6"/>
      <c r="O1678" s="6"/>
      <c r="P1678" s="6"/>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c r="BU1678" s="6"/>
      <c r="BV1678" s="6"/>
      <c r="BW1678" s="6"/>
      <c r="BX1678" s="6"/>
      <c r="BY1678" s="6"/>
      <c r="BZ1678" s="6"/>
      <c r="CA1678" s="6"/>
      <c r="CB1678" s="6"/>
      <c r="CC1678" s="6"/>
      <c r="CD1678" s="6"/>
      <c r="CE1678" s="6"/>
      <c r="CF1678" s="6"/>
      <c r="CG1678" s="6"/>
      <c r="CH1678" s="6"/>
      <c r="CI1678" s="6"/>
      <c r="CJ1678" s="6"/>
      <c r="CK1678" s="6"/>
      <c r="CL1678" s="6"/>
      <c r="CM1678" s="6"/>
      <c r="CN1678" s="6"/>
      <c r="CO1678" s="6"/>
      <c r="CP1678" s="6"/>
      <c r="CQ1678" s="6"/>
      <c r="CR1678" s="6"/>
      <c r="CS1678" s="6"/>
      <c r="CT1678" s="6"/>
      <c r="CU1678" s="6"/>
      <c r="CV1678" s="6"/>
      <c r="CW1678" s="6"/>
      <c r="CX1678" s="6"/>
      <c r="CY1678" s="6"/>
      <c r="CZ1678" s="6"/>
      <c r="DA1678" s="6"/>
      <c r="DB1678" s="6"/>
      <c r="DC1678" s="6"/>
      <c r="DD1678" s="6"/>
    </row>
    <row r="1679" spans="1:108" ht="12.75" hidden="1" customHeight="1" outlineLevel="5">
      <c r="A1679" s="104" t="s">
        <v>63</v>
      </c>
      <c r="B1679" s="28">
        <v>0</v>
      </c>
      <c r="C1679" s="11"/>
      <c r="D1679" s="18" t="str">
        <f t="shared" si="89"/>
        <v>&lt;Rot_Y&gt;0.000000&lt;/Rot_Y&gt;</v>
      </c>
      <c r="E1679" s="175"/>
      <c r="F1679" s="6" t="s">
        <v>643</v>
      </c>
      <c r="G1679" s="6"/>
      <c r="H1679" s="6"/>
      <c r="I1679" s="6"/>
      <c r="J1679" s="6"/>
      <c r="K1679" s="6"/>
      <c r="L1679" s="6"/>
      <c r="M1679" s="6"/>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c r="BU1679" s="6"/>
      <c r="BV1679" s="6"/>
      <c r="BW1679" s="6"/>
      <c r="BX1679" s="6"/>
      <c r="BY1679" s="6"/>
      <c r="BZ1679" s="6"/>
      <c r="CA1679" s="6"/>
      <c r="CB1679" s="6"/>
      <c r="CC1679" s="6"/>
      <c r="CD1679" s="6"/>
      <c r="CE1679" s="6"/>
      <c r="CF1679" s="6"/>
      <c r="CG1679" s="6"/>
      <c r="CH1679" s="6"/>
      <c r="CI1679" s="6"/>
      <c r="CJ1679" s="6"/>
      <c r="CK1679" s="6"/>
      <c r="CL1679" s="6"/>
      <c r="CM1679" s="6"/>
      <c r="CN1679" s="6"/>
      <c r="CO1679" s="6"/>
      <c r="CP1679" s="6"/>
      <c r="CQ1679" s="6"/>
      <c r="CR1679" s="6"/>
      <c r="CS1679" s="6"/>
      <c r="CT1679" s="6"/>
      <c r="CU1679" s="6"/>
      <c r="CV1679" s="6"/>
      <c r="CW1679" s="6"/>
      <c r="CX1679" s="6"/>
      <c r="CY1679" s="6"/>
      <c r="CZ1679" s="6"/>
      <c r="DA1679" s="6"/>
      <c r="DB1679" s="6"/>
      <c r="DC1679" s="6"/>
      <c r="DD1679" s="6"/>
    </row>
    <row r="1680" spans="1:108" ht="12.75" hidden="1" customHeight="1" outlineLevel="5">
      <c r="A1680" s="104" t="s">
        <v>64</v>
      </c>
      <c r="B1680" s="28">
        <v>0</v>
      </c>
      <c r="C1680" s="11"/>
      <c r="D1680" s="18" t="str">
        <f t="shared" si="89"/>
        <v>&lt;Rot_Z&gt;0.000000&lt;/Rot_Z&gt;</v>
      </c>
      <c r="E1680" s="175"/>
      <c r="F1680" s="6" t="s">
        <v>644</v>
      </c>
      <c r="G1680" s="6"/>
      <c r="H1680" s="6"/>
      <c r="I1680" s="6"/>
      <c r="J1680" s="6"/>
      <c r="K1680" s="6"/>
      <c r="L1680" s="6"/>
      <c r="M1680" s="6"/>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c r="BU1680" s="6"/>
      <c r="BV1680" s="6"/>
      <c r="BW1680" s="6"/>
      <c r="BX1680" s="6"/>
      <c r="BY1680" s="6"/>
      <c r="BZ1680" s="6"/>
      <c r="CA1680" s="6"/>
      <c r="CB1680" s="6"/>
      <c r="CC1680" s="6"/>
      <c r="CD1680" s="6"/>
      <c r="CE1680" s="6"/>
      <c r="CF1680" s="6"/>
      <c r="CG1680" s="6"/>
      <c r="CH1680" s="6"/>
      <c r="CI1680" s="6"/>
      <c r="CJ1680" s="6"/>
      <c r="CK1680" s="6"/>
      <c r="CL1680" s="6"/>
      <c r="CM1680" s="6"/>
      <c r="CN1680" s="6"/>
      <c r="CO1680" s="6"/>
      <c r="CP1680" s="6"/>
      <c r="CQ1680" s="6"/>
      <c r="CR1680" s="6"/>
      <c r="CS1680" s="6"/>
      <c r="CT1680" s="6"/>
      <c r="CU1680" s="6"/>
      <c r="CV1680" s="6"/>
      <c r="CW1680" s="6"/>
      <c r="CX1680" s="6"/>
      <c r="CY1680" s="6"/>
      <c r="CZ1680" s="6"/>
      <c r="DA1680" s="6"/>
      <c r="DB1680" s="6"/>
      <c r="DC1680" s="6"/>
      <c r="DD1680" s="6"/>
    </row>
    <row r="1681" spans="1:108" ht="12.75" hidden="1" customHeight="1" outlineLevel="5">
      <c r="A1681" s="104" t="s">
        <v>65</v>
      </c>
      <c r="B1681" s="28">
        <v>0</v>
      </c>
      <c r="C1681" s="11"/>
      <c r="D1681" s="18" t="str">
        <f t="shared" si="89"/>
        <v>&lt;RotRel_X&gt;0.000000&lt;/RotRel_X&gt;</v>
      </c>
      <c r="E1681" s="175"/>
      <c r="F1681" s="6" t="s">
        <v>645</v>
      </c>
      <c r="G1681" s="6"/>
      <c r="H1681" s="6"/>
      <c r="I1681" s="6"/>
      <c r="J1681" s="6"/>
      <c r="K1681" s="6"/>
      <c r="L1681" s="6"/>
      <c r="M1681" s="6"/>
      <c r="N1681" s="6"/>
      <c r="O1681" s="6"/>
      <c r="P1681" s="6"/>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c r="BU1681" s="6"/>
      <c r="BV1681" s="6"/>
      <c r="BW1681" s="6"/>
      <c r="BX1681" s="6"/>
      <c r="BY1681" s="6"/>
      <c r="BZ1681" s="6"/>
      <c r="CA1681" s="6"/>
      <c r="CB1681" s="6"/>
      <c r="CC1681" s="6"/>
      <c r="CD1681" s="6"/>
      <c r="CE1681" s="6"/>
      <c r="CF1681" s="6"/>
      <c r="CG1681" s="6"/>
      <c r="CH1681" s="6"/>
      <c r="CI1681" s="6"/>
      <c r="CJ1681" s="6"/>
      <c r="CK1681" s="6"/>
      <c r="CL1681" s="6"/>
      <c r="CM1681" s="6"/>
      <c r="CN1681" s="6"/>
      <c r="CO1681" s="6"/>
      <c r="CP1681" s="6"/>
      <c r="CQ1681" s="6"/>
      <c r="CR1681" s="6"/>
      <c r="CS1681" s="6"/>
      <c r="CT1681" s="6"/>
      <c r="CU1681" s="6"/>
      <c r="CV1681" s="6"/>
      <c r="CW1681" s="6"/>
      <c r="CX1681" s="6"/>
      <c r="CY1681" s="6"/>
      <c r="CZ1681" s="6"/>
      <c r="DA1681" s="6"/>
      <c r="DB1681" s="6"/>
      <c r="DC1681" s="6"/>
      <c r="DD1681" s="6"/>
    </row>
    <row r="1682" spans="1:108" ht="12.75" hidden="1" customHeight="1" outlineLevel="5">
      <c r="A1682" s="104" t="s">
        <v>66</v>
      </c>
      <c r="B1682" s="28">
        <v>0</v>
      </c>
      <c r="C1682" s="11"/>
      <c r="D1682" s="18" t="str">
        <f t="shared" si="89"/>
        <v>&lt;RotRel_Y&gt;0.000000&lt;/RotRel_Y&gt;</v>
      </c>
      <c r="E1682" s="175"/>
      <c r="F1682" s="6" t="s">
        <v>646</v>
      </c>
      <c r="G1682" s="6"/>
      <c r="H1682" s="6"/>
      <c r="I1682" s="6"/>
      <c r="J1682" s="6"/>
      <c r="K1682" s="6"/>
      <c r="L1682" s="6"/>
      <c r="M1682" s="6"/>
      <c r="N1682" s="6"/>
      <c r="O1682" s="6"/>
      <c r="P1682" s="6"/>
      <c r="Q1682" s="6"/>
      <c r="R1682" s="6"/>
      <c r="S1682" s="6"/>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c r="BU1682" s="6"/>
      <c r="BV1682" s="6"/>
      <c r="BW1682" s="6"/>
      <c r="BX1682" s="6"/>
      <c r="BY1682" s="6"/>
      <c r="BZ1682" s="6"/>
      <c r="CA1682" s="6"/>
      <c r="CB1682" s="6"/>
      <c r="CC1682" s="6"/>
      <c r="CD1682" s="6"/>
      <c r="CE1682" s="6"/>
      <c r="CF1682" s="6"/>
      <c r="CG1682" s="6"/>
      <c r="CH1682" s="6"/>
      <c r="CI1682" s="6"/>
      <c r="CJ1682" s="6"/>
      <c r="CK1682" s="6"/>
      <c r="CL1682" s="6"/>
      <c r="CM1682" s="6"/>
      <c r="CN1682" s="6"/>
      <c r="CO1682" s="6"/>
      <c r="CP1682" s="6"/>
      <c r="CQ1682" s="6"/>
      <c r="CR1682" s="6"/>
      <c r="CS1682" s="6"/>
      <c r="CT1682" s="6"/>
      <c r="CU1682" s="6"/>
      <c r="CV1682" s="6"/>
      <c r="CW1682" s="6"/>
      <c r="CX1682" s="6"/>
      <c r="CY1682" s="6"/>
      <c r="CZ1682" s="6"/>
      <c r="DA1682" s="6"/>
      <c r="DB1682" s="6"/>
      <c r="DC1682" s="6"/>
      <c r="DD1682" s="6"/>
    </row>
    <row r="1683" spans="1:108" ht="12.75" hidden="1" customHeight="1" outlineLevel="5">
      <c r="A1683" s="104" t="s">
        <v>67</v>
      </c>
      <c r="B1683" s="28">
        <v>0</v>
      </c>
      <c r="C1683" s="11"/>
      <c r="D1683" s="18" t="str">
        <f t="shared" si="89"/>
        <v>&lt;RotRel_Z&gt;0.000000&lt;/RotRel_Z&gt;</v>
      </c>
      <c r="E1683" s="175"/>
      <c r="F1683" s="6" t="s">
        <v>647</v>
      </c>
      <c r="G1683" s="6"/>
      <c r="H1683" s="6"/>
      <c r="I1683" s="6"/>
      <c r="J1683" s="6"/>
      <c r="K1683" s="6"/>
      <c r="L1683" s="6"/>
      <c r="M1683" s="6"/>
      <c r="N1683" s="6"/>
      <c r="O1683" s="6"/>
      <c r="P1683" s="6"/>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c r="BU1683" s="6"/>
      <c r="BV1683" s="6"/>
      <c r="BW1683" s="6"/>
      <c r="BX1683" s="6"/>
      <c r="BY1683" s="6"/>
      <c r="BZ1683" s="6"/>
      <c r="CA1683" s="6"/>
      <c r="CB1683" s="6"/>
      <c r="CC1683" s="6"/>
      <c r="CD1683" s="6"/>
      <c r="CE1683" s="6"/>
      <c r="CF1683" s="6"/>
      <c r="CG1683" s="6"/>
      <c r="CH1683" s="6"/>
      <c r="CI1683" s="6"/>
      <c r="CJ1683" s="6"/>
      <c r="CK1683" s="6"/>
      <c r="CL1683" s="6"/>
      <c r="CM1683" s="6"/>
      <c r="CN1683" s="6"/>
      <c r="CO1683" s="6"/>
      <c r="CP1683" s="6"/>
      <c r="CQ1683" s="6"/>
      <c r="CR1683" s="6"/>
      <c r="CS1683" s="6"/>
      <c r="CT1683" s="6"/>
      <c r="CU1683" s="6"/>
      <c r="CV1683" s="6"/>
      <c r="CW1683" s="6"/>
      <c r="CX1683" s="6"/>
      <c r="CY1683" s="6"/>
      <c r="CZ1683" s="6"/>
      <c r="DA1683" s="6"/>
      <c r="DB1683" s="6"/>
      <c r="DC1683" s="6"/>
      <c r="DD1683" s="6"/>
    </row>
    <row r="1684" spans="1:108" ht="12.75" hidden="1" customHeight="1" outlineLevel="5">
      <c r="A1684" s="104" t="s">
        <v>68</v>
      </c>
      <c r="B1684" s="28">
        <v>0</v>
      </c>
      <c r="C1684" s="11"/>
      <c r="D1684" s="18" t="str">
        <f t="shared" si="89"/>
        <v>&lt;Origin&gt;0.000000&lt;/Origin&gt;</v>
      </c>
      <c r="E1684" s="175"/>
      <c r="F1684" s="6" t="s">
        <v>648</v>
      </c>
      <c r="G1684" s="6"/>
      <c r="H1684" s="6"/>
      <c r="I1684" s="6"/>
      <c r="J1684" s="6"/>
      <c r="K1684" s="6"/>
      <c r="L1684" s="6"/>
      <c r="M1684" s="6"/>
      <c r="N1684" s="6"/>
      <c r="O1684" s="6"/>
      <c r="P1684" s="6"/>
      <c r="Q1684" s="6"/>
      <c r="R1684" s="6"/>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c r="BU1684" s="6"/>
      <c r="BV1684" s="6"/>
      <c r="BW1684" s="6"/>
      <c r="BX1684" s="6"/>
      <c r="BY1684" s="6"/>
      <c r="BZ1684" s="6"/>
      <c r="CA1684" s="6"/>
      <c r="CB1684" s="6"/>
      <c r="CC1684" s="6"/>
      <c r="CD1684" s="6"/>
      <c r="CE1684" s="6"/>
      <c r="CF1684" s="6"/>
      <c r="CG1684" s="6"/>
      <c r="CH1684" s="6"/>
      <c r="CI1684" s="6"/>
      <c r="CJ1684" s="6"/>
      <c r="CK1684" s="6"/>
      <c r="CL1684" s="6"/>
      <c r="CM1684" s="6"/>
      <c r="CN1684" s="6"/>
      <c r="CO1684" s="6"/>
      <c r="CP1684" s="6"/>
      <c r="CQ1684" s="6"/>
      <c r="CR1684" s="6"/>
      <c r="CS1684" s="6"/>
      <c r="CT1684" s="6"/>
      <c r="CU1684" s="6"/>
      <c r="CV1684" s="6"/>
      <c r="CW1684" s="6"/>
      <c r="CX1684" s="6"/>
      <c r="CY1684" s="6"/>
      <c r="CZ1684" s="6"/>
      <c r="DA1684" s="6"/>
      <c r="DB1684" s="6"/>
      <c r="DC1684" s="6"/>
      <c r="DD1684" s="6"/>
    </row>
    <row r="1685" spans="1:108" ht="12.75" hidden="1" customHeight="1" outlineLevel="5">
      <c r="A1685" s="104" t="s">
        <v>69</v>
      </c>
      <c r="B1685" s="28">
        <v>1</v>
      </c>
      <c r="C1685" s="11"/>
      <c r="D1685" s="18" t="str">
        <f t="shared" si="89"/>
        <v>&lt;Density&gt;1.000000&lt;/Density&gt;</v>
      </c>
      <c r="E1685" s="175"/>
      <c r="F1685" s="6" t="s">
        <v>649</v>
      </c>
      <c r="G1685" s="6"/>
      <c r="H1685" s="6"/>
      <c r="I1685" s="6"/>
      <c r="J1685" s="6"/>
      <c r="K1685" s="6"/>
      <c r="L1685" s="6"/>
      <c r="M1685" s="6"/>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c r="BU1685" s="6"/>
      <c r="BV1685" s="6"/>
      <c r="BW1685" s="6"/>
      <c r="BX1685" s="6"/>
      <c r="BY1685" s="6"/>
      <c r="BZ1685" s="6"/>
      <c r="CA1685" s="6"/>
      <c r="CB1685" s="6"/>
      <c r="CC1685" s="6"/>
      <c r="CD1685" s="6"/>
      <c r="CE1685" s="6"/>
      <c r="CF1685" s="6"/>
      <c r="CG1685" s="6"/>
      <c r="CH1685" s="6"/>
      <c r="CI1685" s="6"/>
      <c r="CJ1685" s="6"/>
      <c r="CK1685" s="6"/>
      <c r="CL1685" s="6"/>
      <c r="CM1685" s="6"/>
      <c r="CN1685" s="6"/>
      <c r="CO1685" s="6"/>
      <c r="CP1685" s="6"/>
      <c r="CQ1685" s="6"/>
      <c r="CR1685" s="6"/>
      <c r="CS1685" s="6"/>
      <c r="CT1685" s="6"/>
      <c r="CU1685" s="6"/>
      <c r="CV1685" s="6"/>
      <c r="CW1685" s="6"/>
      <c r="CX1685" s="6"/>
      <c r="CY1685" s="6"/>
      <c r="CZ1685" s="6"/>
      <c r="DA1685" s="6"/>
      <c r="DB1685" s="6"/>
      <c r="DC1685" s="6"/>
      <c r="DD1685" s="6"/>
    </row>
    <row r="1686" spans="1:108" ht="12.75" hidden="1" customHeight="1" outlineLevel="5">
      <c r="A1686" s="104" t="s">
        <v>70</v>
      </c>
      <c r="B1686" s="28">
        <v>1</v>
      </c>
      <c r="C1686" s="11"/>
      <c r="D1686" s="18" t="str">
        <f t="shared" si="89"/>
        <v>&lt;ShellMassArea&gt;1.000000&lt;/ShellMassArea&gt;</v>
      </c>
      <c r="E1686" s="175"/>
      <c r="F1686" s="6" t="s">
        <v>650</v>
      </c>
      <c r="G1686" s="6"/>
      <c r="H1686" s="6"/>
      <c r="I1686" s="6"/>
      <c r="J1686" s="6"/>
      <c r="K1686" s="6"/>
      <c r="L1686" s="6"/>
      <c r="M1686" s="6"/>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c r="BU1686" s="6"/>
      <c r="BV1686" s="6"/>
      <c r="BW1686" s="6"/>
      <c r="BX1686" s="6"/>
      <c r="BY1686" s="6"/>
      <c r="BZ1686" s="6"/>
      <c r="CA1686" s="6"/>
      <c r="CB1686" s="6"/>
      <c r="CC1686" s="6"/>
      <c r="CD1686" s="6"/>
      <c r="CE1686" s="6"/>
      <c r="CF1686" s="6"/>
      <c r="CG1686" s="6"/>
      <c r="CH1686" s="6"/>
      <c r="CI1686" s="6"/>
      <c r="CJ1686" s="6"/>
      <c r="CK1686" s="6"/>
      <c r="CL1686" s="6"/>
      <c r="CM1686" s="6"/>
      <c r="CN1686" s="6"/>
      <c r="CO1686" s="6"/>
      <c r="CP1686" s="6"/>
      <c r="CQ1686" s="6"/>
      <c r="CR1686" s="6"/>
      <c r="CS1686" s="6"/>
      <c r="CT1686" s="6"/>
      <c r="CU1686" s="6"/>
      <c r="CV1686" s="6"/>
      <c r="CW1686" s="6"/>
      <c r="CX1686" s="6"/>
      <c r="CY1686" s="6"/>
      <c r="CZ1686" s="6"/>
      <c r="DA1686" s="6"/>
      <c r="DB1686" s="6"/>
      <c r="DC1686" s="6"/>
      <c r="DD1686" s="6"/>
    </row>
    <row r="1687" spans="1:108" ht="12.75" hidden="1" customHeight="1" outlineLevel="5">
      <c r="A1687" s="104" t="s">
        <v>71</v>
      </c>
      <c r="B1687" s="28">
        <v>0</v>
      </c>
      <c r="C1687" s="11"/>
      <c r="D1687" s="18" t="str">
        <f>"&lt;" &amp; A1687 &amp; "&gt;" &amp; TEXT(B1687,0) &amp; "&lt;/" &amp; A1687 &amp; "&gt;"</f>
        <v>&lt;RefFlag&gt;0&lt;/RefFlag&gt;</v>
      </c>
      <c r="E1687" s="175"/>
      <c r="F1687" s="6" t="s">
        <v>651</v>
      </c>
      <c r="G1687" s="6"/>
      <c r="H1687" s="6"/>
      <c r="I1687" s="6"/>
      <c r="J1687" s="6"/>
      <c r="K1687" s="6"/>
      <c r="L1687" s="6"/>
      <c r="M1687" s="6"/>
      <c r="N1687" s="6"/>
      <c r="O1687" s="6"/>
      <c r="P1687" s="6"/>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c r="BU1687" s="6"/>
      <c r="BV1687" s="6"/>
      <c r="BW1687" s="6"/>
      <c r="BX1687" s="6"/>
      <c r="BY1687" s="6"/>
      <c r="BZ1687" s="6"/>
      <c r="CA1687" s="6"/>
      <c r="CB1687" s="6"/>
      <c r="CC1687" s="6"/>
      <c r="CD1687" s="6"/>
      <c r="CE1687" s="6"/>
      <c r="CF1687" s="6"/>
      <c r="CG1687" s="6"/>
      <c r="CH1687" s="6"/>
      <c r="CI1687" s="6"/>
      <c r="CJ1687" s="6"/>
      <c r="CK1687" s="6"/>
      <c r="CL1687" s="6"/>
      <c r="CM1687" s="6"/>
      <c r="CN1687" s="6"/>
      <c r="CO1687" s="6"/>
      <c r="CP1687" s="6"/>
      <c r="CQ1687" s="6"/>
      <c r="CR1687" s="6"/>
      <c r="CS1687" s="6"/>
      <c r="CT1687" s="6"/>
      <c r="CU1687" s="6"/>
      <c r="CV1687" s="6"/>
      <c r="CW1687" s="6"/>
      <c r="CX1687" s="6"/>
      <c r="CY1687" s="6"/>
      <c r="CZ1687" s="6"/>
      <c r="DA1687" s="6"/>
      <c r="DB1687" s="6"/>
      <c r="DC1687" s="6"/>
      <c r="DD1687" s="6"/>
    </row>
    <row r="1688" spans="1:108" ht="12.75" hidden="1" customHeight="1" outlineLevel="5">
      <c r="A1688" s="104" t="s">
        <v>72</v>
      </c>
      <c r="B1688" s="28">
        <v>100</v>
      </c>
      <c r="C1688" s="11"/>
      <c r="D1688" s="18" t="str">
        <f>"&lt;" &amp; A1688 &amp; "&gt;" &amp; TEXT(B1688,"0.000000") &amp; "&lt;/" &amp; A1688 &amp; "&gt;"</f>
        <v>&lt;RefArea&gt;100.000000&lt;/RefArea&gt;</v>
      </c>
      <c r="E1688" s="175"/>
      <c r="F1688" s="6" t="s">
        <v>724</v>
      </c>
      <c r="G1688" s="6"/>
      <c r="H1688" s="6"/>
      <c r="I1688" s="6"/>
      <c r="J1688" s="6"/>
      <c r="K1688" s="6"/>
      <c r="L1688" s="6"/>
      <c r="M1688" s="6"/>
      <c r="N1688" s="6"/>
      <c r="O1688" s="6"/>
      <c r="P1688" s="6"/>
      <c r="Q1688" s="6"/>
      <c r="R1688" s="6"/>
      <c r="S1688" s="6"/>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c r="BU1688" s="6"/>
      <c r="BV1688" s="6"/>
      <c r="BW1688" s="6"/>
      <c r="BX1688" s="6"/>
      <c r="BY1688" s="6"/>
      <c r="BZ1688" s="6"/>
      <c r="CA1688" s="6"/>
      <c r="CB1688" s="6"/>
      <c r="CC1688" s="6"/>
      <c r="CD1688" s="6"/>
      <c r="CE1688" s="6"/>
      <c r="CF1688" s="6"/>
      <c r="CG1688" s="6"/>
      <c r="CH1688" s="6"/>
      <c r="CI1688" s="6"/>
      <c r="CJ1688" s="6"/>
      <c r="CK1688" s="6"/>
      <c r="CL1688" s="6"/>
      <c r="CM1688" s="6"/>
      <c r="CN1688" s="6"/>
      <c r="CO1688" s="6"/>
      <c r="CP1688" s="6"/>
      <c r="CQ1688" s="6"/>
      <c r="CR1688" s="6"/>
      <c r="CS1688" s="6"/>
      <c r="CT1688" s="6"/>
      <c r="CU1688" s="6"/>
      <c r="CV1688" s="6"/>
      <c r="CW1688" s="6"/>
      <c r="CX1688" s="6"/>
      <c r="CY1688" s="6"/>
      <c r="CZ1688" s="6"/>
      <c r="DA1688" s="6"/>
      <c r="DB1688" s="6"/>
      <c r="DC1688" s="6"/>
      <c r="DD1688" s="6"/>
    </row>
    <row r="1689" spans="1:108" ht="12.75" hidden="1" customHeight="1" outlineLevel="5">
      <c r="A1689" s="104" t="s">
        <v>73</v>
      </c>
      <c r="B1689" s="28">
        <v>10</v>
      </c>
      <c r="C1689" s="11"/>
      <c r="D1689" s="18" t="str">
        <f>"&lt;" &amp; A1689 &amp; "&gt;" &amp; TEXT(B1689,"0.000000") &amp; "&lt;/" &amp; A1689 &amp; "&gt;"</f>
        <v>&lt;RefSpan&gt;10.000000&lt;/RefSpan&gt;</v>
      </c>
      <c r="E1689" s="175"/>
      <c r="F1689" s="6" t="s">
        <v>653</v>
      </c>
      <c r="G1689" s="6"/>
      <c r="H1689" s="6"/>
      <c r="I1689" s="6"/>
      <c r="J1689" s="6"/>
      <c r="K1689" s="6"/>
      <c r="L1689" s="6"/>
      <c r="M1689" s="6"/>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c r="BU1689" s="6"/>
      <c r="BV1689" s="6"/>
      <c r="BW1689" s="6"/>
      <c r="BX1689" s="6"/>
      <c r="BY1689" s="6"/>
      <c r="BZ1689" s="6"/>
      <c r="CA1689" s="6"/>
      <c r="CB1689" s="6"/>
      <c r="CC1689" s="6"/>
      <c r="CD1689" s="6"/>
      <c r="CE1689" s="6"/>
      <c r="CF1689" s="6"/>
      <c r="CG1689" s="6"/>
      <c r="CH1689" s="6"/>
      <c r="CI1689" s="6"/>
      <c r="CJ1689" s="6"/>
      <c r="CK1689" s="6"/>
      <c r="CL1689" s="6"/>
      <c r="CM1689" s="6"/>
      <c r="CN1689" s="6"/>
      <c r="CO1689" s="6"/>
      <c r="CP1689" s="6"/>
      <c r="CQ1689" s="6"/>
      <c r="CR1689" s="6"/>
      <c r="CS1689" s="6"/>
      <c r="CT1689" s="6"/>
      <c r="CU1689" s="6"/>
      <c r="CV1689" s="6"/>
      <c r="CW1689" s="6"/>
      <c r="CX1689" s="6"/>
      <c r="CY1689" s="6"/>
      <c r="CZ1689" s="6"/>
      <c r="DA1689" s="6"/>
      <c r="DB1689" s="6"/>
      <c r="DC1689" s="6"/>
      <c r="DD1689" s="6"/>
    </row>
    <row r="1690" spans="1:108" ht="12.75" hidden="1" customHeight="1" outlineLevel="5">
      <c r="A1690" s="104" t="s">
        <v>74</v>
      </c>
      <c r="B1690" s="28">
        <v>1</v>
      </c>
      <c r="C1690" s="11"/>
      <c r="D1690" s="18" t="str">
        <f>"&lt;" &amp; A1690 &amp; "&gt;" &amp; TEXT(B1690,"0.000000") &amp; "&lt;/" &amp; A1690 &amp; "&gt;"</f>
        <v>&lt;RefCbar&gt;1.000000&lt;/RefCbar&gt;</v>
      </c>
      <c r="E1690" s="175"/>
      <c r="F1690" s="6" t="s">
        <v>654</v>
      </c>
      <c r="G1690" s="6"/>
      <c r="H1690" s="6"/>
      <c r="I1690" s="6"/>
      <c r="J1690" s="6"/>
      <c r="K1690" s="6"/>
      <c r="L1690" s="6"/>
      <c r="M1690" s="6"/>
      <c r="N1690" s="6"/>
      <c r="O1690" s="6"/>
      <c r="P1690" s="6"/>
      <c r="Q1690" s="6"/>
      <c r="R1690" s="6"/>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c r="BU1690" s="6"/>
      <c r="BV1690" s="6"/>
      <c r="BW1690" s="6"/>
      <c r="BX1690" s="6"/>
      <c r="BY1690" s="6"/>
      <c r="BZ1690" s="6"/>
      <c r="CA1690" s="6"/>
      <c r="CB1690" s="6"/>
      <c r="CC1690" s="6"/>
      <c r="CD1690" s="6"/>
      <c r="CE1690" s="6"/>
      <c r="CF1690" s="6"/>
      <c r="CG1690" s="6"/>
      <c r="CH1690" s="6"/>
      <c r="CI1690" s="6"/>
      <c r="CJ1690" s="6"/>
      <c r="CK1690" s="6"/>
      <c r="CL1690" s="6"/>
      <c r="CM1690" s="6"/>
      <c r="CN1690" s="6"/>
      <c r="CO1690" s="6"/>
      <c r="CP1690" s="6"/>
      <c r="CQ1690" s="6"/>
      <c r="CR1690" s="6"/>
      <c r="CS1690" s="6"/>
      <c r="CT1690" s="6"/>
      <c r="CU1690" s="6"/>
      <c r="CV1690" s="6"/>
      <c r="CW1690" s="6"/>
      <c r="CX1690" s="6"/>
      <c r="CY1690" s="6"/>
      <c r="CZ1690" s="6"/>
      <c r="DA1690" s="6"/>
      <c r="DB1690" s="6"/>
      <c r="DC1690" s="6"/>
      <c r="DD1690" s="6"/>
    </row>
    <row r="1691" spans="1:108" ht="12.75" hidden="1" customHeight="1" outlineLevel="5">
      <c r="A1691" s="104" t="s">
        <v>75</v>
      </c>
      <c r="B1691" s="28">
        <v>1</v>
      </c>
      <c r="C1691" s="11"/>
      <c r="D1691" s="18" t="str">
        <f>"&lt;" &amp; A1691 &amp; "&gt;" &amp; TEXT(B1691,0) &amp; "&lt;/" &amp; A1691 &amp; "&gt;"</f>
        <v>&lt;AutoRefAreaFlag&gt;1&lt;/AutoRefAreaFlag&gt;</v>
      </c>
      <c r="E1691" s="175"/>
      <c r="F1691" s="6" t="s">
        <v>655</v>
      </c>
      <c r="G1691" s="6"/>
      <c r="H1691" s="6"/>
      <c r="I1691" s="6"/>
      <c r="J1691" s="6"/>
      <c r="K1691" s="6"/>
      <c r="L1691" s="6"/>
      <c r="M1691" s="6"/>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c r="BU1691" s="6"/>
      <c r="BV1691" s="6"/>
      <c r="BW1691" s="6"/>
      <c r="BX1691" s="6"/>
      <c r="BY1691" s="6"/>
      <c r="BZ1691" s="6"/>
      <c r="CA1691" s="6"/>
      <c r="CB1691" s="6"/>
      <c r="CC1691" s="6"/>
      <c r="CD1691" s="6"/>
      <c r="CE1691" s="6"/>
      <c r="CF1691" s="6"/>
      <c r="CG1691" s="6"/>
      <c r="CH1691" s="6"/>
      <c r="CI1691" s="6"/>
      <c r="CJ1691" s="6"/>
      <c r="CK1691" s="6"/>
      <c r="CL1691" s="6"/>
      <c r="CM1691" s="6"/>
      <c r="CN1691" s="6"/>
      <c r="CO1691" s="6"/>
      <c r="CP1691" s="6"/>
      <c r="CQ1691" s="6"/>
      <c r="CR1691" s="6"/>
      <c r="CS1691" s="6"/>
      <c r="CT1691" s="6"/>
      <c r="CU1691" s="6"/>
      <c r="CV1691" s="6"/>
      <c r="CW1691" s="6"/>
      <c r="CX1691" s="6"/>
      <c r="CY1691" s="6"/>
      <c r="CZ1691" s="6"/>
      <c r="DA1691" s="6"/>
      <c r="DB1691" s="6"/>
      <c r="DC1691" s="6"/>
      <c r="DD1691" s="6"/>
    </row>
    <row r="1692" spans="1:108" ht="12.75" hidden="1" customHeight="1" outlineLevel="5">
      <c r="A1692" s="104" t="s">
        <v>76</v>
      </c>
      <c r="B1692" s="28">
        <v>1</v>
      </c>
      <c r="C1692" s="11"/>
      <c r="D1692" s="18" t="str">
        <f>"&lt;" &amp; A1692 &amp; "&gt;" &amp; TEXT(B1692,0) &amp; "&lt;/" &amp; A1692 &amp; "&gt;"</f>
        <v>&lt;AutoRefSpanFlag&gt;1&lt;/AutoRefSpanFlag&gt;</v>
      </c>
      <c r="E1692" s="175"/>
      <c r="F1692" s="6" t="s">
        <v>656</v>
      </c>
      <c r="G1692" s="6"/>
      <c r="H1692" s="6"/>
      <c r="I1692" s="6"/>
      <c r="J1692" s="6"/>
      <c r="K1692" s="6"/>
      <c r="L1692" s="6"/>
      <c r="M1692" s="6"/>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c r="BU1692" s="6"/>
      <c r="BV1692" s="6"/>
      <c r="BW1692" s="6"/>
      <c r="BX1692" s="6"/>
      <c r="BY1692" s="6"/>
      <c r="BZ1692" s="6"/>
      <c r="CA1692" s="6"/>
      <c r="CB1692" s="6"/>
      <c r="CC1692" s="6"/>
      <c r="CD1692" s="6"/>
      <c r="CE1692" s="6"/>
      <c r="CF1692" s="6"/>
      <c r="CG1692" s="6"/>
      <c r="CH1692" s="6"/>
      <c r="CI1692" s="6"/>
      <c r="CJ1692" s="6"/>
      <c r="CK1692" s="6"/>
      <c r="CL1692" s="6"/>
      <c r="CM1692" s="6"/>
      <c r="CN1692" s="6"/>
      <c r="CO1692" s="6"/>
      <c r="CP1692" s="6"/>
      <c r="CQ1692" s="6"/>
      <c r="CR1692" s="6"/>
      <c r="CS1692" s="6"/>
      <c r="CT1692" s="6"/>
      <c r="CU1692" s="6"/>
      <c r="CV1692" s="6"/>
      <c r="CW1692" s="6"/>
      <c r="CX1692" s="6"/>
      <c r="CY1692" s="6"/>
      <c r="CZ1692" s="6"/>
      <c r="DA1692" s="6"/>
      <c r="DB1692" s="6"/>
      <c r="DC1692" s="6"/>
      <c r="DD1692" s="6"/>
    </row>
    <row r="1693" spans="1:108" ht="12.75" hidden="1" customHeight="1" outlineLevel="5">
      <c r="A1693" s="104" t="s">
        <v>77</v>
      </c>
      <c r="B1693" s="28">
        <v>1</v>
      </c>
      <c r="C1693" s="11"/>
      <c r="D1693" s="18" t="str">
        <f>"&lt;" &amp; A1693 &amp; "&gt;" &amp; TEXT(B1693,0) &amp; "&lt;/" &amp; A1693 &amp; "&gt;"</f>
        <v>&lt;AutoRefCbarFlag&gt;1&lt;/AutoRefCbarFlag&gt;</v>
      </c>
      <c r="E1693" s="175"/>
      <c r="F1693" s="6" t="s">
        <v>657</v>
      </c>
      <c r="G1693" s="6"/>
      <c r="H1693" s="6"/>
      <c r="I1693" s="6"/>
      <c r="J1693" s="6"/>
      <c r="K1693" s="6"/>
      <c r="L1693" s="6"/>
      <c r="M1693" s="6"/>
      <c r="N1693" s="6"/>
      <c r="O1693" s="6"/>
      <c r="P1693" s="6"/>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c r="BU1693" s="6"/>
      <c r="BV1693" s="6"/>
      <c r="BW1693" s="6"/>
      <c r="BX1693" s="6"/>
      <c r="BY1693" s="6"/>
      <c r="BZ1693" s="6"/>
      <c r="CA1693" s="6"/>
      <c r="CB1693" s="6"/>
      <c r="CC1693" s="6"/>
      <c r="CD1693" s="6"/>
      <c r="CE1693" s="6"/>
      <c r="CF1693" s="6"/>
      <c r="CG1693" s="6"/>
      <c r="CH1693" s="6"/>
      <c r="CI1693" s="6"/>
      <c r="CJ1693" s="6"/>
      <c r="CK1693" s="6"/>
      <c r="CL1693" s="6"/>
      <c r="CM1693" s="6"/>
      <c r="CN1693" s="6"/>
      <c r="CO1693" s="6"/>
      <c r="CP1693" s="6"/>
      <c r="CQ1693" s="6"/>
      <c r="CR1693" s="6"/>
      <c r="CS1693" s="6"/>
      <c r="CT1693" s="6"/>
      <c r="CU1693" s="6"/>
      <c r="CV1693" s="6"/>
      <c r="CW1693" s="6"/>
      <c r="CX1693" s="6"/>
      <c r="CY1693" s="6"/>
      <c r="CZ1693" s="6"/>
      <c r="DA1693" s="6"/>
      <c r="DB1693" s="6"/>
      <c r="DC1693" s="6"/>
      <c r="DD1693" s="6"/>
    </row>
    <row r="1694" spans="1:108" ht="12.75" hidden="1" customHeight="1" outlineLevel="5">
      <c r="A1694" s="104" t="s">
        <v>78</v>
      </c>
      <c r="B1694" s="28">
        <v>0</v>
      </c>
      <c r="C1694" s="11"/>
      <c r="D1694" s="18" t="str">
        <f>"&lt;" &amp; A1694 &amp; "&gt;" &amp; TEXT(B1694,"0.000000") &amp; "&lt;/" &amp; A1694 &amp; "&gt;"</f>
        <v>&lt;AeroCenter_X&gt;0.000000&lt;/AeroCenter_X&gt;</v>
      </c>
      <c r="E1694" s="175"/>
      <c r="F1694" s="6" t="s">
        <v>658</v>
      </c>
      <c r="G1694" s="6"/>
      <c r="H1694" s="6"/>
      <c r="I1694" s="6"/>
      <c r="J1694" s="6"/>
      <c r="K1694" s="6"/>
      <c r="L1694" s="6"/>
      <c r="M1694" s="6"/>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c r="BU1694" s="6"/>
      <c r="BV1694" s="6"/>
      <c r="BW1694" s="6"/>
      <c r="BX1694" s="6"/>
      <c r="BY1694" s="6"/>
      <c r="BZ1694" s="6"/>
      <c r="CA1694" s="6"/>
      <c r="CB1694" s="6"/>
      <c r="CC1694" s="6"/>
      <c r="CD1694" s="6"/>
      <c r="CE1694" s="6"/>
      <c r="CF1694" s="6"/>
      <c r="CG1694" s="6"/>
      <c r="CH1694" s="6"/>
      <c r="CI1694" s="6"/>
      <c r="CJ1694" s="6"/>
      <c r="CK1694" s="6"/>
      <c r="CL1694" s="6"/>
      <c r="CM1694" s="6"/>
      <c r="CN1694" s="6"/>
      <c r="CO1694" s="6"/>
      <c r="CP1694" s="6"/>
      <c r="CQ1694" s="6"/>
      <c r="CR1694" s="6"/>
      <c r="CS1694" s="6"/>
      <c r="CT1694" s="6"/>
      <c r="CU1694" s="6"/>
      <c r="CV1694" s="6"/>
      <c r="CW1694" s="6"/>
      <c r="CX1694" s="6"/>
      <c r="CY1694" s="6"/>
      <c r="CZ1694" s="6"/>
      <c r="DA1694" s="6"/>
      <c r="DB1694" s="6"/>
      <c r="DC1694" s="6"/>
      <c r="DD1694" s="6"/>
    </row>
    <row r="1695" spans="1:108" ht="12.75" hidden="1" customHeight="1" outlineLevel="5">
      <c r="A1695" s="104" t="s">
        <v>79</v>
      </c>
      <c r="B1695" s="28">
        <v>0</v>
      </c>
      <c r="C1695" s="11"/>
      <c r="D1695" s="18" t="str">
        <f>"&lt;" &amp; A1695 &amp; "&gt;" &amp; TEXT(B1695,"0.000000") &amp; "&lt;/" &amp; A1695 &amp; "&gt;"</f>
        <v>&lt;AeroCenter_Y&gt;0.000000&lt;/AeroCenter_Y&gt;</v>
      </c>
      <c r="E1695" s="175"/>
      <c r="F1695" s="6" t="s">
        <v>659</v>
      </c>
      <c r="G1695" s="6"/>
      <c r="H1695" s="6"/>
      <c r="I1695" s="6"/>
      <c r="J1695" s="6"/>
      <c r="K1695" s="6"/>
      <c r="L1695" s="6"/>
      <c r="M1695" s="6"/>
      <c r="N1695" s="6"/>
      <c r="O1695" s="6"/>
      <c r="P1695" s="6"/>
      <c r="Q1695" s="6"/>
      <c r="R1695" s="6"/>
      <c r="S1695" s="6"/>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c r="BU1695" s="6"/>
      <c r="BV1695" s="6"/>
      <c r="BW1695" s="6"/>
      <c r="BX1695" s="6"/>
      <c r="BY1695" s="6"/>
      <c r="BZ1695" s="6"/>
      <c r="CA1695" s="6"/>
      <c r="CB1695" s="6"/>
      <c r="CC1695" s="6"/>
      <c r="CD1695" s="6"/>
      <c r="CE1695" s="6"/>
      <c r="CF1695" s="6"/>
      <c r="CG1695" s="6"/>
      <c r="CH1695" s="6"/>
      <c r="CI1695" s="6"/>
      <c r="CJ1695" s="6"/>
      <c r="CK1695" s="6"/>
      <c r="CL1695" s="6"/>
      <c r="CM1695" s="6"/>
      <c r="CN1695" s="6"/>
      <c r="CO1695" s="6"/>
      <c r="CP1695" s="6"/>
      <c r="CQ1695" s="6"/>
      <c r="CR1695" s="6"/>
      <c r="CS1695" s="6"/>
      <c r="CT1695" s="6"/>
      <c r="CU1695" s="6"/>
      <c r="CV1695" s="6"/>
      <c r="CW1695" s="6"/>
      <c r="CX1695" s="6"/>
      <c r="CY1695" s="6"/>
      <c r="CZ1695" s="6"/>
      <c r="DA1695" s="6"/>
      <c r="DB1695" s="6"/>
      <c r="DC1695" s="6"/>
      <c r="DD1695" s="6"/>
    </row>
    <row r="1696" spans="1:108" ht="12.75" hidden="1" customHeight="1" outlineLevel="5">
      <c r="A1696" s="104" t="s">
        <v>80</v>
      </c>
      <c r="B1696" s="28">
        <v>0</v>
      </c>
      <c r="C1696" s="11"/>
      <c r="D1696" s="18" t="str">
        <f>"&lt;" &amp; A1696 &amp; "&gt;" &amp; TEXT(B1696,"0.000000") &amp; "&lt;/" &amp; A1696 &amp; "&gt;"</f>
        <v>&lt;AeroCenter_Z&gt;0.000000&lt;/AeroCenter_Z&gt;</v>
      </c>
      <c r="E1696" s="175"/>
      <c r="F1696" s="6" t="s">
        <v>660</v>
      </c>
      <c r="G1696" s="6"/>
      <c r="H1696" s="6"/>
      <c r="I1696" s="6"/>
      <c r="J1696" s="6"/>
      <c r="K1696" s="6"/>
      <c r="L1696" s="6"/>
      <c r="M1696" s="6"/>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c r="BU1696" s="6"/>
      <c r="BV1696" s="6"/>
      <c r="BW1696" s="6"/>
      <c r="BX1696" s="6"/>
      <c r="BY1696" s="6"/>
      <c r="BZ1696" s="6"/>
      <c r="CA1696" s="6"/>
      <c r="CB1696" s="6"/>
      <c r="CC1696" s="6"/>
      <c r="CD1696" s="6"/>
      <c r="CE1696" s="6"/>
      <c r="CF1696" s="6"/>
      <c r="CG1696" s="6"/>
      <c r="CH1696" s="6"/>
      <c r="CI1696" s="6"/>
      <c r="CJ1696" s="6"/>
      <c r="CK1696" s="6"/>
      <c r="CL1696" s="6"/>
      <c r="CM1696" s="6"/>
      <c r="CN1696" s="6"/>
      <c r="CO1696" s="6"/>
      <c r="CP1696" s="6"/>
      <c r="CQ1696" s="6"/>
      <c r="CR1696" s="6"/>
      <c r="CS1696" s="6"/>
      <c r="CT1696" s="6"/>
      <c r="CU1696" s="6"/>
      <c r="CV1696" s="6"/>
      <c r="CW1696" s="6"/>
      <c r="CX1696" s="6"/>
      <c r="CY1696" s="6"/>
      <c r="CZ1696" s="6"/>
      <c r="DA1696" s="6"/>
      <c r="DB1696" s="6"/>
      <c r="DC1696" s="6"/>
      <c r="DD1696" s="6"/>
    </row>
    <row r="1697" spans="1:108" ht="12.75" hidden="1" customHeight="1" outlineLevel="5">
      <c r="A1697" s="104" t="s">
        <v>81</v>
      </c>
      <c r="B1697" s="28">
        <v>1</v>
      </c>
      <c r="C1697" s="11"/>
      <c r="D1697" s="18" t="str">
        <f>"&lt;" &amp; A1697 &amp; "&gt;" &amp; TEXT(B1697,0) &amp; "&lt;/" &amp; A1697 &amp; "&gt;"</f>
        <v>&lt;AutoAeroCenterFlag&gt;1&lt;/AutoAeroCenterFlag&gt;</v>
      </c>
      <c r="E1697" s="175"/>
      <c r="F1697" s="6" t="s">
        <v>661</v>
      </c>
      <c r="G1697" s="6"/>
      <c r="H1697" s="6"/>
      <c r="I1697" s="6"/>
      <c r="J1697" s="6"/>
      <c r="K1697" s="6"/>
      <c r="L1697" s="6"/>
      <c r="M1697" s="6"/>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c r="BU1697" s="6"/>
      <c r="BV1697" s="6"/>
      <c r="BW1697" s="6"/>
      <c r="BX1697" s="6"/>
      <c r="BY1697" s="6"/>
      <c r="BZ1697" s="6"/>
      <c r="CA1697" s="6"/>
      <c r="CB1697" s="6"/>
      <c r="CC1697" s="6"/>
      <c r="CD1697" s="6"/>
      <c r="CE1697" s="6"/>
      <c r="CF1697" s="6"/>
      <c r="CG1697" s="6"/>
      <c r="CH1697" s="6"/>
      <c r="CI1697" s="6"/>
      <c r="CJ1697" s="6"/>
      <c r="CK1697" s="6"/>
      <c r="CL1697" s="6"/>
      <c r="CM1697" s="6"/>
      <c r="CN1697" s="6"/>
      <c r="CO1697" s="6"/>
      <c r="CP1697" s="6"/>
      <c r="CQ1697" s="6"/>
      <c r="CR1697" s="6"/>
      <c r="CS1697" s="6"/>
      <c r="CT1697" s="6"/>
      <c r="CU1697" s="6"/>
      <c r="CV1697" s="6"/>
      <c r="CW1697" s="6"/>
      <c r="CX1697" s="6"/>
      <c r="CY1697" s="6"/>
      <c r="CZ1697" s="6"/>
      <c r="DA1697" s="6"/>
      <c r="DB1697" s="6"/>
      <c r="DC1697" s="6"/>
      <c r="DD1697" s="6"/>
    </row>
    <row r="1698" spans="1:108" ht="12.75" hidden="1" customHeight="1" outlineLevel="5">
      <c r="A1698" s="104" t="s">
        <v>82</v>
      </c>
      <c r="B1698" s="28">
        <v>0</v>
      </c>
      <c r="C1698" s="11"/>
      <c r="D1698" s="18" t="str">
        <f>"&lt;" &amp; A1698 &amp; "&gt;" &amp; TEXT(B1698,0) &amp; "&lt;/" &amp; A1698 &amp; "&gt;"</f>
        <v>&lt;WakeActiveFlag&gt;0&lt;/WakeActiveFlag&gt;</v>
      </c>
      <c r="E1698" s="175"/>
      <c r="F1698" s="6" t="s">
        <v>662</v>
      </c>
      <c r="G1698" s="6"/>
      <c r="H1698" s="6"/>
      <c r="I1698" s="6"/>
      <c r="J1698" s="6"/>
      <c r="K1698" s="6"/>
      <c r="L1698" s="6"/>
      <c r="M1698" s="6"/>
      <c r="N1698" s="6"/>
      <c r="O1698" s="6"/>
      <c r="P1698" s="6"/>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c r="BU1698" s="6"/>
      <c r="BV1698" s="6"/>
      <c r="BW1698" s="6"/>
      <c r="BX1698" s="6"/>
      <c r="BY1698" s="6"/>
      <c r="BZ1698" s="6"/>
      <c r="CA1698" s="6"/>
      <c r="CB1698" s="6"/>
      <c r="CC1698" s="6"/>
      <c r="CD1698" s="6"/>
      <c r="CE1698" s="6"/>
      <c r="CF1698" s="6"/>
      <c r="CG1698" s="6"/>
      <c r="CH1698" s="6"/>
      <c r="CI1698" s="6"/>
      <c r="CJ1698" s="6"/>
      <c r="CK1698" s="6"/>
      <c r="CL1698" s="6"/>
      <c r="CM1698" s="6"/>
      <c r="CN1698" s="6"/>
      <c r="CO1698" s="6"/>
      <c r="CP1698" s="6"/>
      <c r="CQ1698" s="6"/>
      <c r="CR1698" s="6"/>
      <c r="CS1698" s="6"/>
      <c r="CT1698" s="6"/>
      <c r="CU1698" s="6"/>
      <c r="CV1698" s="6"/>
      <c r="CW1698" s="6"/>
      <c r="CX1698" s="6"/>
      <c r="CY1698" s="6"/>
      <c r="CZ1698" s="6"/>
      <c r="DA1698" s="6"/>
      <c r="DB1698" s="6"/>
      <c r="DC1698" s="6"/>
      <c r="DD1698" s="6"/>
    </row>
    <row r="1699" spans="1:108" ht="12.75" hidden="1" customHeight="1" outlineLevel="5">
      <c r="A1699" s="104" t="s">
        <v>83</v>
      </c>
      <c r="B1699" s="28">
        <v>3</v>
      </c>
      <c r="C1699" s="11"/>
      <c r="D1699" s="18" t="str">
        <f>"&lt;" &amp; A1699 &amp; "&gt;" &amp; TEXT(B1699,0) &amp; "&lt;/" &amp; A1699 &amp; "&gt;"</f>
        <v>&lt;PosAttachFlag&gt;3&lt;/PosAttachFlag&gt;</v>
      </c>
      <c r="E1699" s="175"/>
      <c r="F1699" s="6" t="s">
        <v>862</v>
      </c>
      <c r="G1699" s="6"/>
      <c r="H1699" s="6"/>
      <c r="I1699" s="6"/>
      <c r="J1699" s="6"/>
      <c r="K1699" s="6"/>
      <c r="L1699" s="6"/>
      <c r="M1699" s="6"/>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c r="BU1699" s="6"/>
      <c r="BV1699" s="6"/>
      <c r="BW1699" s="6"/>
      <c r="BX1699" s="6"/>
      <c r="BY1699" s="6"/>
      <c r="BZ1699" s="6"/>
      <c r="CA1699" s="6"/>
      <c r="CB1699" s="6"/>
      <c r="CC1699" s="6"/>
      <c r="CD1699" s="6"/>
      <c r="CE1699" s="6"/>
      <c r="CF1699" s="6"/>
      <c r="CG1699" s="6"/>
      <c r="CH1699" s="6"/>
      <c r="CI1699" s="6"/>
      <c r="CJ1699" s="6"/>
      <c r="CK1699" s="6"/>
      <c r="CL1699" s="6"/>
      <c r="CM1699" s="6"/>
      <c r="CN1699" s="6"/>
      <c r="CO1699" s="6"/>
      <c r="CP1699" s="6"/>
      <c r="CQ1699" s="6"/>
      <c r="CR1699" s="6"/>
      <c r="CS1699" s="6"/>
      <c r="CT1699" s="6"/>
      <c r="CU1699" s="6"/>
      <c r="CV1699" s="6"/>
      <c r="CW1699" s="6"/>
      <c r="CX1699" s="6"/>
      <c r="CY1699" s="6"/>
      <c r="CZ1699" s="6"/>
      <c r="DA1699" s="6"/>
      <c r="DB1699" s="6"/>
      <c r="DC1699" s="6"/>
      <c r="DD1699" s="6"/>
    </row>
    <row r="1700" spans="1:108" ht="12.75" hidden="1" customHeight="1" outlineLevel="5">
      <c r="A1700" s="104" t="s">
        <v>84</v>
      </c>
      <c r="B1700" s="28">
        <v>0</v>
      </c>
      <c r="C1700" s="11"/>
      <c r="D1700" s="18" t="str">
        <f>"&lt;" &amp; A1700 &amp; "&gt;" &amp; TEXT(B1700,"0.000000") &amp; "&lt;/" &amp; A1700 &amp; "&gt;"</f>
        <v>&lt;U_Attach&gt;0.000000&lt;/U_Attach&gt;</v>
      </c>
      <c r="E1700" s="175"/>
      <c r="F1700" s="6" t="s">
        <v>664</v>
      </c>
      <c r="G1700" s="6"/>
      <c r="H1700" s="6"/>
      <c r="I1700" s="6"/>
      <c r="J1700" s="6"/>
      <c r="K1700" s="6"/>
      <c r="L1700" s="6"/>
      <c r="M1700" s="6"/>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c r="BU1700" s="6"/>
      <c r="BV1700" s="6"/>
      <c r="BW1700" s="6"/>
      <c r="BX1700" s="6"/>
      <c r="BY1700" s="6"/>
      <c r="BZ1700" s="6"/>
      <c r="CA1700" s="6"/>
      <c r="CB1700" s="6"/>
      <c r="CC1700" s="6"/>
      <c r="CD1700" s="6"/>
      <c r="CE1700" s="6"/>
      <c r="CF1700" s="6"/>
      <c r="CG1700" s="6"/>
      <c r="CH1700" s="6"/>
      <c r="CI1700" s="6"/>
      <c r="CJ1700" s="6"/>
      <c r="CK1700" s="6"/>
      <c r="CL1700" s="6"/>
      <c r="CM1700" s="6"/>
      <c r="CN1700" s="6"/>
      <c r="CO1700" s="6"/>
      <c r="CP1700" s="6"/>
      <c r="CQ1700" s="6"/>
      <c r="CR1700" s="6"/>
      <c r="CS1700" s="6"/>
      <c r="CT1700" s="6"/>
      <c r="CU1700" s="6"/>
      <c r="CV1700" s="6"/>
      <c r="CW1700" s="6"/>
      <c r="CX1700" s="6"/>
      <c r="CY1700" s="6"/>
      <c r="CZ1700" s="6"/>
      <c r="DA1700" s="6"/>
      <c r="DB1700" s="6"/>
      <c r="DC1700" s="6"/>
      <c r="DD1700" s="6"/>
    </row>
    <row r="1701" spans="1:108" ht="12.75" hidden="1" customHeight="1" outlineLevel="5">
      <c r="A1701" s="104" t="s">
        <v>85</v>
      </c>
      <c r="B1701" s="28">
        <v>0</v>
      </c>
      <c r="C1701" s="11"/>
      <c r="D1701" s="18" t="str">
        <f>"&lt;" &amp; A1701 &amp; "&gt;" &amp; TEXT(B1701,"0.000000") &amp; "&lt;/" &amp; A1701 &amp; "&gt;"</f>
        <v>&lt;V_Attach&gt;0.000000&lt;/V_Attach&gt;</v>
      </c>
      <c r="E1701" s="175"/>
      <c r="F1701" s="6" t="s">
        <v>665</v>
      </c>
      <c r="G1701" s="6"/>
      <c r="H1701" s="6"/>
      <c r="I1701" s="6"/>
      <c r="J1701" s="6"/>
      <c r="K1701" s="6"/>
      <c r="L1701" s="6"/>
      <c r="M1701" s="6"/>
      <c r="N1701" s="6"/>
      <c r="O1701" s="6"/>
      <c r="P1701" s="6"/>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c r="BU1701" s="6"/>
      <c r="BV1701" s="6"/>
      <c r="BW1701" s="6"/>
      <c r="BX1701" s="6"/>
      <c r="BY1701" s="6"/>
      <c r="BZ1701" s="6"/>
      <c r="CA1701" s="6"/>
      <c r="CB1701" s="6"/>
      <c r="CC1701" s="6"/>
      <c r="CD1701" s="6"/>
      <c r="CE1701" s="6"/>
      <c r="CF1701" s="6"/>
      <c r="CG1701" s="6"/>
      <c r="CH1701" s="6"/>
      <c r="CI1701" s="6"/>
      <c r="CJ1701" s="6"/>
      <c r="CK1701" s="6"/>
      <c r="CL1701" s="6"/>
      <c r="CM1701" s="6"/>
      <c r="CN1701" s="6"/>
      <c r="CO1701" s="6"/>
      <c r="CP1701" s="6"/>
      <c r="CQ1701" s="6"/>
      <c r="CR1701" s="6"/>
      <c r="CS1701" s="6"/>
      <c r="CT1701" s="6"/>
      <c r="CU1701" s="6"/>
      <c r="CV1701" s="6"/>
      <c r="CW1701" s="6"/>
      <c r="CX1701" s="6"/>
      <c r="CY1701" s="6"/>
      <c r="CZ1701" s="6"/>
      <c r="DA1701" s="6"/>
      <c r="DB1701" s="6"/>
      <c r="DC1701" s="6"/>
      <c r="DD1701" s="6"/>
    </row>
    <row r="1702" spans="1:108" ht="12.75" hidden="1" customHeight="1" outlineLevel="5">
      <c r="A1702" s="104" t="s">
        <v>86</v>
      </c>
      <c r="B1702" s="28">
        <v>148485072</v>
      </c>
      <c r="C1702" s="11"/>
      <c r="D1702" s="18" t="str">
        <f>"&lt;" &amp; A1702 &amp; "&gt;" &amp; TEXT(B1702,0) &amp; "&lt;/" &amp; A1702 &amp; "&gt;"</f>
        <v>&lt;PtrID&gt;148485072&lt;/PtrID&gt;</v>
      </c>
      <c r="E1702" s="175"/>
      <c r="F1702" s="6" t="s">
        <v>949</v>
      </c>
      <c r="G1702" s="6"/>
      <c r="H1702" s="6"/>
      <c r="I1702" s="6"/>
      <c r="J1702" s="6"/>
      <c r="K1702" s="6"/>
      <c r="L1702" s="6"/>
      <c r="M1702" s="6"/>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c r="BU1702" s="6"/>
      <c r="BV1702" s="6"/>
      <c r="BW1702" s="6"/>
      <c r="BX1702" s="6"/>
      <c r="BY1702" s="6"/>
      <c r="BZ1702" s="6"/>
      <c r="CA1702" s="6"/>
      <c r="CB1702" s="6"/>
      <c r="CC1702" s="6"/>
      <c r="CD1702" s="6"/>
      <c r="CE1702" s="6"/>
      <c r="CF1702" s="6"/>
      <c r="CG1702" s="6"/>
      <c r="CH1702" s="6"/>
      <c r="CI1702" s="6"/>
      <c r="CJ1702" s="6"/>
      <c r="CK1702" s="6"/>
      <c r="CL1702" s="6"/>
      <c r="CM1702" s="6"/>
      <c r="CN1702" s="6"/>
      <c r="CO1702" s="6"/>
      <c r="CP1702" s="6"/>
      <c r="CQ1702" s="6"/>
      <c r="CR1702" s="6"/>
      <c r="CS1702" s="6"/>
      <c r="CT1702" s="6"/>
      <c r="CU1702" s="6"/>
      <c r="CV1702" s="6"/>
      <c r="CW1702" s="6"/>
      <c r="CX1702" s="6"/>
      <c r="CY1702" s="6"/>
      <c r="CZ1702" s="6"/>
      <c r="DA1702" s="6"/>
      <c r="DB1702" s="6"/>
      <c r="DC1702" s="6"/>
      <c r="DD1702" s="6"/>
    </row>
    <row r="1703" spans="1:108" ht="12.75" hidden="1" customHeight="1" outlineLevel="5">
      <c r="A1703" s="104" t="s">
        <v>87</v>
      </c>
      <c r="B1703" s="28">
        <v>148271640</v>
      </c>
      <c r="C1703" s="11"/>
      <c r="D1703" s="18" t="str">
        <f>"&lt;" &amp; A1703 &amp; "&gt;" &amp; TEXT(B1703,0) &amp; "&lt;/" &amp; A1703 &amp; "&gt;"</f>
        <v>&lt;Parent_PtrID&gt;148271640&lt;/Parent_PtrID&gt;</v>
      </c>
      <c r="E1703" s="175"/>
      <c r="F1703" s="6" t="s">
        <v>864</v>
      </c>
      <c r="G1703" s="6"/>
      <c r="H1703" s="6"/>
      <c r="I1703" s="6"/>
      <c r="J1703" s="6"/>
      <c r="K1703" s="6"/>
      <c r="L1703" s="6"/>
      <c r="M1703" s="6"/>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c r="BU1703" s="6"/>
      <c r="BV1703" s="6"/>
      <c r="BW1703" s="6"/>
      <c r="BX1703" s="6"/>
      <c r="BY1703" s="6"/>
      <c r="BZ1703" s="6"/>
      <c r="CA1703" s="6"/>
      <c r="CB1703" s="6"/>
      <c r="CC1703" s="6"/>
      <c r="CD1703" s="6"/>
      <c r="CE1703" s="6"/>
      <c r="CF1703" s="6"/>
      <c r="CG1703" s="6"/>
      <c r="CH1703" s="6"/>
      <c r="CI1703" s="6"/>
      <c r="CJ1703" s="6"/>
      <c r="CK1703" s="6"/>
      <c r="CL1703" s="6"/>
      <c r="CM1703" s="6"/>
      <c r="CN1703" s="6"/>
      <c r="CO1703" s="6"/>
      <c r="CP1703" s="6"/>
      <c r="CQ1703" s="6"/>
      <c r="CR1703" s="6"/>
      <c r="CS1703" s="6"/>
      <c r="CT1703" s="6"/>
      <c r="CU1703" s="6"/>
      <c r="CV1703" s="6"/>
      <c r="CW1703" s="6"/>
      <c r="CX1703" s="6"/>
      <c r="CY1703" s="6"/>
      <c r="CZ1703" s="6"/>
      <c r="DA1703" s="6"/>
      <c r="DB1703" s="6"/>
      <c r="DC1703" s="6"/>
      <c r="DD1703" s="6"/>
    </row>
    <row r="1704" spans="1:108" ht="12.75" hidden="1" customHeight="1" outlineLevel="5">
      <c r="A1704" s="104" t="s">
        <v>88</v>
      </c>
      <c r="B1704" s="100"/>
      <c r="C1704" s="11"/>
      <c r="D1704" s="6" t="str">
        <f>"&lt;" &amp; A1704 &amp; "&gt;"</f>
        <v>&lt;/General_Parms&gt;</v>
      </c>
      <c r="E1704" s="175"/>
      <c r="F1704" s="6" t="s">
        <v>667</v>
      </c>
      <c r="G1704" s="6"/>
      <c r="H1704" s="6"/>
      <c r="I1704" s="6"/>
      <c r="J1704" s="6"/>
      <c r="K1704" s="6"/>
      <c r="L1704" s="6"/>
      <c r="M1704" s="6"/>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c r="BU1704" s="6"/>
      <c r="BV1704" s="6"/>
      <c r="BW1704" s="6"/>
      <c r="BX1704" s="6"/>
      <c r="BY1704" s="6"/>
      <c r="BZ1704" s="6"/>
      <c r="CA1704" s="6"/>
      <c r="CB1704" s="6"/>
      <c r="CC1704" s="6"/>
      <c r="CD1704" s="6"/>
      <c r="CE1704" s="6"/>
      <c r="CF1704" s="6"/>
      <c r="CG1704" s="6"/>
      <c r="CH1704" s="6"/>
      <c r="CI1704" s="6"/>
      <c r="CJ1704" s="6"/>
      <c r="CK1704" s="6"/>
      <c r="CL1704" s="6"/>
      <c r="CM1704" s="6"/>
      <c r="CN1704" s="6"/>
      <c r="CO1704" s="6"/>
      <c r="CP1704" s="6"/>
      <c r="CQ1704" s="6"/>
      <c r="CR1704" s="6"/>
      <c r="CS1704" s="6"/>
      <c r="CT1704" s="6"/>
      <c r="CU1704" s="6"/>
      <c r="CV1704" s="6"/>
      <c r="CW1704" s="6"/>
      <c r="CX1704" s="6"/>
      <c r="CY1704" s="6"/>
      <c r="CZ1704" s="6"/>
      <c r="DA1704" s="6"/>
      <c r="DB1704" s="6"/>
      <c r="DC1704" s="6"/>
      <c r="DD1704" s="6"/>
    </row>
    <row r="1705" spans="1:108" ht="12.75" hidden="1" customHeight="1" outlineLevel="4" collapsed="1">
      <c r="A1705" s="104" t="s">
        <v>228</v>
      </c>
      <c r="B1705" s="100"/>
      <c r="C1705" s="11"/>
      <c r="D1705" s="6" t="str">
        <f>"&lt;" &amp; A1705 &amp; "&gt;"</f>
        <v>&lt;Engine_Parms&gt;</v>
      </c>
      <c r="E1705" s="175"/>
      <c r="F1705" s="6" t="s">
        <v>865</v>
      </c>
      <c r="G1705" s="6"/>
      <c r="H1705" s="6"/>
      <c r="I1705" s="6"/>
      <c r="J1705" s="6"/>
      <c r="K1705" s="6"/>
      <c r="L1705" s="6"/>
      <c r="M1705" s="6"/>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c r="BU1705" s="6"/>
      <c r="BV1705" s="6"/>
      <c r="BW1705" s="6"/>
      <c r="BX1705" s="6"/>
      <c r="BY1705" s="6"/>
      <c r="BZ1705" s="6"/>
      <c r="CA1705" s="6"/>
      <c r="CB1705" s="6"/>
      <c r="CC1705" s="6"/>
      <c r="CD1705" s="6"/>
      <c r="CE1705" s="6"/>
      <c r="CF1705" s="6"/>
      <c r="CG1705" s="6"/>
      <c r="CH1705" s="6"/>
      <c r="CI1705" s="6"/>
      <c r="CJ1705" s="6"/>
      <c r="CK1705" s="6"/>
      <c r="CL1705" s="6"/>
      <c r="CM1705" s="6"/>
      <c r="CN1705" s="6"/>
      <c r="CO1705" s="6"/>
      <c r="CP1705" s="6"/>
      <c r="CQ1705" s="6"/>
      <c r="CR1705" s="6"/>
      <c r="CS1705" s="6"/>
      <c r="CT1705" s="6"/>
      <c r="CU1705" s="6"/>
      <c r="CV1705" s="6"/>
      <c r="CW1705" s="6"/>
      <c r="CX1705" s="6"/>
      <c r="CY1705" s="6"/>
      <c r="CZ1705" s="6"/>
      <c r="DA1705" s="6"/>
      <c r="DB1705" s="6"/>
      <c r="DC1705" s="6"/>
      <c r="DD1705" s="6"/>
    </row>
    <row r="1706" spans="1:108" ht="12.75" hidden="1" customHeight="1" outlineLevel="5">
      <c r="A1706" s="104" t="s">
        <v>229</v>
      </c>
      <c r="B1706" s="28">
        <v>0</v>
      </c>
      <c r="C1706" s="11"/>
      <c r="D1706" s="18" t="str">
        <f>"&lt;" &amp; A1706 &amp; "&gt;" &amp; TEXT(B1706,0) &amp; "&lt;/" &amp; A1706 &amp; "&gt;"</f>
        <v>&lt;Engine_Type&gt;0&lt;/Engine_Type&gt;</v>
      </c>
      <c r="E1706" s="175"/>
      <c r="F1706" s="6" t="s">
        <v>866</v>
      </c>
      <c r="G1706" s="6"/>
      <c r="H1706" s="6"/>
      <c r="I1706" s="6"/>
      <c r="J1706" s="6"/>
      <c r="K1706" s="6"/>
      <c r="L1706" s="6"/>
      <c r="M1706" s="6"/>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c r="BU1706" s="6"/>
      <c r="BV1706" s="6"/>
      <c r="BW1706" s="6"/>
      <c r="BX1706" s="6"/>
      <c r="BY1706" s="6"/>
      <c r="BZ1706" s="6"/>
      <c r="CA1706" s="6"/>
      <c r="CB1706" s="6"/>
      <c r="CC1706" s="6"/>
      <c r="CD1706" s="6"/>
      <c r="CE1706" s="6"/>
      <c r="CF1706" s="6"/>
      <c r="CG1706" s="6"/>
      <c r="CH1706" s="6"/>
      <c r="CI1706" s="6"/>
      <c r="CJ1706" s="6"/>
      <c r="CK1706" s="6"/>
      <c r="CL1706" s="6"/>
      <c r="CM1706" s="6"/>
      <c r="CN1706" s="6"/>
      <c r="CO1706" s="6"/>
      <c r="CP1706" s="6"/>
      <c r="CQ1706" s="6"/>
      <c r="CR1706" s="6"/>
      <c r="CS1706" s="6"/>
      <c r="CT1706" s="6"/>
      <c r="CU1706" s="6"/>
      <c r="CV1706" s="6"/>
      <c r="CW1706" s="6"/>
      <c r="CX1706" s="6"/>
      <c r="CY1706" s="6"/>
      <c r="CZ1706" s="6"/>
      <c r="DA1706" s="6"/>
      <c r="DB1706" s="6"/>
      <c r="DC1706" s="6"/>
      <c r="DD1706" s="6"/>
    </row>
    <row r="1707" spans="1:108" ht="12.75" hidden="1" customHeight="1" outlineLevel="5">
      <c r="A1707" s="104" t="s">
        <v>230</v>
      </c>
      <c r="B1707" s="94">
        <f>0.5*d_e.j</f>
        <v>0.82173499999999999</v>
      </c>
      <c r="C1707" s="11"/>
      <c r="D1707" s="18" t="str">
        <f>"&lt;" &amp; A1707 &amp; "&gt;" &amp; TEXT(B1707,"0.000000") &amp; "&lt;/" &amp; A1707 &amp; "&gt;"</f>
        <v>&lt;Radius_Tip&gt;0.821735&lt;/Radius_Tip&gt;</v>
      </c>
      <c r="E1707" s="175"/>
      <c r="F1707" s="6" t="s">
        <v>1007</v>
      </c>
      <c r="G1707" s="6"/>
      <c r="H1707" s="6"/>
      <c r="I1707" s="6"/>
      <c r="J1707" s="6"/>
      <c r="K1707" s="6"/>
      <c r="L1707" s="6"/>
      <c r="M1707" s="6"/>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c r="BU1707" s="6"/>
      <c r="BV1707" s="6"/>
      <c r="BW1707" s="6"/>
      <c r="BX1707" s="6"/>
      <c r="BY1707" s="6"/>
      <c r="BZ1707" s="6"/>
      <c r="CA1707" s="6"/>
      <c r="CB1707" s="6"/>
      <c r="CC1707" s="6"/>
      <c r="CD1707" s="6"/>
      <c r="CE1707" s="6"/>
      <c r="CF1707" s="6"/>
      <c r="CG1707" s="6"/>
      <c r="CH1707" s="6"/>
      <c r="CI1707" s="6"/>
      <c r="CJ1707" s="6"/>
      <c r="CK1707" s="6"/>
      <c r="CL1707" s="6"/>
      <c r="CM1707" s="6"/>
      <c r="CN1707" s="6"/>
      <c r="CO1707" s="6"/>
      <c r="CP1707" s="6"/>
      <c r="CQ1707" s="6"/>
      <c r="CR1707" s="6"/>
      <c r="CS1707" s="6"/>
      <c r="CT1707" s="6"/>
      <c r="CU1707" s="6"/>
      <c r="CV1707" s="6"/>
      <c r="CW1707" s="6"/>
      <c r="CX1707" s="6"/>
      <c r="CY1707" s="6"/>
      <c r="CZ1707" s="6"/>
      <c r="DA1707" s="6"/>
      <c r="DB1707" s="6"/>
      <c r="DC1707" s="6"/>
      <c r="DD1707" s="6"/>
    </row>
    <row r="1708" spans="1:108" ht="12.75" hidden="1" customHeight="1" outlineLevel="5">
      <c r="A1708" s="104" t="s">
        <v>231</v>
      </c>
      <c r="B1708" s="28">
        <v>1.1499999999999999</v>
      </c>
      <c r="C1708" s="11"/>
      <c r="D1708" s="18" t="str">
        <f>"&lt;" &amp; A1708 &amp; "&gt;" &amp; TEXT(B1708,"0.000000") &amp; "&lt;/" &amp; A1708 &amp; "&gt;"</f>
        <v>&lt;Max_Tip&gt;1.150000&lt;/Max_Tip&gt;</v>
      </c>
      <c r="E1708" s="175"/>
      <c r="F1708" s="6" t="s">
        <v>950</v>
      </c>
      <c r="G1708" s="6"/>
      <c r="H1708" s="6"/>
      <c r="I1708" s="6"/>
      <c r="J1708" s="6"/>
      <c r="K1708" s="6"/>
      <c r="L1708" s="6"/>
      <c r="M1708" s="6"/>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c r="BU1708" s="6"/>
      <c r="BV1708" s="6"/>
      <c r="BW1708" s="6"/>
      <c r="BX1708" s="6"/>
      <c r="BY1708" s="6"/>
      <c r="BZ1708" s="6"/>
      <c r="CA1708" s="6"/>
      <c r="CB1708" s="6"/>
      <c r="CC1708" s="6"/>
      <c r="CD1708" s="6"/>
      <c r="CE1708" s="6"/>
      <c r="CF1708" s="6"/>
      <c r="CG1708" s="6"/>
      <c r="CH1708" s="6"/>
      <c r="CI1708" s="6"/>
      <c r="CJ1708" s="6"/>
      <c r="CK1708" s="6"/>
      <c r="CL1708" s="6"/>
      <c r="CM1708" s="6"/>
      <c r="CN1708" s="6"/>
      <c r="CO1708" s="6"/>
      <c r="CP1708" s="6"/>
      <c r="CQ1708" s="6"/>
      <c r="CR1708" s="6"/>
      <c r="CS1708" s="6"/>
      <c r="CT1708" s="6"/>
      <c r="CU1708" s="6"/>
      <c r="CV1708" s="6"/>
      <c r="CW1708" s="6"/>
      <c r="CX1708" s="6"/>
      <c r="CY1708" s="6"/>
      <c r="CZ1708" s="6"/>
      <c r="DA1708" s="6"/>
      <c r="DB1708" s="6"/>
      <c r="DC1708" s="6"/>
      <c r="DD1708" s="6"/>
    </row>
    <row r="1709" spans="1:108" ht="12.75" hidden="1" customHeight="1" outlineLevel="5">
      <c r="A1709" s="104" t="s">
        <v>232</v>
      </c>
      <c r="B1709" s="28">
        <v>0.31333299999999997</v>
      </c>
      <c r="C1709" s="11"/>
      <c r="D1709" s="18" t="str">
        <f>"&lt;" &amp; A1709 &amp; "&gt;" &amp; TEXT(B1709,"0.000000") &amp; "&lt;/" &amp; A1709 &amp; "&gt;"</f>
        <v>&lt;Hub_Tip&gt;0.313333&lt;/Hub_Tip&gt;</v>
      </c>
      <c r="E1709" s="175"/>
      <c r="F1709" s="6" t="s">
        <v>951</v>
      </c>
      <c r="G1709" s="6"/>
      <c r="H1709" s="6"/>
      <c r="I1709" s="6"/>
      <c r="J1709" s="6"/>
      <c r="K1709" s="6"/>
      <c r="L1709" s="6"/>
      <c r="M1709" s="6"/>
      <c r="N1709" s="6"/>
      <c r="O1709" s="6"/>
      <c r="P1709" s="6"/>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c r="BU1709" s="6"/>
      <c r="BV1709" s="6"/>
      <c r="BW1709" s="6"/>
      <c r="BX1709" s="6"/>
      <c r="BY1709" s="6"/>
      <c r="BZ1709" s="6"/>
      <c r="CA1709" s="6"/>
      <c r="CB1709" s="6"/>
      <c r="CC1709" s="6"/>
      <c r="CD1709" s="6"/>
      <c r="CE1709" s="6"/>
      <c r="CF1709" s="6"/>
      <c r="CG1709" s="6"/>
      <c r="CH1709" s="6"/>
      <c r="CI1709" s="6"/>
      <c r="CJ1709" s="6"/>
      <c r="CK1709" s="6"/>
      <c r="CL1709" s="6"/>
      <c r="CM1709" s="6"/>
      <c r="CN1709" s="6"/>
      <c r="CO1709" s="6"/>
      <c r="CP1709" s="6"/>
      <c r="CQ1709" s="6"/>
      <c r="CR1709" s="6"/>
      <c r="CS1709" s="6"/>
      <c r="CT1709" s="6"/>
      <c r="CU1709" s="6"/>
      <c r="CV1709" s="6"/>
      <c r="CW1709" s="6"/>
      <c r="CX1709" s="6"/>
      <c r="CY1709" s="6"/>
      <c r="CZ1709" s="6"/>
      <c r="DA1709" s="6"/>
      <c r="DB1709" s="6"/>
      <c r="DC1709" s="6"/>
      <c r="DD1709" s="6"/>
    </row>
    <row r="1710" spans="1:108" ht="12.75" hidden="1" customHeight="1" outlineLevel="5">
      <c r="A1710" s="104" t="s">
        <v>233</v>
      </c>
      <c r="B1710" s="28">
        <v>0</v>
      </c>
      <c r="C1710" s="11"/>
      <c r="D1710" s="18" t="str">
        <f>"&lt;" &amp; A1710 &amp; "&gt;" &amp; TEXT(B1710,"0.000000") &amp; "&lt;/" &amp; A1710 &amp; "&gt;"</f>
        <v>&lt;Eng_Length&gt;0.000000&lt;/Eng_Length&gt;</v>
      </c>
      <c r="E1710" s="175"/>
      <c r="F1710" s="6" t="s">
        <v>869</v>
      </c>
      <c r="G1710" s="6"/>
      <c r="H1710" s="6"/>
      <c r="I1710" s="6"/>
      <c r="J1710" s="6"/>
      <c r="K1710" s="6"/>
      <c r="L1710" s="6"/>
      <c r="M1710" s="6"/>
      <c r="N1710" s="6"/>
      <c r="O1710" s="6"/>
      <c r="P1710" s="6"/>
      <c r="Q1710" s="6"/>
      <c r="R1710" s="6"/>
      <c r="S1710" s="6"/>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c r="BU1710" s="6"/>
      <c r="BV1710" s="6"/>
      <c r="BW1710" s="6"/>
      <c r="BX1710" s="6"/>
      <c r="BY1710" s="6"/>
      <c r="BZ1710" s="6"/>
      <c r="CA1710" s="6"/>
      <c r="CB1710" s="6"/>
      <c r="CC1710" s="6"/>
      <c r="CD1710" s="6"/>
      <c r="CE1710" s="6"/>
      <c r="CF1710" s="6"/>
      <c r="CG1710" s="6"/>
      <c r="CH1710" s="6"/>
      <c r="CI1710" s="6"/>
      <c r="CJ1710" s="6"/>
      <c r="CK1710" s="6"/>
      <c r="CL1710" s="6"/>
      <c r="CM1710" s="6"/>
      <c r="CN1710" s="6"/>
      <c r="CO1710" s="6"/>
      <c r="CP1710" s="6"/>
      <c r="CQ1710" s="6"/>
      <c r="CR1710" s="6"/>
      <c r="CS1710" s="6"/>
      <c r="CT1710" s="6"/>
      <c r="CU1710" s="6"/>
      <c r="CV1710" s="6"/>
      <c r="CW1710" s="6"/>
      <c r="CX1710" s="6"/>
      <c r="CY1710" s="6"/>
      <c r="CZ1710" s="6"/>
      <c r="DA1710" s="6"/>
      <c r="DB1710" s="6"/>
      <c r="DC1710" s="6"/>
      <c r="DD1710" s="6"/>
    </row>
    <row r="1711" spans="1:108" ht="12.75" hidden="1" customHeight="1" outlineLevel="5">
      <c r="A1711" s="104" t="s">
        <v>234</v>
      </c>
      <c r="B1711" s="28">
        <v>1</v>
      </c>
      <c r="C1711" s="11"/>
      <c r="D1711" s="18" t="str">
        <f>"&lt;" &amp; A1711 &amp; "&gt;" &amp; TEXT(B1711,0) &amp; "&lt;/" &amp; A1711 &amp; "&gt;"</f>
        <v>&lt;Inlet_Type&gt;1&lt;/Inlet_Type&gt;</v>
      </c>
      <c r="E1711" s="175"/>
      <c r="F1711" s="6" t="s">
        <v>870</v>
      </c>
      <c r="G1711" s="6"/>
      <c r="H1711" s="6"/>
      <c r="I1711" s="6"/>
      <c r="J1711" s="6"/>
      <c r="K1711" s="6"/>
      <c r="L1711" s="6"/>
      <c r="M1711" s="6"/>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c r="BU1711" s="6"/>
      <c r="BV1711" s="6"/>
      <c r="BW1711" s="6"/>
      <c r="BX1711" s="6"/>
      <c r="BY1711" s="6"/>
      <c r="BZ1711" s="6"/>
      <c r="CA1711" s="6"/>
      <c r="CB1711" s="6"/>
      <c r="CC1711" s="6"/>
      <c r="CD1711" s="6"/>
      <c r="CE1711" s="6"/>
      <c r="CF1711" s="6"/>
      <c r="CG1711" s="6"/>
      <c r="CH1711" s="6"/>
      <c r="CI1711" s="6"/>
      <c r="CJ1711" s="6"/>
      <c r="CK1711" s="6"/>
      <c r="CL1711" s="6"/>
      <c r="CM1711" s="6"/>
      <c r="CN1711" s="6"/>
      <c r="CO1711" s="6"/>
      <c r="CP1711" s="6"/>
      <c r="CQ1711" s="6"/>
      <c r="CR1711" s="6"/>
      <c r="CS1711" s="6"/>
      <c r="CT1711" s="6"/>
      <c r="CU1711" s="6"/>
      <c r="CV1711" s="6"/>
      <c r="CW1711" s="6"/>
      <c r="CX1711" s="6"/>
      <c r="CY1711" s="6"/>
      <c r="CZ1711" s="6"/>
      <c r="DA1711" s="6"/>
      <c r="DB1711" s="6"/>
      <c r="DC1711" s="6"/>
      <c r="DD1711" s="6"/>
    </row>
    <row r="1712" spans="1:108" ht="12.75" hidden="1" customHeight="1" outlineLevel="5">
      <c r="A1712" s="104" t="s">
        <v>235</v>
      </c>
      <c r="B1712" s="28">
        <v>0</v>
      </c>
      <c r="C1712" s="11"/>
      <c r="D1712" s="18" t="str">
        <f>"&lt;" &amp; A1712 &amp; "&gt;" &amp; TEXT(B1712,0) &amp; "&lt;/" &amp; A1712 &amp; "&gt;"</f>
        <v>&lt;Inl_Noz_Color&gt;0&lt;/Inl_Noz_Color&gt;</v>
      </c>
      <c r="E1712" s="175"/>
      <c r="F1712" s="6" t="s">
        <v>871</v>
      </c>
      <c r="G1712" s="6"/>
      <c r="H1712" s="6"/>
      <c r="I1712" s="6"/>
      <c r="J1712" s="6"/>
      <c r="K1712" s="6"/>
      <c r="L1712" s="6"/>
      <c r="M1712" s="6"/>
      <c r="N1712" s="6"/>
      <c r="O1712" s="6"/>
      <c r="P1712" s="6"/>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c r="BU1712" s="6"/>
      <c r="BV1712" s="6"/>
      <c r="BW1712" s="6"/>
      <c r="BX1712" s="6"/>
      <c r="BY1712" s="6"/>
      <c r="BZ1712" s="6"/>
      <c r="CA1712" s="6"/>
      <c r="CB1712" s="6"/>
      <c r="CC1712" s="6"/>
      <c r="CD1712" s="6"/>
      <c r="CE1712" s="6"/>
      <c r="CF1712" s="6"/>
      <c r="CG1712" s="6"/>
      <c r="CH1712" s="6"/>
      <c r="CI1712" s="6"/>
      <c r="CJ1712" s="6"/>
      <c r="CK1712" s="6"/>
      <c r="CL1712" s="6"/>
      <c r="CM1712" s="6"/>
      <c r="CN1712" s="6"/>
      <c r="CO1712" s="6"/>
      <c r="CP1712" s="6"/>
      <c r="CQ1712" s="6"/>
      <c r="CR1712" s="6"/>
      <c r="CS1712" s="6"/>
      <c r="CT1712" s="6"/>
      <c r="CU1712" s="6"/>
      <c r="CV1712" s="6"/>
      <c r="CW1712" s="6"/>
      <c r="CX1712" s="6"/>
      <c r="CY1712" s="6"/>
      <c r="CZ1712" s="6"/>
      <c r="DA1712" s="6"/>
      <c r="DB1712" s="6"/>
      <c r="DC1712" s="6"/>
      <c r="DD1712" s="6"/>
    </row>
    <row r="1713" spans="1:108" ht="12.75" hidden="1" customHeight="1" outlineLevel="5">
      <c r="A1713" s="104" t="s">
        <v>236</v>
      </c>
      <c r="B1713" s="28">
        <v>0</v>
      </c>
      <c r="C1713" s="11"/>
      <c r="D1713" s="18" t="str">
        <f>"&lt;" &amp; A1713 &amp; "&gt;" &amp; TEXT(B1713,0) &amp; "&lt;/" &amp; A1713 &amp; "&gt;"</f>
        <v>&lt;Inlet_XY_Sym_Flag&gt;0&lt;/Inlet_XY_Sym_Flag&gt;</v>
      </c>
      <c r="E1713" s="175"/>
      <c r="F1713" s="6" t="s">
        <v>872</v>
      </c>
      <c r="G1713" s="6"/>
      <c r="H1713" s="6"/>
      <c r="I1713" s="6"/>
      <c r="J1713" s="6"/>
      <c r="K1713" s="6"/>
      <c r="L1713" s="6"/>
      <c r="M1713" s="6"/>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c r="BU1713" s="6"/>
      <c r="BV1713" s="6"/>
      <c r="BW1713" s="6"/>
      <c r="BX1713" s="6"/>
      <c r="BY1713" s="6"/>
      <c r="BZ1713" s="6"/>
      <c r="CA1713" s="6"/>
      <c r="CB1713" s="6"/>
      <c r="CC1713" s="6"/>
      <c r="CD1713" s="6"/>
      <c r="CE1713" s="6"/>
      <c r="CF1713" s="6"/>
      <c r="CG1713" s="6"/>
      <c r="CH1713" s="6"/>
      <c r="CI1713" s="6"/>
      <c r="CJ1713" s="6"/>
      <c r="CK1713" s="6"/>
      <c r="CL1713" s="6"/>
      <c r="CM1713" s="6"/>
      <c r="CN1713" s="6"/>
      <c r="CO1713" s="6"/>
      <c r="CP1713" s="6"/>
      <c r="CQ1713" s="6"/>
      <c r="CR1713" s="6"/>
      <c r="CS1713" s="6"/>
      <c r="CT1713" s="6"/>
      <c r="CU1713" s="6"/>
      <c r="CV1713" s="6"/>
      <c r="CW1713" s="6"/>
      <c r="CX1713" s="6"/>
      <c r="CY1713" s="6"/>
      <c r="CZ1713" s="6"/>
      <c r="DA1713" s="6"/>
      <c r="DB1713" s="6"/>
      <c r="DC1713" s="6"/>
      <c r="DD1713" s="6"/>
    </row>
    <row r="1714" spans="1:108" ht="12.75" hidden="1" customHeight="1" outlineLevel="5">
      <c r="A1714" s="104" t="s">
        <v>237</v>
      </c>
      <c r="B1714" s="28">
        <v>0</v>
      </c>
      <c r="C1714" s="11"/>
      <c r="D1714" s="18" t="str">
        <f>"&lt;" &amp; A1714 &amp; "&gt;" &amp; TEXT(B1714,0) &amp; "&lt;/" &amp; A1714 &amp; "&gt;"</f>
        <v>&lt;Inlet_Half_Split_Flag&gt;0&lt;/Inlet_Half_Split_Flag&gt;</v>
      </c>
      <c r="E1714" s="175"/>
      <c r="F1714" s="6" t="s">
        <v>873</v>
      </c>
      <c r="G1714" s="6"/>
      <c r="H1714" s="6"/>
      <c r="I1714" s="6"/>
      <c r="J1714" s="6"/>
      <c r="K1714" s="6"/>
      <c r="L1714" s="6"/>
      <c r="M1714" s="6"/>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c r="BU1714" s="6"/>
      <c r="BV1714" s="6"/>
      <c r="BW1714" s="6"/>
      <c r="BX1714" s="6"/>
      <c r="BY1714" s="6"/>
      <c r="BZ1714" s="6"/>
      <c r="CA1714" s="6"/>
      <c r="CB1714" s="6"/>
      <c r="CC1714" s="6"/>
      <c r="CD1714" s="6"/>
      <c r="CE1714" s="6"/>
      <c r="CF1714" s="6"/>
      <c r="CG1714" s="6"/>
      <c r="CH1714" s="6"/>
      <c r="CI1714" s="6"/>
      <c r="CJ1714" s="6"/>
      <c r="CK1714" s="6"/>
      <c r="CL1714" s="6"/>
      <c r="CM1714" s="6"/>
      <c r="CN1714" s="6"/>
      <c r="CO1714" s="6"/>
      <c r="CP1714" s="6"/>
      <c r="CQ1714" s="6"/>
      <c r="CR1714" s="6"/>
      <c r="CS1714" s="6"/>
      <c r="CT1714" s="6"/>
      <c r="CU1714" s="6"/>
      <c r="CV1714" s="6"/>
      <c r="CW1714" s="6"/>
      <c r="CX1714" s="6"/>
      <c r="CY1714" s="6"/>
      <c r="CZ1714" s="6"/>
      <c r="DA1714" s="6"/>
      <c r="DB1714" s="6"/>
      <c r="DC1714" s="6"/>
      <c r="DD1714" s="6"/>
    </row>
    <row r="1715" spans="1:108" ht="12.75" hidden="1" customHeight="1" outlineLevel="5">
      <c r="A1715" s="104" t="s">
        <v>238</v>
      </c>
      <c r="B1715" s="94">
        <f>0.5*l_e.j/B1707</f>
        <v>1.8246959177837139</v>
      </c>
      <c r="C1715" s="11"/>
      <c r="D1715" s="18" t="str">
        <f t="shared" ref="D1715:D1723" si="90">"&lt;" &amp; A1715 &amp; "&gt;" &amp; TEXT(B1715,"0.000000") &amp; "&lt;/" &amp; A1715 &amp; "&gt;"</f>
        <v>&lt;Cowl_Length&gt;1.824696&lt;/Cowl_Length&gt;</v>
      </c>
      <c r="E1715" s="175"/>
      <c r="F1715" s="6" t="s">
        <v>1008</v>
      </c>
      <c r="G1715" s="6"/>
      <c r="H1715" s="6"/>
      <c r="I1715" s="6"/>
      <c r="J1715" s="6"/>
      <c r="K1715" s="6"/>
      <c r="L1715" s="6"/>
      <c r="M1715" s="6"/>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c r="BU1715" s="6"/>
      <c r="BV1715" s="6"/>
      <c r="BW1715" s="6"/>
      <c r="BX1715" s="6"/>
      <c r="BY1715" s="6"/>
      <c r="BZ1715" s="6"/>
      <c r="CA1715" s="6"/>
      <c r="CB1715" s="6"/>
      <c r="CC1715" s="6"/>
      <c r="CD1715" s="6"/>
      <c r="CE1715" s="6"/>
      <c r="CF1715" s="6"/>
      <c r="CG1715" s="6"/>
      <c r="CH1715" s="6"/>
      <c r="CI1715" s="6"/>
      <c r="CJ1715" s="6"/>
      <c r="CK1715" s="6"/>
      <c r="CL1715" s="6"/>
      <c r="CM1715" s="6"/>
      <c r="CN1715" s="6"/>
      <c r="CO1715" s="6"/>
      <c r="CP1715" s="6"/>
      <c r="CQ1715" s="6"/>
      <c r="CR1715" s="6"/>
      <c r="CS1715" s="6"/>
      <c r="CT1715" s="6"/>
      <c r="CU1715" s="6"/>
      <c r="CV1715" s="6"/>
      <c r="CW1715" s="6"/>
      <c r="CX1715" s="6"/>
      <c r="CY1715" s="6"/>
      <c r="CZ1715" s="6"/>
      <c r="DA1715" s="6"/>
      <c r="DB1715" s="6"/>
      <c r="DC1715" s="6"/>
      <c r="DD1715" s="6"/>
    </row>
    <row r="1716" spans="1:108" ht="12.75" hidden="1" customHeight="1" outlineLevel="5">
      <c r="A1716" s="104" t="s">
        <v>239</v>
      </c>
      <c r="B1716" s="28">
        <v>1.1499999999999999</v>
      </c>
      <c r="C1716" s="11"/>
      <c r="D1716" s="18" t="str">
        <f t="shared" si="90"/>
        <v>&lt;Eng_Thrt_Ratio&gt;1.150000&lt;/Eng_Thrt_Ratio&gt;</v>
      </c>
      <c r="E1716" s="175"/>
      <c r="F1716" s="6" t="s">
        <v>952</v>
      </c>
      <c r="G1716" s="6"/>
      <c r="H1716" s="6"/>
      <c r="I1716" s="6"/>
      <c r="J1716" s="6"/>
      <c r="K1716" s="6"/>
      <c r="L1716" s="6"/>
      <c r="M1716" s="6"/>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c r="BU1716" s="6"/>
      <c r="BV1716" s="6"/>
      <c r="BW1716" s="6"/>
      <c r="BX1716" s="6"/>
      <c r="BY1716" s="6"/>
      <c r="BZ1716" s="6"/>
      <c r="CA1716" s="6"/>
      <c r="CB1716" s="6"/>
      <c r="CC1716" s="6"/>
      <c r="CD1716" s="6"/>
      <c r="CE1716" s="6"/>
      <c r="CF1716" s="6"/>
      <c r="CG1716" s="6"/>
      <c r="CH1716" s="6"/>
      <c r="CI1716" s="6"/>
      <c r="CJ1716" s="6"/>
      <c r="CK1716" s="6"/>
      <c r="CL1716" s="6"/>
      <c r="CM1716" s="6"/>
      <c r="CN1716" s="6"/>
      <c r="CO1716" s="6"/>
      <c r="CP1716" s="6"/>
      <c r="CQ1716" s="6"/>
      <c r="CR1716" s="6"/>
      <c r="CS1716" s="6"/>
      <c r="CT1716" s="6"/>
      <c r="CU1716" s="6"/>
      <c r="CV1716" s="6"/>
      <c r="CW1716" s="6"/>
      <c r="CX1716" s="6"/>
      <c r="CY1716" s="6"/>
      <c r="CZ1716" s="6"/>
      <c r="DA1716" s="6"/>
      <c r="DB1716" s="6"/>
      <c r="DC1716" s="6"/>
      <c r="DD1716" s="6"/>
    </row>
    <row r="1717" spans="1:108" ht="12.75" hidden="1" customHeight="1" outlineLevel="5">
      <c r="A1717" s="104" t="s">
        <v>240</v>
      </c>
      <c r="B1717" s="28">
        <v>1.1499999999999999</v>
      </c>
      <c r="C1717" s="11"/>
      <c r="D1717" s="18" t="str">
        <f t="shared" si="90"/>
        <v>&lt;Hilight_Thrt_Ratio&gt;1.150000&lt;/Hilight_Thrt_Ratio&gt;</v>
      </c>
      <c r="E1717" s="175"/>
      <c r="F1717" s="6" t="s">
        <v>953</v>
      </c>
      <c r="G1717" s="6"/>
      <c r="H1717" s="6"/>
      <c r="I1717" s="6"/>
      <c r="J1717" s="6"/>
      <c r="K1717" s="6"/>
      <c r="L1717" s="6"/>
      <c r="M1717" s="6"/>
      <c r="N1717" s="6"/>
      <c r="O1717" s="6"/>
      <c r="P1717" s="6"/>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c r="BU1717" s="6"/>
      <c r="BV1717" s="6"/>
      <c r="BW1717" s="6"/>
      <c r="BX1717" s="6"/>
      <c r="BY1717" s="6"/>
      <c r="BZ1717" s="6"/>
      <c r="CA1717" s="6"/>
      <c r="CB1717" s="6"/>
      <c r="CC1717" s="6"/>
      <c r="CD1717" s="6"/>
      <c r="CE1717" s="6"/>
      <c r="CF1717" s="6"/>
      <c r="CG1717" s="6"/>
      <c r="CH1717" s="6"/>
      <c r="CI1717" s="6"/>
      <c r="CJ1717" s="6"/>
      <c r="CK1717" s="6"/>
      <c r="CL1717" s="6"/>
      <c r="CM1717" s="6"/>
      <c r="CN1717" s="6"/>
      <c r="CO1717" s="6"/>
      <c r="CP1717" s="6"/>
      <c r="CQ1717" s="6"/>
      <c r="CR1717" s="6"/>
      <c r="CS1717" s="6"/>
      <c r="CT1717" s="6"/>
      <c r="CU1717" s="6"/>
      <c r="CV1717" s="6"/>
      <c r="CW1717" s="6"/>
      <c r="CX1717" s="6"/>
      <c r="CY1717" s="6"/>
      <c r="CZ1717" s="6"/>
      <c r="DA1717" s="6"/>
      <c r="DB1717" s="6"/>
      <c r="DC1717" s="6"/>
      <c r="DD1717" s="6"/>
    </row>
    <row r="1718" spans="1:108" ht="12.75" hidden="1" customHeight="1" outlineLevel="5">
      <c r="A1718" s="104" t="s">
        <v>241</v>
      </c>
      <c r="B1718" s="28">
        <v>1.026904</v>
      </c>
      <c r="C1718" s="11"/>
      <c r="D1718" s="18" t="str">
        <f t="shared" si="90"/>
        <v>&lt;Lip_Finess_Ratio&gt;1.026904&lt;/Lip_Finess_Ratio&gt;</v>
      </c>
      <c r="E1718" s="175"/>
      <c r="F1718" s="6" t="s">
        <v>954</v>
      </c>
      <c r="G1718" s="6"/>
      <c r="H1718" s="6"/>
      <c r="I1718" s="6"/>
      <c r="J1718" s="6"/>
      <c r="K1718" s="6"/>
      <c r="L1718" s="6"/>
      <c r="M1718" s="6"/>
      <c r="N1718" s="6"/>
      <c r="O1718" s="6"/>
      <c r="P1718" s="6"/>
      <c r="Q1718" s="6"/>
      <c r="R1718" s="6"/>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c r="BU1718" s="6"/>
      <c r="BV1718" s="6"/>
      <c r="BW1718" s="6"/>
      <c r="BX1718" s="6"/>
      <c r="BY1718" s="6"/>
      <c r="BZ1718" s="6"/>
      <c r="CA1718" s="6"/>
      <c r="CB1718" s="6"/>
      <c r="CC1718" s="6"/>
      <c r="CD1718" s="6"/>
      <c r="CE1718" s="6"/>
      <c r="CF1718" s="6"/>
      <c r="CG1718" s="6"/>
      <c r="CH1718" s="6"/>
      <c r="CI1718" s="6"/>
      <c r="CJ1718" s="6"/>
      <c r="CK1718" s="6"/>
      <c r="CL1718" s="6"/>
      <c r="CM1718" s="6"/>
      <c r="CN1718" s="6"/>
      <c r="CO1718" s="6"/>
      <c r="CP1718" s="6"/>
      <c r="CQ1718" s="6"/>
      <c r="CR1718" s="6"/>
      <c r="CS1718" s="6"/>
      <c r="CT1718" s="6"/>
      <c r="CU1718" s="6"/>
      <c r="CV1718" s="6"/>
      <c r="CW1718" s="6"/>
      <c r="CX1718" s="6"/>
      <c r="CY1718" s="6"/>
      <c r="CZ1718" s="6"/>
      <c r="DA1718" s="6"/>
      <c r="DB1718" s="6"/>
      <c r="DC1718" s="6"/>
      <c r="DD1718" s="6"/>
    </row>
    <row r="1719" spans="1:108" ht="12.75" hidden="1" customHeight="1" outlineLevel="5">
      <c r="A1719" s="104" t="s">
        <v>242</v>
      </c>
      <c r="B1719" s="28">
        <v>1</v>
      </c>
      <c r="C1719" s="11"/>
      <c r="D1719" s="18" t="str">
        <f t="shared" si="90"/>
        <v>&lt;Height_Width_Ratio&gt;1.000000&lt;/Height_Width_Ratio&gt;</v>
      </c>
      <c r="E1719" s="175"/>
      <c r="F1719" s="6" t="s">
        <v>878</v>
      </c>
      <c r="G1719" s="6"/>
      <c r="H1719" s="6"/>
      <c r="I1719" s="6"/>
      <c r="J1719" s="6"/>
      <c r="K1719" s="6"/>
      <c r="L1719" s="6"/>
      <c r="M1719" s="6"/>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c r="BU1719" s="6"/>
      <c r="BV1719" s="6"/>
      <c r="BW1719" s="6"/>
      <c r="BX1719" s="6"/>
      <c r="BY1719" s="6"/>
      <c r="BZ1719" s="6"/>
      <c r="CA1719" s="6"/>
      <c r="CB1719" s="6"/>
      <c r="CC1719" s="6"/>
      <c r="CD1719" s="6"/>
      <c r="CE1719" s="6"/>
      <c r="CF1719" s="6"/>
      <c r="CG1719" s="6"/>
      <c r="CH1719" s="6"/>
      <c r="CI1719" s="6"/>
      <c r="CJ1719" s="6"/>
      <c r="CK1719" s="6"/>
      <c r="CL1719" s="6"/>
      <c r="CM1719" s="6"/>
      <c r="CN1719" s="6"/>
      <c r="CO1719" s="6"/>
      <c r="CP1719" s="6"/>
      <c r="CQ1719" s="6"/>
      <c r="CR1719" s="6"/>
      <c r="CS1719" s="6"/>
      <c r="CT1719" s="6"/>
      <c r="CU1719" s="6"/>
      <c r="CV1719" s="6"/>
      <c r="CW1719" s="6"/>
      <c r="CX1719" s="6"/>
      <c r="CY1719" s="6"/>
      <c r="CZ1719" s="6"/>
      <c r="DA1719" s="6"/>
      <c r="DB1719" s="6"/>
      <c r="DC1719" s="6"/>
      <c r="DD1719" s="6"/>
    </row>
    <row r="1720" spans="1:108" ht="12.75" hidden="1" customHeight="1" outlineLevel="5">
      <c r="A1720" s="104" t="s">
        <v>243</v>
      </c>
      <c r="B1720" s="28">
        <v>-0.95229299999999995</v>
      </c>
      <c r="C1720" s="11"/>
      <c r="D1720" s="18" t="str">
        <f t="shared" si="90"/>
        <v>&lt;Upper_Surf_Shape_Factor&gt;-0.952293&lt;/Upper_Surf_Shape_Factor&gt;</v>
      </c>
      <c r="E1720" s="175"/>
      <c r="F1720" s="6" t="s">
        <v>955</v>
      </c>
      <c r="G1720" s="6"/>
      <c r="H1720" s="6"/>
      <c r="I1720" s="6"/>
      <c r="J1720" s="6"/>
      <c r="K1720" s="6"/>
      <c r="L1720" s="6"/>
      <c r="M1720" s="6"/>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c r="BU1720" s="6"/>
      <c r="BV1720" s="6"/>
      <c r="BW1720" s="6"/>
      <c r="BX1720" s="6"/>
      <c r="BY1720" s="6"/>
      <c r="BZ1720" s="6"/>
      <c r="CA1720" s="6"/>
      <c r="CB1720" s="6"/>
      <c r="CC1720" s="6"/>
      <c r="CD1720" s="6"/>
      <c r="CE1720" s="6"/>
      <c r="CF1720" s="6"/>
      <c r="CG1720" s="6"/>
      <c r="CH1720" s="6"/>
      <c r="CI1720" s="6"/>
      <c r="CJ1720" s="6"/>
      <c r="CK1720" s="6"/>
      <c r="CL1720" s="6"/>
      <c r="CM1720" s="6"/>
      <c r="CN1720" s="6"/>
      <c r="CO1720" s="6"/>
      <c r="CP1720" s="6"/>
      <c r="CQ1720" s="6"/>
      <c r="CR1720" s="6"/>
      <c r="CS1720" s="6"/>
      <c r="CT1720" s="6"/>
      <c r="CU1720" s="6"/>
      <c r="CV1720" s="6"/>
      <c r="CW1720" s="6"/>
      <c r="CX1720" s="6"/>
      <c r="CY1720" s="6"/>
      <c r="CZ1720" s="6"/>
      <c r="DA1720" s="6"/>
      <c r="DB1720" s="6"/>
      <c r="DC1720" s="6"/>
      <c r="DD1720" s="6"/>
    </row>
    <row r="1721" spans="1:108" ht="12.75" hidden="1" customHeight="1" outlineLevel="5">
      <c r="A1721" s="104" t="s">
        <v>244</v>
      </c>
      <c r="B1721" s="28">
        <v>0.66507400000000005</v>
      </c>
      <c r="C1721" s="11"/>
      <c r="D1721" s="18" t="str">
        <f t="shared" si="90"/>
        <v>&lt;Lower_Surf_Shape_Factor&gt;0.665074&lt;/Lower_Surf_Shape_Factor&gt;</v>
      </c>
      <c r="E1721" s="175"/>
      <c r="F1721" s="6" t="s">
        <v>956</v>
      </c>
      <c r="G1721" s="6"/>
      <c r="H1721" s="6"/>
      <c r="I1721" s="6"/>
      <c r="J1721" s="6"/>
      <c r="K1721" s="6"/>
      <c r="L1721" s="6"/>
      <c r="M1721" s="6"/>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c r="BU1721" s="6"/>
      <c r="BV1721" s="6"/>
      <c r="BW1721" s="6"/>
      <c r="BX1721" s="6"/>
      <c r="BY1721" s="6"/>
      <c r="BZ1721" s="6"/>
      <c r="CA1721" s="6"/>
      <c r="CB1721" s="6"/>
      <c r="CC1721" s="6"/>
      <c r="CD1721" s="6"/>
      <c r="CE1721" s="6"/>
      <c r="CF1721" s="6"/>
      <c r="CG1721" s="6"/>
      <c r="CH1721" s="6"/>
      <c r="CI1721" s="6"/>
      <c r="CJ1721" s="6"/>
      <c r="CK1721" s="6"/>
      <c r="CL1721" s="6"/>
      <c r="CM1721" s="6"/>
      <c r="CN1721" s="6"/>
      <c r="CO1721" s="6"/>
      <c r="CP1721" s="6"/>
      <c r="CQ1721" s="6"/>
      <c r="CR1721" s="6"/>
      <c r="CS1721" s="6"/>
      <c r="CT1721" s="6"/>
      <c r="CU1721" s="6"/>
      <c r="CV1721" s="6"/>
      <c r="CW1721" s="6"/>
      <c r="CX1721" s="6"/>
      <c r="CY1721" s="6"/>
      <c r="CZ1721" s="6"/>
      <c r="DA1721" s="6"/>
      <c r="DB1721" s="6"/>
      <c r="DC1721" s="6"/>
      <c r="DD1721" s="6"/>
    </row>
    <row r="1722" spans="1:108" ht="12.75" hidden="1" customHeight="1" outlineLevel="5">
      <c r="A1722" s="104" t="s">
        <v>245</v>
      </c>
      <c r="B1722" s="28">
        <v>90</v>
      </c>
      <c r="C1722" s="11"/>
      <c r="D1722" s="18" t="str">
        <f t="shared" si="90"/>
        <v>&lt;Inlet_X_Axis_Rot&gt;90.000000&lt;/Inlet_X_Axis_Rot&gt;</v>
      </c>
      <c r="E1722" s="175"/>
      <c r="F1722" s="6" t="s">
        <v>957</v>
      </c>
      <c r="G1722" s="6"/>
      <c r="H1722" s="6"/>
      <c r="I1722" s="6"/>
      <c r="J1722" s="6"/>
      <c r="K1722" s="6"/>
      <c r="L1722" s="6"/>
      <c r="M1722" s="6"/>
      <c r="N1722" s="6"/>
      <c r="O1722" s="6"/>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c r="BU1722" s="6"/>
      <c r="BV1722" s="6"/>
      <c r="BW1722" s="6"/>
      <c r="BX1722" s="6"/>
      <c r="BY1722" s="6"/>
      <c r="BZ1722" s="6"/>
      <c r="CA1722" s="6"/>
      <c r="CB1722" s="6"/>
      <c r="CC1722" s="6"/>
      <c r="CD1722" s="6"/>
      <c r="CE1722" s="6"/>
      <c r="CF1722" s="6"/>
      <c r="CG1722" s="6"/>
      <c r="CH1722" s="6"/>
      <c r="CI1722" s="6"/>
      <c r="CJ1722" s="6"/>
      <c r="CK1722" s="6"/>
      <c r="CL1722" s="6"/>
      <c r="CM1722" s="6"/>
      <c r="CN1722" s="6"/>
      <c r="CO1722" s="6"/>
      <c r="CP1722" s="6"/>
      <c r="CQ1722" s="6"/>
      <c r="CR1722" s="6"/>
      <c r="CS1722" s="6"/>
      <c r="CT1722" s="6"/>
      <c r="CU1722" s="6"/>
      <c r="CV1722" s="6"/>
      <c r="CW1722" s="6"/>
      <c r="CX1722" s="6"/>
      <c r="CY1722" s="6"/>
      <c r="CZ1722" s="6"/>
      <c r="DA1722" s="6"/>
      <c r="DB1722" s="6"/>
      <c r="DC1722" s="6"/>
      <c r="DD1722" s="6"/>
    </row>
    <row r="1723" spans="1:108" ht="12.75" hidden="1" customHeight="1" outlineLevel="5">
      <c r="A1723" s="104" t="s">
        <v>246</v>
      </c>
      <c r="B1723" s="28">
        <v>2</v>
      </c>
      <c r="C1723" s="11"/>
      <c r="D1723" s="18" t="str">
        <f t="shared" si="90"/>
        <v>&lt;Inlet_Scarf_Angle&gt;2.000000&lt;/Inlet_Scarf_Angle&gt;</v>
      </c>
      <c r="E1723" s="175"/>
      <c r="F1723" s="6" t="s">
        <v>958</v>
      </c>
      <c r="G1723" s="6"/>
      <c r="H1723" s="6"/>
      <c r="I1723" s="6"/>
      <c r="J1723" s="6"/>
      <c r="K1723" s="6"/>
      <c r="L1723" s="6"/>
      <c r="M1723" s="6"/>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c r="BU1723" s="6"/>
      <c r="BV1723" s="6"/>
      <c r="BW1723" s="6"/>
      <c r="BX1723" s="6"/>
      <c r="BY1723" s="6"/>
      <c r="BZ1723" s="6"/>
      <c r="CA1723" s="6"/>
      <c r="CB1723" s="6"/>
      <c r="CC1723" s="6"/>
      <c r="CD1723" s="6"/>
      <c r="CE1723" s="6"/>
      <c r="CF1723" s="6"/>
      <c r="CG1723" s="6"/>
      <c r="CH1723" s="6"/>
      <c r="CI1723" s="6"/>
      <c r="CJ1723" s="6"/>
      <c r="CK1723" s="6"/>
      <c r="CL1723" s="6"/>
      <c r="CM1723" s="6"/>
      <c r="CN1723" s="6"/>
      <c r="CO1723" s="6"/>
      <c r="CP1723" s="6"/>
      <c r="CQ1723" s="6"/>
      <c r="CR1723" s="6"/>
      <c r="CS1723" s="6"/>
      <c r="CT1723" s="6"/>
      <c r="CU1723" s="6"/>
      <c r="CV1723" s="6"/>
      <c r="CW1723" s="6"/>
      <c r="CX1723" s="6"/>
      <c r="CY1723" s="6"/>
      <c r="CZ1723" s="6"/>
      <c r="DA1723" s="6"/>
      <c r="DB1723" s="6"/>
      <c r="DC1723" s="6"/>
      <c r="DD1723" s="6"/>
    </row>
    <row r="1724" spans="1:108" ht="12.75" hidden="1" customHeight="1" outlineLevel="5">
      <c r="A1724" s="104" t="s">
        <v>247</v>
      </c>
      <c r="B1724" s="28">
        <v>0</v>
      </c>
      <c r="C1724" s="11"/>
      <c r="D1724" s="18" t="str">
        <f>"&lt;" &amp; A1724 &amp; "&gt;" &amp; TEXT(B1724,0) &amp; "&lt;/" &amp; A1724 &amp; "&gt;"</f>
        <v>&lt;Inlet_Duct_On_Off&gt;0&lt;/Inlet_Duct_On_Off&gt;</v>
      </c>
      <c r="E1724" s="175"/>
      <c r="F1724" s="6" t="s">
        <v>883</v>
      </c>
      <c r="G1724" s="6"/>
      <c r="H1724" s="6"/>
      <c r="I1724" s="6"/>
      <c r="J1724" s="6"/>
      <c r="K1724" s="6"/>
      <c r="L1724" s="6"/>
      <c r="M1724" s="6"/>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c r="BU1724" s="6"/>
      <c r="BV1724" s="6"/>
      <c r="BW1724" s="6"/>
      <c r="BX1724" s="6"/>
      <c r="BY1724" s="6"/>
      <c r="BZ1724" s="6"/>
      <c r="CA1724" s="6"/>
      <c r="CB1724" s="6"/>
      <c r="CC1724" s="6"/>
      <c r="CD1724" s="6"/>
      <c r="CE1724" s="6"/>
      <c r="CF1724" s="6"/>
      <c r="CG1724" s="6"/>
      <c r="CH1724" s="6"/>
      <c r="CI1724" s="6"/>
      <c r="CJ1724" s="6"/>
      <c r="CK1724" s="6"/>
      <c r="CL1724" s="6"/>
      <c r="CM1724" s="6"/>
      <c r="CN1724" s="6"/>
      <c r="CO1724" s="6"/>
      <c r="CP1724" s="6"/>
      <c r="CQ1724" s="6"/>
      <c r="CR1724" s="6"/>
      <c r="CS1724" s="6"/>
      <c r="CT1724" s="6"/>
      <c r="CU1724" s="6"/>
      <c r="CV1724" s="6"/>
      <c r="CW1724" s="6"/>
      <c r="CX1724" s="6"/>
      <c r="CY1724" s="6"/>
      <c r="CZ1724" s="6"/>
      <c r="DA1724" s="6"/>
      <c r="DB1724" s="6"/>
      <c r="DC1724" s="6"/>
      <c r="DD1724" s="6"/>
    </row>
    <row r="1725" spans="1:108" ht="12.75" hidden="1" customHeight="1" outlineLevel="5">
      <c r="A1725" s="104" t="s">
        <v>248</v>
      </c>
      <c r="B1725" s="28">
        <v>3</v>
      </c>
      <c r="C1725" s="11"/>
      <c r="D1725" s="18" t="str">
        <f>"&lt;" &amp; A1725 &amp; "&gt;" &amp; TEXT(B1725,"0.000000") &amp; "&lt;/" &amp; A1725 &amp; "&gt;"</f>
        <v>&lt;Inlet_Duct_X_Offset&gt;3.000000&lt;/Inlet_Duct_X_Offset&gt;</v>
      </c>
      <c r="E1725" s="175"/>
      <c r="F1725" s="6" t="s">
        <v>884</v>
      </c>
      <c r="G1725" s="6"/>
      <c r="H1725" s="6"/>
      <c r="I1725" s="6"/>
      <c r="J1725" s="6"/>
      <c r="K1725" s="6"/>
      <c r="L1725" s="6"/>
      <c r="M1725" s="6"/>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c r="BU1725" s="6"/>
      <c r="BV1725" s="6"/>
      <c r="BW1725" s="6"/>
      <c r="BX1725" s="6"/>
      <c r="BY1725" s="6"/>
      <c r="BZ1725" s="6"/>
      <c r="CA1725" s="6"/>
      <c r="CB1725" s="6"/>
      <c r="CC1725" s="6"/>
      <c r="CD1725" s="6"/>
      <c r="CE1725" s="6"/>
      <c r="CF1725" s="6"/>
      <c r="CG1725" s="6"/>
      <c r="CH1725" s="6"/>
      <c r="CI1725" s="6"/>
      <c r="CJ1725" s="6"/>
      <c r="CK1725" s="6"/>
      <c r="CL1725" s="6"/>
      <c r="CM1725" s="6"/>
      <c r="CN1725" s="6"/>
      <c r="CO1725" s="6"/>
      <c r="CP1725" s="6"/>
      <c r="CQ1725" s="6"/>
      <c r="CR1725" s="6"/>
      <c r="CS1725" s="6"/>
      <c r="CT1725" s="6"/>
      <c r="CU1725" s="6"/>
      <c r="CV1725" s="6"/>
      <c r="CW1725" s="6"/>
      <c r="CX1725" s="6"/>
      <c r="CY1725" s="6"/>
      <c r="CZ1725" s="6"/>
      <c r="DA1725" s="6"/>
      <c r="DB1725" s="6"/>
      <c r="DC1725" s="6"/>
      <c r="DD1725" s="6"/>
    </row>
    <row r="1726" spans="1:108" ht="12.75" hidden="1" customHeight="1" outlineLevel="5">
      <c r="A1726" s="104" t="s">
        <v>249</v>
      </c>
      <c r="B1726" s="28">
        <v>1</v>
      </c>
      <c r="C1726" s="11"/>
      <c r="D1726" s="18" t="str">
        <f>"&lt;" &amp; A1726 &amp; "&gt;" &amp; TEXT(B1726,"0.000000") &amp; "&lt;/" &amp; A1726 &amp; "&gt;"</f>
        <v>&lt;Inlet_Duct_Y_Offset&gt;1.000000&lt;/Inlet_Duct_Y_Offset&gt;</v>
      </c>
      <c r="E1726" s="175"/>
      <c r="F1726" s="6" t="s">
        <v>885</v>
      </c>
      <c r="G1726" s="6"/>
      <c r="H1726" s="6"/>
      <c r="I1726" s="6"/>
      <c r="J1726" s="6"/>
      <c r="K1726" s="6"/>
      <c r="L1726" s="6"/>
      <c r="M1726" s="6"/>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c r="BU1726" s="6"/>
      <c r="BV1726" s="6"/>
      <c r="BW1726" s="6"/>
      <c r="BX1726" s="6"/>
      <c r="BY1726" s="6"/>
      <c r="BZ1726" s="6"/>
      <c r="CA1726" s="6"/>
      <c r="CB1726" s="6"/>
      <c r="CC1726" s="6"/>
      <c r="CD1726" s="6"/>
      <c r="CE1726" s="6"/>
      <c r="CF1726" s="6"/>
      <c r="CG1726" s="6"/>
      <c r="CH1726" s="6"/>
      <c r="CI1726" s="6"/>
      <c r="CJ1726" s="6"/>
      <c r="CK1726" s="6"/>
      <c r="CL1726" s="6"/>
      <c r="CM1726" s="6"/>
      <c r="CN1726" s="6"/>
      <c r="CO1726" s="6"/>
      <c r="CP1726" s="6"/>
      <c r="CQ1726" s="6"/>
      <c r="CR1726" s="6"/>
      <c r="CS1726" s="6"/>
      <c r="CT1726" s="6"/>
      <c r="CU1726" s="6"/>
      <c r="CV1726" s="6"/>
      <c r="CW1726" s="6"/>
      <c r="CX1726" s="6"/>
      <c r="CY1726" s="6"/>
      <c r="CZ1726" s="6"/>
      <c r="DA1726" s="6"/>
      <c r="DB1726" s="6"/>
      <c r="DC1726" s="6"/>
      <c r="DD1726" s="6"/>
    </row>
    <row r="1727" spans="1:108" ht="12.75" hidden="1" customHeight="1" outlineLevel="5">
      <c r="A1727" s="104" t="s">
        <v>250</v>
      </c>
      <c r="B1727" s="28">
        <v>0.5</v>
      </c>
      <c r="C1727" s="11"/>
      <c r="D1727" s="18" t="str">
        <f>"&lt;" &amp; A1727 &amp; "&gt;" &amp; TEXT(B1727,"0.000000") &amp; "&lt;/" &amp; A1727 &amp; "&gt;"</f>
        <v>&lt;Inlet_Duct_Shape_Factor&gt;0.500000&lt;/Inlet_Duct_Shape_Factor&gt;</v>
      </c>
      <c r="E1727" s="175"/>
      <c r="F1727" s="6" t="s">
        <v>886</v>
      </c>
      <c r="G1727" s="6"/>
      <c r="H1727" s="6"/>
      <c r="I1727" s="6"/>
      <c r="J1727" s="6"/>
      <c r="K1727" s="6"/>
      <c r="L1727" s="6"/>
      <c r="M1727" s="6"/>
      <c r="N1727" s="6"/>
      <c r="O1727" s="6"/>
      <c r="P1727" s="6"/>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c r="BU1727" s="6"/>
      <c r="BV1727" s="6"/>
      <c r="BW1727" s="6"/>
      <c r="BX1727" s="6"/>
      <c r="BY1727" s="6"/>
      <c r="BZ1727" s="6"/>
      <c r="CA1727" s="6"/>
      <c r="CB1727" s="6"/>
      <c r="CC1727" s="6"/>
      <c r="CD1727" s="6"/>
      <c r="CE1727" s="6"/>
      <c r="CF1727" s="6"/>
      <c r="CG1727" s="6"/>
      <c r="CH1727" s="6"/>
      <c r="CI1727" s="6"/>
      <c r="CJ1727" s="6"/>
      <c r="CK1727" s="6"/>
      <c r="CL1727" s="6"/>
      <c r="CM1727" s="6"/>
      <c r="CN1727" s="6"/>
      <c r="CO1727" s="6"/>
      <c r="CP1727" s="6"/>
      <c r="CQ1727" s="6"/>
      <c r="CR1727" s="6"/>
      <c r="CS1727" s="6"/>
      <c r="CT1727" s="6"/>
      <c r="CU1727" s="6"/>
      <c r="CV1727" s="6"/>
      <c r="CW1727" s="6"/>
      <c r="CX1727" s="6"/>
      <c r="CY1727" s="6"/>
      <c r="CZ1727" s="6"/>
      <c r="DA1727" s="6"/>
      <c r="DB1727" s="6"/>
      <c r="DC1727" s="6"/>
      <c r="DD1727" s="6"/>
    </row>
    <row r="1728" spans="1:108" ht="12.75" hidden="1" customHeight="1" outlineLevel="5">
      <c r="A1728" s="104" t="s">
        <v>251</v>
      </c>
      <c r="B1728" s="28">
        <v>0</v>
      </c>
      <c r="C1728" s="11"/>
      <c r="D1728" s="18" t="str">
        <f>"&lt;" &amp; A1728 &amp; "&gt;" &amp; TEXT(B1728,0) &amp; "&lt;/" &amp; A1728 &amp; "&gt;"</f>
        <v>&lt;Divertor_On_Off&gt;0&lt;/Divertor_On_Off&gt;</v>
      </c>
      <c r="E1728" s="175"/>
      <c r="F1728" s="6" t="s">
        <v>887</v>
      </c>
      <c r="G1728" s="6"/>
      <c r="H1728" s="6"/>
      <c r="I1728" s="6"/>
      <c r="J1728" s="6"/>
      <c r="K1728" s="6"/>
      <c r="L1728" s="6"/>
      <c r="M1728" s="6"/>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c r="BU1728" s="6"/>
      <c r="BV1728" s="6"/>
      <c r="BW1728" s="6"/>
      <c r="BX1728" s="6"/>
      <c r="BY1728" s="6"/>
      <c r="BZ1728" s="6"/>
      <c r="CA1728" s="6"/>
      <c r="CB1728" s="6"/>
      <c r="CC1728" s="6"/>
      <c r="CD1728" s="6"/>
      <c r="CE1728" s="6"/>
      <c r="CF1728" s="6"/>
      <c r="CG1728" s="6"/>
      <c r="CH1728" s="6"/>
      <c r="CI1728" s="6"/>
      <c r="CJ1728" s="6"/>
      <c r="CK1728" s="6"/>
      <c r="CL1728" s="6"/>
      <c r="CM1728" s="6"/>
      <c r="CN1728" s="6"/>
      <c r="CO1728" s="6"/>
      <c r="CP1728" s="6"/>
      <c r="CQ1728" s="6"/>
      <c r="CR1728" s="6"/>
      <c r="CS1728" s="6"/>
      <c r="CT1728" s="6"/>
      <c r="CU1728" s="6"/>
      <c r="CV1728" s="6"/>
      <c r="CW1728" s="6"/>
      <c r="CX1728" s="6"/>
      <c r="CY1728" s="6"/>
      <c r="CZ1728" s="6"/>
      <c r="DA1728" s="6"/>
      <c r="DB1728" s="6"/>
      <c r="DC1728" s="6"/>
      <c r="DD1728" s="6"/>
    </row>
    <row r="1729" spans="1:108" ht="12.75" hidden="1" customHeight="1" outlineLevel="5">
      <c r="A1729" s="104" t="s">
        <v>252</v>
      </c>
      <c r="B1729" s="28">
        <v>0.5</v>
      </c>
      <c r="C1729" s="11"/>
      <c r="D1729" s="18" t="str">
        <f>"&lt;" &amp; A1729 &amp; "&gt;" &amp; TEXT(B1729,"0.000000") &amp; "&lt;/" &amp; A1729 &amp; "&gt;"</f>
        <v>&lt;Divertor_Height&gt;0.500000&lt;/Divertor_Height&gt;</v>
      </c>
      <c r="E1729" s="175"/>
      <c r="F1729" s="6" t="s">
        <v>888</v>
      </c>
      <c r="G1729" s="6"/>
      <c r="H1729" s="6"/>
      <c r="I1729" s="6"/>
      <c r="J1729" s="6"/>
      <c r="K1729" s="6"/>
      <c r="L1729" s="6"/>
      <c r="M1729" s="6"/>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c r="BU1729" s="6"/>
      <c r="BV1729" s="6"/>
      <c r="BW1729" s="6"/>
      <c r="BX1729" s="6"/>
      <c r="BY1729" s="6"/>
      <c r="BZ1729" s="6"/>
      <c r="CA1729" s="6"/>
      <c r="CB1729" s="6"/>
      <c r="CC1729" s="6"/>
      <c r="CD1729" s="6"/>
      <c r="CE1729" s="6"/>
      <c r="CF1729" s="6"/>
      <c r="CG1729" s="6"/>
      <c r="CH1729" s="6"/>
      <c r="CI1729" s="6"/>
      <c r="CJ1729" s="6"/>
      <c r="CK1729" s="6"/>
      <c r="CL1729" s="6"/>
      <c r="CM1729" s="6"/>
      <c r="CN1729" s="6"/>
      <c r="CO1729" s="6"/>
      <c r="CP1729" s="6"/>
      <c r="CQ1729" s="6"/>
      <c r="CR1729" s="6"/>
      <c r="CS1729" s="6"/>
      <c r="CT1729" s="6"/>
      <c r="CU1729" s="6"/>
      <c r="CV1729" s="6"/>
      <c r="CW1729" s="6"/>
      <c r="CX1729" s="6"/>
      <c r="CY1729" s="6"/>
      <c r="CZ1729" s="6"/>
      <c r="DA1729" s="6"/>
      <c r="DB1729" s="6"/>
      <c r="DC1729" s="6"/>
      <c r="DD1729" s="6"/>
    </row>
    <row r="1730" spans="1:108" ht="12.75" hidden="1" customHeight="1" outlineLevel="5">
      <c r="A1730" s="104" t="s">
        <v>253</v>
      </c>
      <c r="B1730" s="28">
        <v>1</v>
      </c>
      <c r="C1730" s="11"/>
      <c r="D1730" s="18" t="str">
        <f>"&lt;" &amp; A1730 &amp; "&gt;" &amp; TEXT(B1730,"0.000000") &amp; "&lt;/" &amp; A1730 &amp; "&gt;"</f>
        <v>&lt;Divertor_Length&gt;1.000000&lt;/Divertor_Length&gt;</v>
      </c>
      <c r="E1730" s="175"/>
      <c r="F1730" s="6" t="s">
        <v>889</v>
      </c>
      <c r="G1730" s="6"/>
      <c r="H1730" s="6"/>
      <c r="I1730" s="6"/>
      <c r="J1730" s="6"/>
      <c r="K1730" s="6"/>
      <c r="L1730" s="6"/>
      <c r="M1730" s="6"/>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c r="BU1730" s="6"/>
      <c r="BV1730" s="6"/>
      <c r="BW1730" s="6"/>
      <c r="BX1730" s="6"/>
      <c r="BY1730" s="6"/>
      <c r="BZ1730" s="6"/>
      <c r="CA1730" s="6"/>
      <c r="CB1730" s="6"/>
      <c r="CC1730" s="6"/>
      <c r="CD1730" s="6"/>
      <c r="CE1730" s="6"/>
      <c r="CF1730" s="6"/>
      <c r="CG1730" s="6"/>
      <c r="CH1730" s="6"/>
      <c r="CI1730" s="6"/>
      <c r="CJ1730" s="6"/>
      <c r="CK1730" s="6"/>
      <c r="CL1730" s="6"/>
      <c r="CM1730" s="6"/>
      <c r="CN1730" s="6"/>
      <c r="CO1730" s="6"/>
      <c r="CP1730" s="6"/>
      <c r="CQ1730" s="6"/>
      <c r="CR1730" s="6"/>
      <c r="CS1730" s="6"/>
      <c r="CT1730" s="6"/>
      <c r="CU1730" s="6"/>
      <c r="CV1730" s="6"/>
      <c r="CW1730" s="6"/>
      <c r="CX1730" s="6"/>
      <c r="CY1730" s="6"/>
      <c r="CZ1730" s="6"/>
      <c r="DA1730" s="6"/>
      <c r="DB1730" s="6"/>
      <c r="DC1730" s="6"/>
      <c r="DD1730" s="6"/>
    </row>
    <row r="1731" spans="1:108" ht="12.75" hidden="1" customHeight="1" outlineLevel="5">
      <c r="A1731" s="104" t="s">
        <v>254</v>
      </c>
      <c r="B1731" s="28">
        <v>0</v>
      </c>
      <c r="C1731" s="11"/>
      <c r="D1731" s="18" t="str">
        <f>"&lt;" &amp; A1731 &amp; "&gt;" &amp; TEXT(B1731,0) &amp; "&lt;/" &amp; A1731 &amp; "&gt;"</f>
        <v>&lt;Nozzle_Type&gt;0&lt;/Nozzle_Type&gt;</v>
      </c>
      <c r="E1731" s="175"/>
      <c r="F1731" s="6" t="s">
        <v>890</v>
      </c>
      <c r="G1731" s="6"/>
      <c r="H1731" s="6"/>
      <c r="I1731" s="6"/>
      <c r="J1731" s="6"/>
      <c r="K1731" s="6"/>
      <c r="L1731" s="6"/>
      <c r="M1731" s="6"/>
      <c r="N1731" s="6"/>
      <c r="O1731" s="6"/>
      <c r="P1731" s="6"/>
      <c r="Q1731" s="6"/>
      <c r="R1731" s="6"/>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c r="BU1731" s="6"/>
      <c r="BV1731" s="6"/>
      <c r="BW1731" s="6"/>
      <c r="BX1731" s="6"/>
      <c r="BY1731" s="6"/>
      <c r="BZ1731" s="6"/>
      <c r="CA1731" s="6"/>
      <c r="CB1731" s="6"/>
      <c r="CC1731" s="6"/>
      <c r="CD1731" s="6"/>
      <c r="CE1731" s="6"/>
      <c r="CF1731" s="6"/>
      <c r="CG1731" s="6"/>
      <c r="CH1731" s="6"/>
      <c r="CI1731" s="6"/>
      <c r="CJ1731" s="6"/>
      <c r="CK1731" s="6"/>
      <c r="CL1731" s="6"/>
      <c r="CM1731" s="6"/>
      <c r="CN1731" s="6"/>
      <c r="CO1731" s="6"/>
      <c r="CP1731" s="6"/>
      <c r="CQ1731" s="6"/>
      <c r="CR1731" s="6"/>
      <c r="CS1731" s="6"/>
      <c r="CT1731" s="6"/>
      <c r="CU1731" s="6"/>
      <c r="CV1731" s="6"/>
      <c r="CW1731" s="6"/>
      <c r="CX1731" s="6"/>
      <c r="CY1731" s="6"/>
      <c r="CZ1731" s="6"/>
      <c r="DA1731" s="6"/>
      <c r="DB1731" s="6"/>
      <c r="DC1731" s="6"/>
      <c r="DD1731" s="6"/>
    </row>
    <row r="1732" spans="1:108" ht="12.75" hidden="1" customHeight="1" outlineLevel="5">
      <c r="A1732" s="104" t="s">
        <v>255</v>
      </c>
      <c r="B1732" s="94">
        <f>IF(n_e = 1, (((cowl_cover)/100)*(B1346*B1321) + c_r.V)/B1707, ((cowl_cover)/100)*(B1346*B1321)/B1707)</f>
        <v>1.8246959177837139</v>
      </c>
      <c r="C1732" s="11"/>
      <c r="D1732" s="18" t="str">
        <f>"&lt;" &amp; A1732 &amp; "&gt;" &amp; TEXT(B1732,"0.000000") &amp; "&lt;/" &amp; A1732 &amp; "&gt;"</f>
        <v>&lt;Nozzle_Length&gt;1.824696&lt;/Nozzle_Length&gt;</v>
      </c>
      <c r="E1732" s="175"/>
      <c r="F1732" s="6" t="s">
        <v>1009</v>
      </c>
      <c r="G1732" s="6"/>
      <c r="H1732" s="6"/>
      <c r="I1732" s="6"/>
      <c r="J1732" s="6"/>
      <c r="K1732" s="6"/>
      <c r="L1732" s="6"/>
      <c r="M1732" s="6"/>
      <c r="N1732" s="6"/>
      <c r="O1732" s="6"/>
      <c r="P1732" s="6"/>
      <c r="Q1732" s="6"/>
      <c r="R1732" s="6"/>
      <c r="S1732" s="6"/>
      <c r="T1732" s="6"/>
      <c r="U1732" s="6"/>
      <c r="V1732" s="6"/>
      <c r="W1732" s="6"/>
      <c r="X1732" s="6"/>
      <c r="Y1732" s="6"/>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c r="BU1732" s="6"/>
      <c r="BV1732" s="6"/>
      <c r="BW1732" s="6"/>
      <c r="BX1732" s="6"/>
      <c r="BY1732" s="6"/>
      <c r="BZ1732" s="6"/>
      <c r="CA1732" s="6"/>
      <c r="CB1732" s="6"/>
      <c r="CC1732" s="6"/>
      <c r="CD1732" s="6"/>
      <c r="CE1732" s="6"/>
      <c r="CF1732" s="6"/>
      <c r="CG1732" s="6"/>
      <c r="CH1732" s="6"/>
      <c r="CI1732" s="6"/>
      <c r="CJ1732" s="6"/>
      <c r="CK1732" s="6"/>
      <c r="CL1732" s="6"/>
      <c r="CM1732" s="6"/>
      <c r="CN1732" s="6"/>
      <c r="CO1732" s="6"/>
      <c r="CP1732" s="6"/>
      <c r="CQ1732" s="6"/>
      <c r="CR1732" s="6"/>
      <c r="CS1732" s="6"/>
      <c r="CT1732" s="6"/>
      <c r="CU1732" s="6"/>
      <c r="CV1732" s="6"/>
      <c r="CW1732" s="6"/>
      <c r="CX1732" s="6"/>
      <c r="CY1732" s="6"/>
      <c r="CZ1732" s="6"/>
      <c r="DA1732" s="6"/>
      <c r="DB1732" s="6"/>
      <c r="DC1732" s="6"/>
      <c r="DD1732" s="6"/>
    </row>
    <row r="1733" spans="1:108" ht="12.75" hidden="1" customHeight="1" outlineLevel="5">
      <c r="A1733" s="104" t="s">
        <v>256</v>
      </c>
      <c r="B1733" s="28">
        <v>1.2</v>
      </c>
      <c r="C1733" s="11"/>
      <c r="D1733" s="18" t="str">
        <f>"&lt;" &amp; A1733 &amp; "&gt;" &amp; TEXT(B1733,"0.000000") &amp; "&lt;/" &amp; A1733 &amp; "&gt;"</f>
        <v>&lt;Exit_Area_Ratio&gt;1.200000&lt;/Exit_Area_Ratio&gt;</v>
      </c>
      <c r="E1733" s="175"/>
      <c r="F1733" s="6" t="s">
        <v>959</v>
      </c>
      <c r="G1733" s="6"/>
      <c r="H1733" s="6"/>
      <c r="I1733" s="6"/>
      <c r="J1733" s="6"/>
      <c r="K1733" s="6"/>
      <c r="L1733" s="6"/>
      <c r="M1733" s="6"/>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c r="BU1733" s="6"/>
      <c r="BV1733" s="6"/>
      <c r="BW1733" s="6"/>
      <c r="BX1733" s="6"/>
      <c r="BY1733" s="6"/>
      <c r="BZ1733" s="6"/>
      <c r="CA1733" s="6"/>
      <c r="CB1733" s="6"/>
      <c r="CC1733" s="6"/>
      <c r="CD1733" s="6"/>
      <c r="CE1733" s="6"/>
      <c r="CF1733" s="6"/>
      <c r="CG1733" s="6"/>
      <c r="CH1733" s="6"/>
      <c r="CI1733" s="6"/>
      <c r="CJ1733" s="6"/>
      <c r="CK1733" s="6"/>
      <c r="CL1733" s="6"/>
      <c r="CM1733" s="6"/>
      <c r="CN1733" s="6"/>
      <c r="CO1733" s="6"/>
      <c r="CP1733" s="6"/>
      <c r="CQ1733" s="6"/>
      <c r="CR1733" s="6"/>
      <c r="CS1733" s="6"/>
      <c r="CT1733" s="6"/>
      <c r="CU1733" s="6"/>
      <c r="CV1733" s="6"/>
      <c r="CW1733" s="6"/>
      <c r="CX1733" s="6"/>
      <c r="CY1733" s="6"/>
      <c r="CZ1733" s="6"/>
      <c r="DA1733" s="6"/>
      <c r="DB1733" s="6"/>
      <c r="DC1733" s="6"/>
      <c r="DD1733" s="6"/>
    </row>
    <row r="1734" spans="1:108" ht="12.75" hidden="1" customHeight="1" outlineLevel="5">
      <c r="A1734" s="104" t="s">
        <v>257</v>
      </c>
      <c r="B1734" s="28">
        <v>1</v>
      </c>
      <c r="C1734" s="11"/>
      <c r="D1734" s="18" t="str">
        <f>"&lt;" &amp; A1734 &amp; "&gt;" &amp; TEXT(B1734,"0.000000") &amp; "&lt;/" &amp; A1734 &amp; "&gt;"</f>
        <v>&lt;Nozzle_Height_Width_Ratio&gt;1.000000&lt;/Nozzle_Height_Width_Ratio&gt;</v>
      </c>
      <c r="E1734" s="175"/>
      <c r="F1734" s="6" t="s">
        <v>892</v>
      </c>
      <c r="G1734" s="6"/>
      <c r="H1734" s="6"/>
      <c r="I1734" s="6"/>
      <c r="J1734" s="6"/>
      <c r="K1734" s="6"/>
      <c r="L1734" s="6"/>
      <c r="M1734" s="6"/>
      <c r="N1734" s="6"/>
      <c r="O1734" s="6"/>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c r="BU1734" s="6"/>
      <c r="BV1734" s="6"/>
      <c r="BW1734" s="6"/>
      <c r="BX1734" s="6"/>
      <c r="BY1734" s="6"/>
      <c r="BZ1734" s="6"/>
      <c r="CA1734" s="6"/>
      <c r="CB1734" s="6"/>
      <c r="CC1734" s="6"/>
      <c r="CD1734" s="6"/>
      <c r="CE1734" s="6"/>
      <c r="CF1734" s="6"/>
      <c r="CG1734" s="6"/>
      <c r="CH1734" s="6"/>
      <c r="CI1734" s="6"/>
      <c r="CJ1734" s="6"/>
      <c r="CK1734" s="6"/>
      <c r="CL1734" s="6"/>
      <c r="CM1734" s="6"/>
      <c r="CN1734" s="6"/>
      <c r="CO1734" s="6"/>
      <c r="CP1734" s="6"/>
      <c r="CQ1734" s="6"/>
      <c r="CR1734" s="6"/>
      <c r="CS1734" s="6"/>
      <c r="CT1734" s="6"/>
      <c r="CU1734" s="6"/>
      <c r="CV1734" s="6"/>
      <c r="CW1734" s="6"/>
      <c r="CX1734" s="6"/>
      <c r="CY1734" s="6"/>
      <c r="CZ1734" s="6"/>
      <c r="DA1734" s="6"/>
      <c r="DB1734" s="6"/>
      <c r="DC1734" s="6"/>
      <c r="DD1734" s="6"/>
    </row>
    <row r="1735" spans="1:108" ht="12.75" hidden="1" customHeight="1" outlineLevel="5">
      <c r="A1735" s="104" t="s">
        <v>258</v>
      </c>
      <c r="B1735" s="28">
        <v>1.5</v>
      </c>
      <c r="C1735" s="11"/>
      <c r="D1735" s="18" t="str">
        <f>"&lt;" &amp; A1735 &amp; "&gt;" &amp; TEXT(B1735,"0.000000") &amp; "&lt;/" &amp; A1735 &amp; "&gt;"</f>
        <v>&lt;Exit_Throat_Ratio&gt;1.500000&lt;/Exit_Throat_Ratio&gt;</v>
      </c>
      <c r="E1735" s="175"/>
      <c r="F1735" s="6" t="s">
        <v>893</v>
      </c>
      <c r="G1735" s="6"/>
      <c r="H1735" s="6"/>
      <c r="I1735" s="6"/>
      <c r="J1735" s="6"/>
      <c r="K1735" s="6"/>
      <c r="L1735" s="6"/>
      <c r="M1735" s="6"/>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c r="BU1735" s="6"/>
      <c r="BV1735" s="6"/>
      <c r="BW1735" s="6"/>
      <c r="BX1735" s="6"/>
      <c r="BY1735" s="6"/>
      <c r="BZ1735" s="6"/>
      <c r="CA1735" s="6"/>
      <c r="CB1735" s="6"/>
      <c r="CC1735" s="6"/>
      <c r="CD1735" s="6"/>
      <c r="CE1735" s="6"/>
      <c r="CF1735" s="6"/>
      <c r="CG1735" s="6"/>
      <c r="CH1735" s="6"/>
      <c r="CI1735" s="6"/>
      <c r="CJ1735" s="6"/>
      <c r="CK1735" s="6"/>
      <c r="CL1735" s="6"/>
      <c r="CM1735" s="6"/>
      <c r="CN1735" s="6"/>
      <c r="CO1735" s="6"/>
      <c r="CP1735" s="6"/>
      <c r="CQ1735" s="6"/>
      <c r="CR1735" s="6"/>
      <c r="CS1735" s="6"/>
      <c r="CT1735" s="6"/>
      <c r="CU1735" s="6"/>
      <c r="CV1735" s="6"/>
      <c r="CW1735" s="6"/>
      <c r="CX1735" s="6"/>
      <c r="CY1735" s="6"/>
      <c r="CZ1735" s="6"/>
      <c r="DA1735" s="6"/>
      <c r="DB1735" s="6"/>
      <c r="DC1735" s="6"/>
      <c r="DD1735" s="6"/>
    </row>
    <row r="1736" spans="1:108" ht="12.75" hidden="1" customHeight="1" outlineLevel="5">
      <c r="A1736" s="104" t="s">
        <v>259</v>
      </c>
      <c r="B1736" s="28">
        <v>1</v>
      </c>
      <c r="C1736" s="11"/>
      <c r="D1736" s="18" t="str">
        <f>"&lt;" &amp; A1736 &amp; "&gt;" &amp; TEXT(B1736,"0.000000") &amp; "&lt;/" &amp; A1736 &amp; "&gt;"</f>
        <v>&lt;Dive_Flap_Ratio&gt;1.000000&lt;/Dive_Flap_Ratio&gt;</v>
      </c>
      <c r="E1736" s="175"/>
      <c r="F1736" s="6" t="s">
        <v>894</v>
      </c>
      <c r="G1736" s="6"/>
      <c r="H1736" s="6"/>
      <c r="I1736" s="6"/>
      <c r="J1736" s="6"/>
      <c r="K1736" s="6"/>
      <c r="L1736" s="6"/>
      <c r="M1736" s="6"/>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c r="BU1736" s="6"/>
      <c r="BV1736" s="6"/>
      <c r="BW1736" s="6"/>
      <c r="BX1736" s="6"/>
      <c r="BY1736" s="6"/>
      <c r="BZ1736" s="6"/>
      <c r="CA1736" s="6"/>
      <c r="CB1736" s="6"/>
      <c r="CC1736" s="6"/>
      <c r="CD1736" s="6"/>
      <c r="CE1736" s="6"/>
      <c r="CF1736" s="6"/>
      <c r="CG1736" s="6"/>
      <c r="CH1736" s="6"/>
      <c r="CI1736" s="6"/>
      <c r="CJ1736" s="6"/>
      <c r="CK1736" s="6"/>
      <c r="CL1736" s="6"/>
      <c r="CM1736" s="6"/>
      <c r="CN1736" s="6"/>
      <c r="CO1736" s="6"/>
      <c r="CP1736" s="6"/>
      <c r="CQ1736" s="6"/>
      <c r="CR1736" s="6"/>
      <c r="CS1736" s="6"/>
      <c r="CT1736" s="6"/>
      <c r="CU1736" s="6"/>
      <c r="CV1736" s="6"/>
      <c r="CW1736" s="6"/>
      <c r="CX1736" s="6"/>
      <c r="CY1736" s="6"/>
      <c r="CZ1736" s="6"/>
      <c r="DA1736" s="6"/>
      <c r="DB1736" s="6"/>
      <c r="DC1736" s="6"/>
      <c r="DD1736" s="6"/>
    </row>
    <row r="1737" spans="1:108" ht="12.75" hidden="1" customHeight="1" outlineLevel="5">
      <c r="A1737" s="104" t="s">
        <v>260</v>
      </c>
      <c r="B1737" s="28">
        <v>0</v>
      </c>
      <c r="C1737" s="11"/>
      <c r="D1737" s="18" t="str">
        <f>"&lt;" &amp; A1737 &amp; "&gt;" &amp; TEXT(B1737,0) &amp; "&lt;/" &amp; A1737 &amp; "&gt;"</f>
        <v>&lt;Nozzle_Duct_On_Off&gt;0&lt;/Nozzle_Duct_On_Off&gt;</v>
      </c>
      <c r="E1737" s="175"/>
      <c r="F1737" s="6" t="s">
        <v>895</v>
      </c>
      <c r="G1737" s="6"/>
      <c r="H1737" s="6"/>
      <c r="I1737" s="6"/>
      <c r="J1737" s="6"/>
      <c r="K1737" s="6"/>
      <c r="L1737" s="6"/>
      <c r="M1737" s="6"/>
      <c r="N1737" s="6"/>
      <c r="O1737" s="6"/>
      <c r="P1737" s="6"/>
      <c r="Q1737" s="6"/>
      <c r="R1737" s="6"/>
      <c r="S1737" s="6"/>
      <c r="T1737" s="6"/>
      <c r="U1737" s="6"/>
      <c r="V1737" s="6"/>
      <c r="W1737" s="6"/>
      <c r="X1737" s="6"/>
      <c r="Y1737" s="6"/>
      <c r="Z1737" s="6"/>
      <c r="AA1737" s="6"/>
      <c r="AB1737" s="6"/>
      <c r="AC1737" s="6"/>
      <c r="AD1737" s="6"/>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c r="BU1737" s="6"/>
      <c r="BV1737" s="6"/>
      <c r="BW1737" s="6"/>
      <c r="BX1737" s="6"/>
      <c r="BY1737" s="6"/>
      <c r="BZ1737" s="6"/>
      <c r="CA1737" s="6"/>
      <c r="CB1737" s="6"/>
      <c r="CC1737" s="6"/>
      <c r="CD1737" s="6"/>
      <c r="CE1737" s="6"/>
      <c r="CF1737" s="6"/>
      <c r="CG1737" s="6"/>
      <c r="CH1737" s="6"/>
      <c r="CI1737" s="6"/>
      <c r="CJ1737" s="6"/>
      <c r="CK1737" s="6"/>
      <c r="CL1737" s="6"/>
      <c r="CM1737" s="6"/>
      <c r="CN1737" s="6"/>
      <c r="CO1737" s="6"/>
      <c r="CP1737" s="6"/>
      <c r="CQ1737" s="6"/>
      <c r="CR1737" s="6"/>
      <c r="CS1737" s="6"/>
      <c r="CT1737" s="6"/>
      <c r="CU1737" s="6"/>
      <c r="CV1737" s="6"/>
      <c r="CW1737" s="6"/>
      <c r="CX1737" s="6"/>
      <c r="CY1737" s="6"/>
      <c r="CZ1737" s="6"/>
      <c r="DA1737" s="6"/>
      <c r="DB1737" s="6"/>
      <c r="DC1737" s="6"/>
      <c r="DD1737" s="6"/>
    </row>
    <row r="1738" spans="1:108" ht="12.75" hidden="1" customHeight="1" outlineLevel="5">
      <c r="A1738" s="104" t="s">
        <v>261</v>
      </c>
      <c r="B1738" s="28">
        <v>1</v>
      </c>
      <c r="C1738" s="11"/>
      <c r="D1738" s="18" t="str">
        <f>"&lt;" &amp; A1738 &amp; "&gt;" &amp; TEXT(B1738,"0.000000") &amp; "&lt;/" &amp; A1738 &amp; "&gt;"</f>
        <v>&lt;Nozzle_Duct_X_Offset&gt;1.000000&lt;/Nozzle_Duct_X_Offset&gt;</v>
      </c>
      <c r="E1738" s="175"/>
      <c r="F1738" s="6" t="s">
        <v>896</v>
      </c>
      <c r="G1738" s="6"/>
      <c r="H1738" s="6"/>
      <c r="I1738" s="6"/>
      <c r="J1738" s="6"/>
      <c r="K1738" s="6"/>
      <c r="L1738" s="6"/>
      <c r="M1738" s="6"/>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c r="BU1738" s="6"/>
      <c r="BV1738" s="6"/>
      <c r="BW1738" s="6"/>
      <c r="BX1738" s="6"/>
      <c r="BY1738" s="6"/>
      <c r="BZ1738" s="6"/>
      <c r="CA1738" s="6"/>
      <c r="CB1738" s="6"/>
      <c r="CC1738" s="6"/>
      <c r="CD1738" s="6"/>
      <c r="CE1738" s="6"/>
      <c r="CF1738" s="6"/>
      <c r="CG1738" s="6"/>
      <c r="CH1738" s="6"/>
      <c r="CI1738" s="6"/>
      <c r="CJ1738" s="6"/>
      <c r="CK1738" s="6"/>
      <c r="CL1738" s="6"/>
      <c r="CM1738" s="6"/>
      <c r="CN1738" s="6"/>
      <c r="CO1738" s="6"/>
      <c r="CP1738" s="6"/>
      <c r="CQ1738" s="6"/>
      <c r="CR1738" s="6"/>
      <c r="CS1738" s="6"/>
      <c r="CT1738" s="6"/>
      <c r="CU1738" s="6"/>
      <c r="CV1738" s="6"/>
      <c r="CW1738" s="6"/>
      <c r="CX1738" s="6"/>
      <c r="CY1738" s="6"/>
      <c r="CZ1738" s="6"/>
      <c r="DA1738" s="6"/>
      <c r="DB1738" s="6"/>
      <c r="DC1738" s="6"/>
      <c r="DD1738" s="6"/>
    </row>
    <row r="1739" spans="1:108" ht="12.75" hidden="1" customHeight="1" outlineLevel="5">
      <c r="A1739" s="104" t="s">
        <v>262</v>
      </c>
      <c r="B1739" s="28">
        <v>0</v>
      </c>
      <c r="C1739" s="11"/>
      <c r="D1739" s="18" t="str">
        <f>"&lt;" &amp; A1739 &amp; "&gt;" &amp; TEXT(B1739,"0.000000") &amp; "&lt;/" &amp; A1739 &amp; "&gt;"</f>
        <v>&lt;Nozzle_Duct_Y_Offset&gt;0.000000&lt;/Nozzle_Duct_Y_Offset&gt;</v>
      </c>
      <c r="E1739" s="175"/>
      <c r="F1739" s="6" t="s">
        <v>897</v>
      </c>
      <c r="G1739" s="6"/>
      <c r="H1739" s="6"/>
      <c r="I1739" s="6"/>
      <c r="J1739" s="6"/>
      <c r="K1739" s="6"/>
      <c r="L1739" s="6"/>
      <c r="M1739" s="6"/>
      <c r="N1739" s="6"/>
      <c r="O1739" s="6"/>
      <c r="P1739" s="6"/>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c r="BU1739" s="6"/>
      <c r="BV1739" s="6"/>
      <c r="BW1739" s="6"/>
      <c r="BX1739" s="6"/>
      <c r="BY1739" s="6"/>
      <c r="BZ1739" s="6"/>
      <c r="CA1739" s="6"/>
      <c r="CB1739" s="6"/>
      <c r="CC1739" s="6"/>
      <c r="CD1739" s="6"/>
      <c r="CE1739" s="6"/>
      <c r="CF1739" s="6"/>
      <c r="CG1739" s="6"/>
      <c r="CH1739" s="6"/>
      <c r="CI1739" s="6"/>
      <c r="CJ1739" s="6"/>
      <c r="CK1739" s="6"/>
      <c r="CL1739" s="6"/>
      <c r="CM1739" s="6"/>
      <c r="CN1739" s="6"/>
      <c r="CO1739" s="6"/>
      <c r="CP1739" s="6"/>
      <c r="CQ1739" s="6"/>
      <c r="CR1739" s="6"/>
      <c r="CS1739" s="6"/>
      <c r="CT1739" s="6"/>
      <c r="CU1739" s="6"/>
      <c r="CV1739" s="6"/>
      <c r="CW1739" s="6"/>
      <c r="CX1739" s="6"/>
      <c r="CY1739" s="6"/>
      <c r="CZ1739" s="6"/>
      <c r="DA1739" s="6"/>
      <c r="DB1739" s="6"/>
      <c r="DC1739" s="6"/>
      <c r="DD1739" s="6"/>
    </row>
    <row r="1740" spans="1:108" ht="12.75" hidden="1" customHeight="1" outlineLevel="5">
      <c r="A1740" s="104" t="s">
        <v>263</v>
      </c>
      <c r="B1740" s="28">
        <v>0</v>
      </c>
      <c r="C1740" s="11"/>
      <c r="D1740" s="18" t="str">
        <f>"&lt;" &amp; A1740 &amp; "&gt;" &amp; TEXT(B1740,"0.000000") &amp; "&lt;/" &amp; A1740 &amp; "&gt;"</f>
        <v>&lt;Nozzle_Duct_Shape_Factor&gt;0.000000&lt;/Nozzle_Duct_Shape_Factor&gt;</v>
      </c>
      <c r="E1740" s="175"/>
      <c r="F1740" s="6" t="s">
        <v>898</v>
      </c>
      <c r="G1740" s="6"/>
      <c r="H1740" s="6"/>
      <c r="I1740" s="6"/>
      <c r="J1740" s="6"/>
      <c r="K1740" s="6"/>
      <c r="L1740" s="6"/>
      <c r="M1740" s="6"/>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c r="BU1740" s="6"/>
      <c r="BV1740" s="6"/>
      <c r="BW1740" s="6"/>
      <c r="BX1740" s="6"/>
      <c r="BY1740" s="6"/>
      <c r="BZ1740" s="6"/>
      <c r="CA1740" s="6"/>
      <c r="CB1740" s="6"/>
      <c r="CC1740" s="6"/>
      <c r="CD1740" s="6"/>
      <c r="CE1740" s="6"/>
      <c r="CF1740" s="6"/>
      <c r="CG1740" s="6"/>
      <c r="CH1740" s="6"/>
      <c r="CI1740" s="6"/>
      <c r="CJ1740" s="6"/>
      <c r="CK1740" s="6"/>
      <c r="CL1740" s="6"/>
      <c r="CM1740" s="6"/>
      <c r="CN1740" s="6"/>
      <c r="CO1740" s="6"/>
      <c r="CP1740" s="6"/>
      <c r="CQ1740" s="6"/>
      <c r="CR1740" s="6"/>
      <c r="CS1740" s="6"/>
      <c r="CT1740" s="6"/>
      <c r="CU1740" s="6"/>
      <c r="CV1740" s="6"/>
      <c r="CW1740" s="6"/>
      <c r="CX1740" s="6"/>
      <c r="CY1740" s="6"/>
      <c r="CZ1740" s="6"/>
      <c r="DA1740" s="6"/>
      <c r="DB1740" s="6"/>
      <c r="DC1740" s="6"/>
      <c r="DD1740" s="6"/>
    </row>
    <row r="1741" spans="1:108" ht="12.75" hidden="1" customHeight="1" outlineLevel="5">
      <c r="A1741" s="104" t="s">
        <v>264</v>
      </c>
      <c r="B1741" s="100"/>
      <c r="C1741" s="11"/>
      <c r="D1741" s="6" t="str">
        <f>"&lt;" &amp; A1741 &amp; "&gt;"</f>
        <v>&lt;/Engine_Parms&gt;</v>
      </c>
      <c r="E1741" s="175"/>
      <c r="F1741" s="6"/>
      <c r="G1741" s="6"/>
      <c r="H1741" s="6"/>
      <c r="I1741" s="6"/>
      <c r="J1741" s="6"/>
      <c r="K1741" s="6"/>
      <c r="L1741" s="6"/>
      <c r="M1741" s="6"/>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c r="BU1741" s="6"/>
      <c r="BV1741" s="6"/>
      <c r="BW1741" s="6"/>
      <c r="BX1741" s="6"/>
      <c r="BY1741" s="6"/>
      <c r="BZ1741" s="6"/>
      <c r="CA1741" s="6"/>
      <c r="CB1741" s="6"/>
      <c r="CC1741" s="6"/>
      <c r="CD1741" s="6"/>
      <c r="CE1741" s="6"/>
      <c r="CF1741" s="6"/>
      <c r="CG1741" s="6"/>
      <c r="CH1741" s="6"/>
      <c r="CI1741" s="6"/>
      <c r="CJ1741" s="6"/>
      <c r="CK1741" s="6"/>
      <c r="CL1741" s="6"/>
      <c r="CM1741" s="6"/>
      <c r="CN1741" s="6"/>
      <c r="CO1741" s="6"/>
      <c r="CP1741" s="6"/>
      <c r="CQ1741" s="6"/>
      <c r="CR1741" s="6"/>
      <c r="CS1741" s="6"/>
      <c r="CT1741" s="6"/>
      <c r="CU1741" s="6"/>
      <c r="CV1741" s="6"/>
      <c r="CW1741" s="6"/>
      <c r="CX1741" s="6"/>
      <c r="CY1741" s="6"/>
      <c r="CZ1741" s="6"/>
      <c r="DA1741" s="6"/>
      <c r="DB1741" s="6"/>
      <c r="DC1741" s="6"/>
      <c r="DD1741" s="6"/>
    </row>
    <row r="1742" spans="1:108" ht="12.75" hidden="1" customHeight="1" outlineLevel="4">
      <c r="A1742" s="104" t="s">
        <v>138</v>
      </c>
      <c r="B1742" s="100"/>
      <c r="C1742" s="11" t="str">
        <f>IF(OR(C1357="Yes",C1210="No"),"No","Yes")</f>
        <v>Yes</v>
      </c>
      <c r="D1742" s="133" t="str">
        <f>IF(C1742="Yes",("&lt;"&amp;A1742&amp;"&gt;"),("&lt;"&amp;A1742&amp;"--&gt;"))</f>
        <v>&lt;/Component&gt;</v>
      </c>
      <c r="E1742" s="175"/>
      <c r="F1742" s="6"/>
      <c r="G1742" s="6"/>
      <c r="H1742" s="6"/>
      <c r="I1742" s="6"/>
      <c r="J1742" s="6"/>
      <c r="K1742" s="6"/>
      <c r="L1742" s="6"/>
      <c r="M1742" s="6"/>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c r="BU1742" s="6"/>
      <c r="BV1742" s="6"/>
      <c r="BW1742" s="6"/>
      <c r="BX1742" s="6"/>
      <c r="BY1742" s="6"/>
      <c r="BZ1742" s="6"/>
      <c r="CA1742" s="6"/>
      <c r="CB1742" s="6"/>
      <c r="CC1742" s="6"/>
      <c r="CD1742" s="6"/>
      <c r="CE1742" s="6"/>
      <c r="CF1742" s="6"/>
      <c r="CG1742" s="6"/>
      <c r="CH1742" s="6"/>
      <c r="CI1742" s="6"/>
      <c r="CJ1742" s="6"/>
      <c r="CK1742" s="6"/>
      <c r="CL1742" s="6"/>
      <c r="CM1742" s="6"/>
      <c r="CN1742" s="6"/>
      <c r="CO1742" s="6"/>
      <c r="CP1742" s="6"/>
      <c r="CQ1742" s="6"/>
      <c r="CR1742" s="6"/>
      <c r="CS1742" s="6"/>
      <c r="CT1742" s="6"/>
      <c r="CU1742" s="6"/>
      <c r="CV1742" s="6"/>
      <c r="CW1742" s="6"/>
      <c r="CX1742" s="6"/>
      <c r="CY1742" s="6"/>
      <c r="CZ1742" s="6"/>
      <c r="DA1742" s="6"/>
      <c r="DB1742" s="6"/>
      <c r="DC1742" s="6"/>
      <c r="DD1742" s="6"/>
    </row>
    <row r="1743" spans="1:108" s="23" customFormat="1" outlineLevel="2" collapsed="1">
      <c r="A1743" s="104" t="s">
        <v>40</v>
      </c>
      <c r="B1743" s="110" t="str">
        <f>B1746</f>
        <v>Engine 1</v>
      </c>
      <c r="C1743" s="27" t="str">
        <f>IF(Input!$D$27&gt;=2,"Yes","No")</f>
        <v>Yes</v>
      </c>
      <c r="D1743" s="6" t="str">
        <f>IF(C1743="Yes",("&lt;"&amp;A1743&amp;"&gt;"),("&lt;!--"&amp;A1743&amp;"&gt;"))</f>
        <v>&lt;Component&gt;</v>
      </c>
      <c r="E1743" s="6"/>
      <c r="F1743" s="6"/>
      <c r="G1743" s="6"/>
      <c r="H1743" s="6"/>
      <c r="I1743" s="6"/>
      <c r="J1743" s="6"/>
      <c r="K1743" s="6"/>
      <c r="L1743" s="6"/>
      <c r="M1743" s="6"/>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c r="BU1743" s="6"/>
      <c r="BV1743" s="6"/>
      <c r="BW1743" s="6"/>
      <c r="BX1743" s="6"/>
      <c r="BY1743" s="6"/>
      <c r="BZ1743" s="6"/>
      <c r="CA1743" s="6"/>
      <c r="CB1743" s="6"/>
      <c r="CC1743" s="6"/>
      <c r="CD1743" s="6"/>
      <c r="CE1743" s="6"/>
      <c r="CF1743" s="6"/>
      <c r="CG1743" s="6"/>
      <c r="CH1743" s="6"/>
      <c r="CI1743" s="6"/>
      <c r="CJ1743" s="6"/>
      <c r="CK1743" s="6"/>
      <c r="CL1743" s="6"/>
      <c r="CM1743" s="6"/>
      <c r="CN1743" s="6"/>
      <c r="CO1743" s="6"/>
      <c r="CP1743" s="6"/>
      <c r="CQ1743" s="6"/>
      <c r="CR1743" s="6"/>
      <c r="CS1743" s="6"/>
      <c r="CT1743" s="6"/>
      <c r="CU1743" s="6"/>
      <c r="CV1743" s="6"/>
      <c r="CW1743" s="6"/>
      <c r="CX1743" s="6"/>
      <c r="CY1743" s="6"/>
      <c r="CZ1743" s="6"/>
      <c r="DA1743" s="6"/>
      <c r="DB1743" s="6"/>
      <c r="DC1743" s="6"/>
      <c r="DD1743" s="6"/>
    </row>
    <row r="1744" spans="1:108" ht="12.75" hidden="1" customHeight="1" outlineLevel="3" collapsed="1">
      <c r="A1744" s="104" t="s">
        <v>14</v>
      </c>
      <c r="B1744" s="100" t="s">
        <v>220</v>
      </c>
      <c r="C1744" s="11"/>
      <c r="D1744" s="18" t="str">
        <f>"&lt;" &amp; A1744 &amp; "&gt;" &amp; TEXT(B1744,0) &amp; "&lt;/" &amp; A1744 &amp; "&gt;"</f>
        <v>&lt;Type&gt;Blank&lt;/Type&gt;</v>
      </c>
      <c r="F1744" s="6"/>
      <c r="G1744" s="6"/>
      <c r="H1744" s="6"/>
      <c r="I1744" s="6"/>
      <c r="J1744" s="6"/>
      <c r="K1744" s="6"/>
      <c r="L1744" s="6"/>
      <c r="M1744" s="6"/>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c r="BU1744" s="6"/>
      <c r="BV1744" s="6"/>
      <c r="BW1744" s="6"/>
      <c r="BX1744" s="6"/>
      <c r="BY1744" s="6"/>
      <c r="BZ1744" s="6"/>
      <c r="CA1744" s="6"/>
      <c r="CB1744" s="6"/>
      <c r="CC1744" s="6"/>
      <c r="CD1744" s="6"/>
      <c r="CE1744" s="6"/>
      <c r="CF1744" s="6"/>
      <c r="CG1744" s="6"/>
      <c r="CH1744" s="6"/>
      <c r="CI1744" s="6"/>
      <c r="CJ1744" s="6"/>
      <c r="CK1744" s="6"/>
      <c r="CL1744" s="6"/>
      <c r="CM1744" s="6"/>
      <c r="CN1744" s="6"/>
      <c r="CO1744" s="6"/>
      <c r="CP1744" s="6"/>
      <c r="CQ1744" s="6"/>
      <c r="CR1744" s="6"/>
      <c r="CS1744" s="6"/>
      <c r="CT1744" s="6"/>
      <c r="CU1744" s="6"/>
      <c r="CV1744" s="6"/>
      <c r="CW1744" s="6"/>
      <c r="CX1744" s="6"/>
      <c r="CY1744" s="6"/>
      <c r="CZ1744" s="6"/>
      <c r="DA1744" s="6"/>
      <c r="DB1744" s="6"/>
      <c r="DC1744" s="6"/>
      <c r="DD1744" s="6"/>
    </row>
    <row r="1745" spans="1:108" ht="12.75" hidden="1" customHeight="1" outlineLevel="4" collapsed="1">
      <c r="A1745" s="104" t="s">
        <v>42</v>
      </c>
      <c r="B1745" s="100"/>
      <c r="C1745" s="11"/>
      <c r="D1745" s="6" t="str">
        <f>"&lt;" &amp; A1745 &amp; "&gt;"</f>
        <v>&lt;General_Parms&gt;</v>
      </c>
      <c r="F1745" s="6"/>
      <c r="G1745" s="6"/>
      <c r="H1745" s="6"/>
      <c r="I1745" s="6"/>
      <c r="J1745" s="6"/>
      <c r="K1745" s="6"/>
      <c r="L1745" s="6"/>
      <c r="M1745" s="6"/>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c r="BU1745" s="6"/>
      <c r="BV1745" s="6"/>
      <c r="BW1745" s="6"/>
      <c r="BX1745" s="6"/>
      <c r="BY1745" s="6"/>
      <c r="BZ1745" s="6"/>
      <c r="CA1745" s="6"/>
      <c r="CB1745" s="6"/>
      <c r="CC1745" s="6"/>
      <c r="CD1745" s="6"/>
      <c r="CE1745" s="6"/>
      <c r="CF1745" s="6"/>
      <c r="CG1745" s="6"/>
      <c r="CH1745" s="6"/>
      <c r="CI1745" s="6"/>
      <c r="CJ1745" s="6"/>
      <c r="CK1745" s="6"/>
      <c r="CL1745" s="6"/>
      <c r="CM1745" s="6"/>
      <c r="CN1745" s="6"/>
      <c r="CO1745" s="6"/>
      <c r="CP1745" s="6"/>
      <c r="CQ1745" s="6"/>
      <c r="CR1745" s="6"/>
      <c r="CS1745" s="6"/>
      <c r="CT1745" s="6"/>
      <c r="CU1745" s="6"/>
      <c r="CV1745" s="6"/>
      <c r="CW1745" s="6"/>
      <c r="CX1745" s="6"/>
      <c r="CY1745" s="6"/>
      <c r="CZ1745" s="6"/>
      <c r="DA1745" s="6"/>
      <c r="DB1745" s="6"/>
      <c r="DC1745" s="6"/>
      <c r="DD1745" s="6"/>
    </row>
    <row r="1746" spans="1:108" ht="12.75" hidden="1" customHeight="1" outlineLevel="5">
      <c r="A1746" s="104" t="s">
        <v>1</v>
      </c>
      <c r="B1746" s="118" t="str">
        <f>IF(OR(n_e=2,n_e=3),"Engine 1","Engine 2")</f>
        <v>Engine 1</v>
      </c>
      <c r="C1746" s="11"/>
      <c r="D1746" s="18" t="str">
        <f>"&lt;" &amp; A1746 &amp; "&gt;" &amp; TEXT(B1746,0) &amp; "&lt;/" &amp; A1746 &amp; "&gt;"</f>
        <v>&lt;Name&gt;Engine 1&lt;/Name&gt;</v>
      </c>
      <c r="F1746" s="6"/>
      <c r="G1746" s="6"/>
      <c r="H1746" s="6"/>
      <c r="I1746" s="6"/>
      <c r="J1746" s="6"/>
      <c r="K1746" s="6"/>
      <c r="L1746" s="6"/>
      <c r="M1746" s="6"/>
      <c r="N1746" s="6"/>
      <c r="O1746" s="6"/>
      <c r="P1746" s="6"/>
      <c r="Q1746" s="6"/>
      <c r="R1746" s="6"/>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c r="BU1746" s="6"/>
      <c r="BV1746" s="6"/>
      <c r="BW1746" s="6"/>
      <c r="BX1746" s="6"/>
      <c r="BY1746" s="6"/>
      <c r="BZ1746" s="6"/>
      <c r="CA1746" s="6"/>
      <c r="CB1746" s="6"/>
      <c r="CC1746" s="6"/>
      <c r="CD1746" s="6"/>
      <c r="CE1746" s="6"/>
      <c r="CF1746" s="6"/>
      <c r="CG1746" s="6"/>
      <c r="CH1746" s="6"/>
      <c r="CI1746" s="6"/>
      <c r="CJ1746" s="6"/>
      <c r="CK1746" s="6"/>
      <c r="CL1746" s="6"/>
      <c r="CM1746" s="6"/>
      <c r="CN1746" s="6"/>
      <c r="CO1746" s="6"/>
      <c r="CP1746" s="6"/>
      <c r="CQ1746" s="6"/>
      <c r="CR1746" s="6"/>
      <c r="CS1746" s="6"/>
      <c r="CT1746" s="6"/>
      <c r="CU1746" s="6"/>
      <c r="CV1746" s="6"/>
      <c r="CW1746" s="6"/>
      <c r="CX1746" s="6"/>
      <c r="CY1746" s="6"/>
      <c r="CZ1746" s="6"/>
      <c r="DA1746" s="6"/>
      <c r="DB1746" s="6"/>
      <c r="DC1746" s="6"/>
      <c r="DD1746" s="6"/>
    </row>
    <row r="1747" spans="1:108" ht="12.75" hidden="1" customHeight="1" outlineLevel="5">
      <c r="A1747" s="104" t="s">
        <v>43</v>
      </c>
      <c r="B1747" s="28">
        <v>0</v>
      </c>
      <c r="C1747" s="11"/>
      <c r="D1747" s="18" t="str">
        <f>"&lt;" &amp; A1747 &amp; "&gt;" &amp; TEXT(B1747,"0.000000") &amp; "&lt;/" &amp; A1747 &amp; "&gt;"</f>
        <v>&lt;ColorR&gt;0.000000&lt;/ColorR&gt;</v>
      </c>
      <c r="F1747" s="6"/>
      <c r="G1747" s="6"/>
      <c r="H1747" s="6"/>
      <c r="I1747" s="6"/>
      <c r="J1747" s="6"/>
      <c r="K1747" s="6"/>
      <c r="L1747" s="6"/>
      <c r="M1747" s="6"/>
      <c r="N1747" s="6"/>
      <c r="O1747" s="6"/>
      <c r="P1747" s="6"/>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c r="BU1747" s="6"/>
      <c r="BV1747" s="6"/>
      <c r="BW1747" s="6"/>
      <c r="BX1747" s="6"/>
      <c r="BY1747" s="6"/>
      <c r="BZ1747" s="6"/>
      <c r="CA1747" s="6"/>
      <c r="CB1747" s="6"/>
      <c r="CC1747" s="6"/>
      <c r="CD1747" s="6"/>
      <c r="CE1747" s="6"/>
      <c r="CF1747" s="6"/>
      <c r="CG1747" s="6"/>
      <c r="CH1747" s="6"/>
      <c r="CI1747" s="6"/>
      <c r="CJ1747" s="6"/>
      <c r="CK1747" s="6"/>
      <c r="CL1747" s="6"/>
      <c r="CM1747" s="6"/>
      <c r="CN1747" s="6"/>
      <c r="CO1747" s="6"/>
      <c r="CP1747" s="6"/>
      <c r="CQ1747" s="6"/>
      <c r="CR1747" s="6"/>
      <c r="CS1747" s="6"/>
      <c r="CT1747" s="6"/>
      <c r="CU1747" s="6"/>
      <c r="CV1747" s="6"/>
      <c r="CW1747" s="6"/>
      <c r="CX1747" s="6"/>
      <c r="CY1747" s="6"/>
      <c r="CZ1747" s="6"/>
      <c r="DA1747" s="6"/>
      <c r="DB1747" s="6"/>
      <c r="DC1747" s="6"/>
      <c r="DD1747" s="6"/>
    </row>
    <row r="1748" spans="1:108" ht="12.75" hidden="1" customHeight="1" outlineLevel="5">
      <c r="A1748" s="104" t="s">
        <v>44</v>
      </c>
      <c r="B1748" s="28">
        <v>0</v>
      </c>
      <c r="C1748" s="11"/>
      <c r="D1748" s="18" t="str">
        <f>"&lt;" &amp; A1748 &amp; "&gt;" &amp; TEXT(B1748,"0.000000") &amp; "&lt;/" &amp; A1748 &amp; "&gt;"</f>
        <v>&lt;ColorG&gt;0.000000&lt;/ColorG&gt;</v>
      </c>
      <c r="F1748" s="6"/>
      <c r="G1748" s="6"/>
      <c r="H1748" s="6"/>
      <c r="I1748" s="6"/>
      <c r="J1748" s="6"/>
      <c r="K1748" s="6"/>
      <c r="L1748" s="6"/>
      <c r="M1748" s="6"/>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c r="BU1748" s="6"/>
      <c r="BV1748" s="6"/>
      <c r="BW1748" s="6"/>
      <c r="BX1748" s="6"/>
      <c r="BY1748" s="6"/>
      <c r="BZ1748" s="6"/>
      <c r="CA1748" s="6"/>
      <c r="CB1748" s="6"/>
      <c r="CC1748" s="6"/>
      <c r="CD1748" s="6"/>
      <c r="CE1748" s="6"/>
      <c r="CF1748" s="6"/>
      <c r="CG1748" s="6"/>
      <c r="CH1748" s="6"/>
      <c r="CI1748" s="6"/>
      <c r="CJ1748" s="6"/>
      <c r="CK1748" s="6"/>
      <c r="CL1748" s="6"/>
      <c r="CM1748" s="6"/>
      <c r="CN1748" s="6"/>
      <c r="CO1748" s="6"/>
      <c r="CP1748" s="6"/>
      <c r="CQ1748" s="6"/>
      <c r="CR1748" s="6"/>
      <c r="CS1748" s="6"/>
      <c r="CT1748" s="6"/>
      <c r="CU1748" s="6"/>
      <c r="CV1748" s="6"/>
      <c r="CW1748" s="6"/>
      <c r="CX1748" s="6"/>
      <c r="CY1748" s="6"/>
      <c r="CZ1748" s="6"/>
      <c r="DA1748" s="6"/>
      <c r="DB1748" s="6"/>
      <c r="DC1748" s="6"/>
      <c r="DD1748" s="6"/>
    </row>
    <row r="1749" spans="1:108" ht="12.75" hidden="1" customHeight="1" outlineLevel="5">
      <c r="A1749" s="104" t="s">
        <v>45</v>
      </c>
      <c r="B1749" s="28">
        <v>255</v>
      </c>
      <c r="C1749" s="11"/>
      <c r="D1749" s="18" t="str">
        <f>"&lt;" &amp; A1749 &amp; "&gt;" &amp; TEXT(B1749,"0.000000") &amp; "&lt;/" &amp; A1749 &amp; "&gt;"</f>
        <v>&lt;ColorB&gt;255.000000&lt;/ColorB&gt;</v>
      </c>
      <c r="F1749" s="6"/>
      <c r="G1749" s="6"/>
      <c r="H1749" s="6"/>
      <c r="I1749" s="6"/>
      <c r="J1749" s="6"/>
      <c r="K1749" s="6"/>
      <c r="L1749" s="6"/>
      <c r="M1749" s="6"/>
      <c r="N1749" s="6"/>
      <c r="O1749" s="6"/>
      <c r="P1749" s="6"/>
      <c r="Q1749" s="6"/>
      <c r="R1749" s="6"/>
      <c r="S1749" s="6"/>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c r="BU1749" s="6"/>
      <c r="BV1749" s="6"/>
      <c r="BW1749" s="6"/>
      <c r="BX1749" s="6"/>
      <c r="BY1749" s="6"/>
      <c r="BZ1749" s="6"/>
      <c r="CA1749" s="6"/>
      <c r="CB1749" s="6"/>
      <c r="CC1749" s="6"/>
      <c r="CD1749" s="6"/>
      <c r="CE1749" s="6"/>
      <c r="CF1749" s="6"/>
      <c r="CG1749" s="6"/>
      <c r="CH1749" s="6"/>
      <c r="CI1749" s="6"/>
      <c r="CJ1749" s="6"/>
      <c r="CK1749" s="6"/>
      <c r="CL1749" s="6"/>
      <c r="CM1749" s="6"/>
      <c r="CN1749" s="6"/>
      <c r="CO1749" s="6"/>
      <c r="CP1749" s="6"/>
      <c r="CQ1749" s="6"/>
      <c r="CR1749" s="6"/>
      <c r="CS1749" s="6"/>
      <c r="CT1749" s="6"/>
      <c r="CU1749" s="6"/>
      <c r="CV1749" s="6"/>
      <c r="CW1749" s="6"/>
      <c r="CX1749" s="6"/>
      <c r="CY1749" s="6"/>
      <c r="CZ1749" s="6"/>
      <c r="DA1749" s="6"/>
      <c r="DB1749" s="6"/>
      <c r="DC1749" s="6"/>
      <c r="DD1749" s="6"/>
    </row>
    <row r="1750" spans="1:108" ht="12.75" hidden="1" customHeight="1" outlineLevel="5">
      <c r="A1750" s="104" t="s">
        <v>46</v>
      </c>
      <c r="B1750" s="28">
        <v>0</v>
      </c>
      <c r="C1750" s="11"/>
      <c r="D1750" s="18" t="str">
        <f t="shared" ref="D1750:D1759" si="91">"&lt;" &amp; A1750 &amp; "&gt;" &amp; TEXT(B1750,0) &amp; "&lt;/" &amp; A1750 &amp; "&gt;"</f>
        <v>&lt;Symmetry&gt;0&lt;/Symmetry&gt;</v>
      </c>
      <c r="F1750" s="6"/>
      <c r="G1750" s="6"/>
      <c r="H1750" s="6"/>
      <c r="I1750" s="6"/>
      <c r="J1750" s="6"/>
      <c r="K1750" s="6"/>
      <c r="L1750" s="6"/>
      <c r="M1750" s="6"/>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c r="BU1750" s="6"/>
      <c r="BV1750" s="6"/>
      <c r="BW1750" s="6"/>
      <c r="BX1750" s="6"/>
      <c r="BY1750" s="6"/>
      <c r="BZ1750" s="6"/>
      <c r="CA1750" s="6"/>
      <c r="CB1750" s="6"/>
      <c r="CC1750" s="6"/>
      <c r="CD1750" s="6"/>
      <c r="CE1750" s="6"/>
      <c r="CF1750" s="6"/>
      <c r="CG1750" s="6"/>
      <c r="CH1750" s="6"/>
      <c r="CI1750" s="6"/>
      <c r="CJ1750" s="6"/>
      <c r="CK1750" s="6"/>
      <c r="CL1750" s="6"/>
      <c r="CM1750" s="6"/>
      <c r="CN1750" s="6"/>
      <c r="CO1750" s="6"/>
      <c r="CP1750" s="6"/>
      <c r="CQ1750" s="6"/>
      <c r="CR1750" s="6"/>
      <c r="CS1750" s="6"/>
      <c r="CT1750" s="6"/>
      <c r="CU1750" s="6"/>
      <c r="CV1750" s="6"/>
      <c r="CW1750" s="6"/>
      <c r="CX1750" s="6"/>
      <c r="CY1750" s="6"/>
      <c r="CZ1750" s="6"/>
      <c r="DA1750" s="6"/>
      <c r="DB1750" s="6"/>
      <c r="DC1750" s="6"/>
      <c r="DD1750" s="6"/>
    </row>
    <row r="1751" spans="1:108" ht="12.75" hidden="1" customHeight="1" outlineLevel="5">
      <c r="A1751" s="104" t="s">
        <v>47</v>
      </c>
      <c r="B1751" s="28">
        <v>0</v>
      </c>
      <c r="C1751" s="11"/>
      <c r="D1751" s="18" t="str">
        <f t="shared" si="91"/>
        <v>&lt;RelXFormFlag&gt;0&lt;/RelXFormFlag&gt;</v>
      </c>
      <c r="F1751" s="6"/>
      <c r="G1751" s="6"/>
      <c r="H1751" s="6"/>
      <c r="I1751" s="6"/>
      <c r="J1751" s="6"/>
      <c r="K1751" s="6"/>
      <c r="L1751" s="6"/>
      <c r="M1751" s="6"/>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c r="BU1751" s="6"/>
      <c r="BV1751" s="6"/>
      <c r="BW1751" s="6"/>
      <c r="BX1751" s="6"/>
      <c r="BY1751" s="6"/>
      <c r="BZ1751" s="6"/>
      <c r="CA1751" s="6"/>
      <c r="CB1751" s="6"/>
      <c r="CC1751" s="6"/>
      <c r="CD1751" s="6"/>
      <c r="CE1751" s="6"/>
      <c r="CF1751" s="6"/>
      <c r="CG1751" s="6"/>
      <c r="CH1751" s="6"/>
      <c r="CI1751" s="6"/>
      <c r="CJ1751" s="6"/>
      <c r="CK1751" s="6"/>
      <c r="CL1751" s="6"/>
      <c r="CM1751" s="6"/>
      <c r="CN1751" s="6"/>
      <c r="CO1751" s="6"/>
      <c r="CP1751" s="6"/>
      <c r="CQ1751" s="6"/>
      <c r="CR1751" s="6"/>
      <c r="CS1751" s="6"/>
      <c r="CT1751" s="6"/>
      <c r="CU1751" s="6"/>
      <c r="CV1751" s="6"/>
      <c r="CW1751" s="6"/>
      <c r="CX1751" s="6"/>
      <c r="CY1751" s="6"/>
      <c r="CZ1751" s="6"/>
      <c r="DA1751" s="6"/>
      <c r="DB1751" s="6"/>
      <c r="DC1751" s="6"/>
      <c r="DD1751" s="6"/>
    </row>
    <row r="1752" spans="1:108" ht="12.75" hidden="1" customHeight="1" outlineLevel="5">
      <c r="A1752" s="104" t="s">
        <v>48</v>
      </c>
      <c r="B1752" s="28">
        <v>2</v>
      </c>
      <c r="C1752" s="11"/>
      <c r="D1752" s="18" t="str">
        <f t="shared" si="91"/>
        <v>&lt;MaterialID&gt;2&lt;/MaterialID&gt;</v>
      </c>
      <c r="F1752" s="6"/>
      <c r="G1752" s="6"/>
      <c r="H1752" s="6"/>
      <c r="I1752" s="6"/>
      <c r="J1752" s="6"/>
      <c r="K1752" s="6"/>
      <c r="L1752" s="6"/>
      <c r="M1752" s="6"/>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c r="BU1752" s="6"/>
      <c r="BV1752" s="6"/>
      <c r="BW1752" s="6"/>
      <c r="BX1752" s="6"/>
      <c r="BY1752" s="6"/>
      <c r="BZ1752" s="6"/>
      <c r="CA1752" s="6"/>
      <c r="CB1752" s="6"/>
      <c r="CC1752" s="6"/>
      <c r="CD1752" s="6"/>
      <c r="CE1752" s="6"/>
      <c r="CF1752" s="6"/>
      <c r="CG1752" s="6"/>
      <c r="CH1752" s="6"/>
      <c r="CI1752" s="6"/>
      <c r="CJ1752" s="6"/>
      <c r="CK1752" s="6"/>
      <c r="CL1752" s="6"/>
      <c r="CM1752" s="6"/>
      <c r="CN1752" s="6"/>
      <c r="CO1752" s="6"/>
      <c r="CP1752" s="6"/>
      <c r="CQ1752" s="6"/>
      <c r="CR1752" s="6"/>
      <c r="CS1752" s="6"/>
      <c r="CT1752" s="6"/>
      <c r="CU1752" s="6"/>
      <c r="CV1752" s="6"/>
      <c r="CW1752" s="6"/>
      <c r="CX1752" s="6"/>
      <c r="CY1752" s="6"/>
      <c r="CZ1752" s="6"/>
      <c r="DA1752" s="6"/>
      <c r="DB1752" s="6"/>
      <c r="DC1752" s="6"/>
      <c r="DD1752" s="6"/>
    </row>
    <row r="1753" spans="1:108" ht="12.75" hidden="1" customHeight="1" outlineLevel="5">
      <c r="A1753" s="104" t="s">
        <v>49</v>
      </c>
      <c r="B1753" s="28">
        <v>1</v>
      </c>
      <c r="C1753" s="11"/>
      <c r="D1753" s="18" t="str">
        <f t="shared" si="91"/>
        <v>&lt;OutputFlag&gt;1&lt;/OutputFlag&gt;</v>
      </c>
      <c r="F1753" s="6"/>
      <c r="G1753" s="6"/>
      <c r="H1753" s="6"/>
      <c r="I1753" s="6"/>
      <c r="J1753" s="6"/>
      <c r="K1753" s="6"/>
      <c r="L1753" s="6"/>
      <c r="M1753" s="6"/>
      <c r="N1753" s="6"/>
      <c r="O1753" s="6"/>
      <c r="P1753" s="6"/>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c r="BU1753" s="6"/>
      <c r="BV1753" s="6"/>
      <c r="BW1753" s="6"/>
      <c r="BX1753" s="6"/>
      <c r="BY1753" s="6"/>
      <c r="BZ1753" s="6"/>
      <c r="CA1753" s="6"/>
      <c r="CB1753" s="6"/>
      <c r="CC1753" s="6"/>
      <c r="CD1753" s="6"/>
      <c r="CE1753" s="6"/>
      <c r="CF1753" s="6"/>
      <c r="CG1753" s="6"/>
      <c r="CH1753" s="6"/>
      <c r="CI1753" s="6"/>
      <c r="CJ1753" s="6"/>
      <c r="CK1753" s="6"/>
      <c r="CL1753" s="6"/>
      <c r="CM1753" s="6"/>
      <c r="CN1753" s="6"/>
      <c r="CO1753" s="6"/>
      <c r="CP1753" s="6"/>
      <c r="CQ1753" s="6"/>
      <c r="CR1753" s="6"/>
      <c r="CS1753" s="6"/>
      <c r="CT1753" s="6"/>
      <c r="CU1753" s="6"/>
      <c r="CV1753" s="6"/>
      <c r="CW1753" s="6"/>
      <c r="CX1753" s="6"/>
      <c r="CY1753" s="6"/>
      <c r="CZ1753" s="6"/>
      <c r="DA1753" s="6"/>
      <c r="DB1753" s="6"/>
      <c r="DC1753" s="6"/>
      <c r="DD1753" s="6"/>
    </row>
    <row r="1754" spans="1:108" ht="12.75" hidden="1" customHeight="1" outlineLevel="5">
      <c r="A1754" s="104" t="s">
        <v>50</v>
      </c>
      <c r="B1754" s="28">
        <v>0</v>
      </c>
      <c r="C1754" s="11"/>
      <c r="D1754" s="18" t="str">
        <f t="shared" si="91"/>
        <v>&lt;OutputNameID&gt;0&lt;/OutputNameID&gt;</v>
      </c>
      <c r="F1754" s="6"/>
      <c r="G1754" s="6"/>
      <c r="H1754" s="6"/>
      <c r="I1754" s="6"/>
      <c r="J1754" s="6"/>
      <c r="K1754" s="6"/>
      <c r="L1754" s="6"/>
      <c r="M1754" s="6"/>
      <c r="N1754" s="6"/>
      <c r="O1754" s="6"/>
      <c r="P1754" s="6"/>
      <c r="Q1754" s="6"/>
      <c r="R1754" s="6"/>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c r="BU1754" s="6"/>
      <c r="BV1754" s="6"/>
      <c r="BW1754" s="6"/>
      <c r="BX1754" s="6"/>
      <c r="BY1754" s="6"/>
      <c r="BZ1754" s="6"/>
      <c r="CA1754" s="6"/>
      <c r="CB1754" s="6"/>
      <c r="CC1754" s="6"/>
      <c r="CD1754" s="6"/>
      <c r="CE1754" s="6"/>
      <c r="CF1754" s="6"/>
      <c r="CG1754" s="6"/>
      <c r="CH1754" s="6"/>
      <c r="CI1754" s="6"/>
      <c r="CJ1754" s="6"/>
      <c r="CK1754" s="6"/>
      <c r="CL1754" s="6"/>
      <c r="CM1754" s="6"/>
      <c r="CN1754" s="6"/>
      <c r="CO1754" s="6"/>
      <c r="CP1754" s="6"/>
      <c r="CQ1754" s="6"/>
      <c r="CR1754" s="6"/>
      <c r="CS1754" s="6"/>
      <c r="CT1754" s="6"/>
      <c r="CU1754" s="6"/>
      <c r="CV1754" s="6"/>
      <c r="CW1754" s="6"/>
      <c r="CX1754" s="6"/>
      <c r="CY1754" s="6"/>
      <c r="CZ1754" s="6"/>
      <c r="DA1754" s="6"/>
      <c r="DB1754" s="6"/>
      <c r="DC1754" s="6"/>
      <c r="DD1754" s="6"/>
    </row>
    <row r="1755" spans="1:108" ht="12.75" hidden="1" customHeight="1" outlineLevel="5">
      <c r="A1755" s="104" t="s">
        <v>51</v>
      </c>
      <c r="B1755" s="28">
        <v>1</v>
      </c>
      <c r="C1755" s="11"/>
      <c r="D1755" s="18" t="str">
        <f t="shared" si="91"/>
        <v>&lt;DisplayChildrenFlag&gt;1&lt;/DisplayChildrenFlag&gt;</v>
      </c>
      <c r="F1755" s="6"/>
      <c r="G1755" s="6"/>
      <c r="H1755" s="6"/>
      <c r="I1755" s="6"/>
      <c r="J1755" s="6"/>
      <c r="K1755" s="6"/>
      <c r="L1755" s="6"/>
      <c r="M1755" s="6"/>
      <c r="N1755" s="6"/>
      <c r="O1755" s="6"/>
      <c r="P1755" s="6"/>
      <c r="Q1755" s="6"/>
      <c r="R1755" s="6"/>
      <c r="S1755" s="6"/>
      <c r="T1755" s="6"/>
      <c r="U1755" s="6"/>
      <c r="V1755" s="6"/>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c r="BU1755" s="6"/>
      <c r="BV1755" s="6"/>
      <c r="BW1755" s="6"/>
      <c r="BX1755" s="6"/>
      <c r="BY1755" s="6"/>
      <c r="BZ1755" s="6"/>
      <c r="CA1755" s="6"/>
      <c r="CB1755" s="6"/>
      <c r="CC1755" s="6"/>
      <c r="CD1755" s="6"/>
      <c r="CE1755" s="6"/>
      <c r="CF1755" s="6"/>
      <c r="CG1755" s="6"/>
      <c r="CH1755" s="6"/>
      <c r="CI1755" s="6"/>
      <c r="CJ1755" s="6"/>
      <c r="CK1755" s="6"/>
      <c r="CL1755" s="6"/>
      <c r="CM1755" s="6"/>
      <c r="CN1755" s="6"/>
      <c r="CO1755" s="6"/>
      <c r="CP1755" s="6"/>
      <c r="CQ1755" s="6"/>
      <c r="CR1755" s="6"/>
      <c r="CS1755" s="6"/>
      <c r="CT1755" s="6"/>
      <c r="CU1755" s="6"/>
      <c r="CV1755" s="6"/>
      <c r="CW1755" s="6"/>
      <c r="CX1755" s="6"/>
      <c r="CY1755" s="6"/>
      <c r="CZ1755" s="6"/>
      <c r="DA1755" s="6"/>
      <c r="DB1755" s="6"/>
      <c r="DC1755" s="6"/>
      <c r="DD1755" s="6"/>
    </row>
    <row r="1756" spans="1:108" ht="12.75" hidden="1" customHeight="1" outlineLevel="5">
      <c r="A1756" s="104" t="s">
        <v>52</v>
      </c>
      <c r="B1756" s="28">
        <v>21</v>
      </c>
      <c r="C1756" s="11"/>
      <c r="D1756" s="18" t="str">
        <f t="shared" si="91"/>
        <v>&lt;NumPnts&gt;21&lt;/NumPnts&gt;</v>
      </c>
      <c r="F1756" s="6"/>
      <c r="G1756" s="6"/>
      <c r="H1756" s="6"/>
      <c r="I1756" s="6"/>
      <c r="J1756" s="6"/>
      <c r="K1756" s="6"/>
      <c r="L1756" s="6"/>
      <c r="M1756" s="6"/>
      <c r="N1756" s="6"/>
      <c r="O1756" s="6"/>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c r="BU1756" s="6"/>
      <c r="BV1756" s="6"/>
      <c r="BW1756" s="6"/>
      <c r="BX1756" s="6"/>
      <c r="BY1756" s="6"/>
      <c r="BZ1756" s="6"/>
      <c r="CA1756" s="6"/>
      <c r="CB1756" s="6"/>
      <c r="CC1756" s="6"/>
      <c r="CD1756" s="6"/>
      <c r="CE1756" s="6"/>
      <c r="CF1756" s="6"/>
      <c r="CG1756" s="6"/>
      <c r="CH1756" s="6"/>
      <c r="CI1756" s="6"/>
      <c r="CJ1756" s="6"/>
      <c r="CK1756" s="6"/>
      <c r="CL1756" s="6"/>
      <c r="CM1756" s="6"/>
      <c r="CN1756" s="6"/>
      <c r="CO1756" s="6"/>
      <c r="CP1756" s="6"/>
      <c r="CQ1756" s="6"/>
      <c r="CR1756" s="6"/>
      <c r="CS1756" s="6"/>
      <c r="CT1756" s="6"/>
      <c r="CU1756" s="6"/>
      <c r="CV1756" s="6"/>
      <c r="CW1756" s="6"/>
      <c r="CX1756" s="6"/>
      <c r="CY1756" s="6"/>
      <c r="CZ1756" s="6"/>
      <c r="DA1756" s="6"/>
      <c r="DB1756" s="6"/>
      <c r="DC1756" s="6"/>
      <c r="DD1756" s="6"/>
    </row>
    <row r="1757" spans="1:108" ht="12.75" hidden="1" customHeight="1" outlineLevel="5">
      <c r="A1757" s="104" t="s">
        <v>53</v>
      </c>
      <c r="B1757" s="28">
        <v>11</v>
      </c>
      <c r="C1757" s="11"/>
      <c r="D1757" s="18" t="str">
        <f t="shared" si="91"/>
        <v>&lt;NumXsecs&gt;11&lt;/NumXsecs&gt;</v>
      </c>
      <c r="F1757" s="6"/>
      <c r="G1757" s="6"/>
      <c r="H1757" s="6"/>
      <c r="I1757" s="6"/>
      <c r="J1757" s="6"/>
      <c r="K1757" s="6"/>
      <c r="L1757" s="6"/>
      <c r="M1757" s="6"/>
      <c r="N1757" s="6"/>
      <c r="O1757" s="6"/>
      <c r="P1757" s="6"/>
      <c r="Q1757" s="6"/>
      <c r="R1757" s="6"/>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c r="BU1757" s="6"/>
      <c r="BV1757" s="6"/>
      <c r="BW1757" s="6"/>
      <c r="BX1757" s="6"/>
      <c r="BY1757" s="6"/>
      <c r="BZ1757" s="6"/>
      <c r="CA1757" s="6"/>
      <c r="CB1757" s="6"/>
      <c r="CC1757" s="6"/>
      <c r="CD1757" s="6"/>
      <c r="CE1757" s="6"/>
      <c r="CF1757" s="6"/>
      <c r="CG1757" s="6"/>
      <c r="CH1757" s="6"/>
      <c r="CI1757" s="6"/>
      <c r="CJ1757" s="6"/>
      <c r="CK1757" s="6"/>
      <c r="CL1757" s="6"/>
      <c r="CM1757" s="6"/>
      <c r="CN1757" s="6"/>
      <c r="CO1757" s="6"/>
      <c r="CP1757" s="6"/>
      <c r="CQ1757" s="6"/>
      <c r="CR1757" s="6"/>
      <c r="CS1757" s="6"/>
      <c r="CT1757" s="6"/>
      <c r="CU1757" s="6"/>
      <c r="CV1757" s="6"/>
      <c r="CW1757" s="6"/>
      <c r="CX1757" s="6"/>
      <c r="CY1757" s="6"/>
      <c r="CZ1757" s="6"/>
      <c r="DA1757" s="6"/>
      <c r="DB1757" s="6"/>
      <c r="DC1757" s="6"/>
      <c r="DD1757" s="6"/>
    </row>
    <row r="1758" spans="1:108" ht="12.75" hidden="1" customHeight="1" outlineLevel="5">
      <c r="A1758" s="104" t="s">
        <v>54</v>
      </c>
      <c r="B1758" s="28">
        <v>0</v>
      </c>
      <c r="C1758" s="11"/>
      <c r="D1758" s="18" t="str">
        <f t="shared" si="91"/>
        <v>&lt;MassPrior&gt;0&lt;/MassPrior&gt;</v>
      </c>
      <c r="F1758" s="6"/>
      <c r="G1758" s="6"/>
      <c r="H1758" s="6"/>
      <c r="I1758" s="6"/>
      <c r="J1758" s="6"/>
      <c r="K1758" s="6"/>
      <c r="L1758" s="6"/>
      <c r="M1758" s="6"/>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c r="BU1758" s="6"/>
      <c r="BV1758" s="6"/>
      <c r="BW1758" s="6"/>
      <c r="BX1758" s="6"/>
      <c r="BY1758" s="6"/>
      <c r="BZ1758" s="6"/>
      <c r="CA1758" s="6"/>
      <c r="CB1758" s="6"/>
      <c r="CC1758" s="6"/>
      <c r="CD1758" s="6"/>
      <c r="CE1758" s="6"/>
      <c r="CF1758" s="6"/>
      <c r="CG1758" s="6"/>
      <c r="CH1758" s="6"/>
      <c r="CI1758" s="6"/>
      <c r="CJ1758" s="6"/>
      <c r="CK1758" s="6"/>
      <c r="CL1758" s="6"/>
      <c r="CM1758" s="6"/>
      <c r="CN1758" s="6"/>
      <c r="CO1758" s="6"/>
      <c r="CP1758" s="6"/>
      <c r="CQ1758" s="6"/>
      <c r="CR1758" s="6"/>
      <c r="CS1758" s="6"/>
      <c r="CT1758" s="6"/>
      <c r="CU1758" s="6"/>
      <c r="CV1758" s="6"/>
      <c r="CW1758" s="6"/>
      <c r="CX1758" s="6"/>
      <c r="CY1758" s="6"/>
      <c r="CZ1758" s="6"/>
      <c r="DA1758" s="6"/>
      <c r="DB1758" s="6"/>
      <c r="DC1758" s="6"/>
      <c r="DD1758" s="6"/>
    </row>
    <row r="1759" spans="1:108" ht="12.75" hidden="1" customHeight="1" outlineLevel="5">
      <c r="A1759" s="104" t="s">
        <v>55</v>
      </c>
      <c r="B1759" s="28">
        <v>0</v>
      </c>
      <c r="C1759" s="11"/>
      <c r="D1759" s="18" t="str">
        <f t="shared" si="91"/>
        <v>&lt;ShellFlag&gt;0&lt;/ShellFlag&gt;</v>
      </c>
      <c r="F1759" s="6"/>
      <c r="G1759" s="6"/>
      <c r="H1759" s="6"/>
      <c r="I1759" s="6"/>
      <c r="J1759" s="6"/>
      <c r="K1759" s="6"/>
      <c r="L1759" s="6"/>
      <c r="M1759" s="6"/>
      <c r="N1759" s="6"/>
      <c r="O1759" s="6"/>
      <c r="P1759" s="6"/>
      <c r="Q1759" s="6"/>
      <c r="R1759" s="6"/>
      <c r="S1759" s="6"/>
      <c r="T1759" s="6"/>
      <c r="U1759" s="6"/>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c r="BU1759" s="6"/>
      <c r="BV1759" s="6"/>
      <c r="BW1759" s="6"/>
      <c r="BX1759" s="6"/>
      <c r="BY1759" s="6"/>
      <c r="BZ1759" s="6"/>
      <c r="CA1759" s="6"/>
      <c r="CB1759" s="6"/>
      <c r="CC1759" s="6"/>
      <c r="CD1759" s="6"/>
      <c r="CE1759" s="6"/>
      <c r="CF1759" s="6"/>
      <c r="CG1759" s="6"/>
      <c r="CH1759" s="6"/>
      <c r="CI1759" s="6"/>
      <c r="CJ1759" s="6"/>
      <c r="CK1759" s="6"/>
      <c r="CL1759" s="6"/>
      <c r="CM1759" s="6"/>
      <c r="CN1759" s="6"/>
      <c r="CO1759" s="6"/>
      <c r="CP1759" s="6"/>
      <c r="CQ1759" s="6"/>
      <c r="CR1759" s="6"/>
      <c r="CS1759" s="6"/>
      <c r="CT1759" s="6"/>
      <c r="CU1759" s="6"/>
      <c r="CV1759" s="6"/>
      <c r="CW1759" s="6"/>
      <c r="CX1759" s="6"/>
      <c r="CY1759" s="6"/>
      <c r="CZ1759" s="6"/>
      <c r="DA1759" s="6"/>
      <c r="DB1759" s="6"/>
      <c r="DC1759" s="6"/>
      <c r="DD1759" s="6"/>
    </row>
    <row r="1760" spans="1:108" ht="12.75" hidden="1" customHeight="1" outlineLevel="5">
      <c r="A1760" s="104" t="s">
        <v>56</v>
      </c>
      <c r="B1760" s="94">
        <f ca="1">IF(Type_e="Jet",pos_e.j2.x,pos_e.p2.x)</f>
        <v>13.056760454354746</v>
      </c>
      <c r="C1760" s="11"/>
      <c r="D1760" s="18" t="str">
        <f t="shared" ref="D1760:D1774" ca="1" si="92">"&lt;" &amp; A1760 &amp; "&gt;" &amp; TEXT(B1760,"0.000000") &amp; "&lt;/" &amp; A1760 &amp; "&gt;"</f>
        <v>&lt;Tran_X&gt;13.056760&lt;/Tran_X&gt;</v>
      </c>
      <c r="F1760" s="6"/>
      <c r="G1760" s="6"/>
      <c r="H1760" s="6"/>
      <c r="I1760" s="6"/>
      <c r="J1760" s="6"/>
      <c r="K1760" s="6"/>
      <c r="L1760" s="6"/>
      <c r="M1760" s="6"/>
      <c r="N1760" s="6"/>
      <c r="O1760" s="6"/>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c r="BU1760" s="6"/>
      <c r="BV1760" s="6"/>
      <c r="BW1760" s="6"/>
      <c r="BX1760" s="6"/>
      <c r="BY1760" s="6"/>
      <c r="BZ1760" s="6"/>
      <c r="CA1760" s="6"/>
      <c r="CB1760" s="6"/>
      <c r="CC1760" s="6"/>
      <c r="CD1760" s="6"/>
      <c r="CE1760" s="6"/>
      <c r="CF1760" s="6"/>
      <c r="CG1760" s="6"/>
      <c r="CH1760" s="6"/>
      <c r="CI1760" s="6"/>
      <c r="CJ1760" s="6"/>
      <c r="CK1760" s="6"/>
      <c r="CL1760" s="6"/>
      <c r="CM1760" s="6"/>
      <c r="CN1760" s="6"/>
      <c r="CO1760" s="6"/>
      <c r="CP1760" s="6"/>
      <c r="CQ1760" s="6"/>
      <c r="CR1760" s="6"/>
      <c r="CS1760" s="6"/>
      <c r="CT1760" s="6"/>
      <c r="CU1760" s="6"/>
      <c r="CV1760" s="6"/>
      <c r="CW1760" s="6"/>
      <c r="CX1760" s="6"/>
      <c r="CY1760" s="6"/>
      <c r="CZ1760" s="6"/>
      <c r="DA1760" s="6"/>
      <c r="DB1760" s="6"/>
      <c r="DC1760" s="6"/>
      <c r="DD1760" s="6"/>
    </row>
    <row r="1761" spans="1:108" ht="12.75" hidden="1" customHeight="1" outlineLevel="5">
      <c r="A1761" s="104" t="s">
        <v>57</v>
      </c>
      <c r="B1761" s="94">
        <f>IF(Type_e="Jet",pos_e.j2.y,pos_e.p2.y)</f>
        <v>-5.5305854142029123</v>
      </c>
      <c r="C1761" s="11"/>
      <c r="D1761" s="18" t="str">
        <f t="shared" si="92"/>
        <v>&lt;Tran_Y&gt;-5.530585&lt;/Tran_Y&gt;</v>
      </c>
      <c r="F1761" s="6"/>
      <c r="G1761" s="6"/>
      <c r="H1761" s="6"/>
      <c r="I1761" s="6"/>
      <c r="J1761" s="6"/>
      <c r="K1761" s="6"/>
      <c r="L1761" s="6"/>
      <c r="M1761" s="6"/>
      <c r="N1761" s="6"/>
      <c r="O1761" s="6"/>
      <c r="P1761" s="6"/>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c r="BU1761" s="6"/>
      <c r="BV1761" s="6"/>
      <c r="BW1761" s="6"/>
      <c r="BX1761" s="6"/>
      <c r="BY1761" s="6"/>
      <c r="BZ1761" s="6"/>
      <c r="CA1761" s="6"/>
      <c r="CB1761" s="6"/>
      <c r="CC1761" s="6"/>
      <c r="CD1761" s="6"/>
      <c r="CE1761" s="6"/>
      <c r="CF1761" s="6"/>
      <c r="CG1761" s="6"/>
      <c r="CH1761" s="6"/>
      <c r="CI1761" s="6"/>
      <c r="CJ1761" s="6"/>
      <c r="CK1761" s="6"/>
      <c r="CL1761" s="6"/>
      <c r="CM1761" s="6"/>
      <c r="CN1761" s="6"/>
      <c r="CO1761" s="6"/>
      <c r="CP1761" s="6"/>
      <c r="CQ1761" s="6"/>
      <c r="CR1761" s="6"/>
      <c r="CS1761" s="6"/>
      <c r="CT1761" s="6"/>
      <c r="CU1761" s="6"/>
      <c r="CV1761" s="6"/>
      <c r="CW1761" s="6"/>
      <c r="CX1761" s="6"/>
      <c r="CY1761" s="6"/>
      <c r="CZ1761" s="6"/>
      <c r="DA1761" s="6"/>
      <c r="DB1761" s="6"/>
      <c r="DC1761" s="6"/>
      <c r="DD1761" s="6"/>
    </row>
    <row r="1762" spans="1:108" ht="12.75" hidden="1" customHeight="1" outlineLevel="5">
      <c r="A1762" s="104" t="s">
        <v>58</v>
      </c>
      <c r="B1762" s="94">
        <f>IF(Type_e="Jet",pos_e.j2.z,pos_e.p2.z)</f>
        <v>-2.2181434014923496</v>
      </c>
      <c r="C1762" s="11"/>
      <c r="D1762" s="18" t="str">
        <f t="shared" si="92"/>
        <v>&lt;Tran_Z&gt;-2.218143&lt;/Tran_Z&gt;</v>
      </c>
      <c r="F1762" s="6"/>
      <c r="G1762" s="6"/>
      <c r="H1762" s="6"/>
      <c r="I1762" s="6"/>
      <c r="J1762" s="6"/>
      <c r="K1762" s="6"/>
      <c r="L1762" s="6"/>
      <c r="M1762" s="6"/>
      <c r="N1762" s="6"/>
      <c r="O1762" s="6"/>
      <c r="P1762" s="6"/>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c r="BU1762" s="6"/>
      <c r="BV1762" s="6"/>
      <c r="BW1762" s="6"/>
      <c r="BX1762" s="6"/>
      <c r="BY1762" s="6"/>
      <c r="BZ1762" s="6"/>
      <c r="CA1762" s="6"/>
      <c r="CB1762" s="6"/>
      <c r="CC1762" s="6"/>
      <c r="CD1762" s="6"/>
      <c r="CE1762" s="6"/>
      <c r="CF1762" s="6"/>
      <c r="CG1762" s="6"/>
      <c r="CH1762" s="6"/>
      <c r="CI1762" s="6"/>
      <c r="CJ1762" s="6"/>
      <c r="CK1762" s="6"/>
      <c r="CL1762" s="6"/>
      <c r="CM1762" s="6"/>
      <c r="CN1762" s="6"/>
      <c r="CO1762" s="6"/>
      <c r="CP1762" s="6"/>
      <c r="CQ1762" s="6"/>
      <c r="CR1762" s="6"/>
      <c r="CS1762" s="6"/>
      <c r="CT1762" s="6"/>
      <c r="CU1762" s="6"/>
      <c r="CV1762" s="6"/>
      <c r="CW1762" s="6"/>
      <c r="CX1762" s="6"/>
      <c r="CY1762" s="6"/>
      <c r="CZ1762" s="6"/>
      <c r="DA1762" s="6"/>
      <c r="DB1762" s="6"/>
      <c r="DC1762" s="6"/>
      <c r="DD1762" s="6"/>
    </row>
    <row r="1763" spans="1:108" ht="12.75" hidden="1" customHeight="1" outlineLevel="5">
      <c r="A1763" s="104" t="s">
        <v>59</v>
      </c>
      <c r="B1763" s="28">
        <v>0</v>
      </c>
      <c r="C1763" s="11"/>
      <c r="D1763" s="18" t="str">
        <f t="shared" si="92"/>
        <v>&lt;TranRel_X&gt;0.000000&lt;/TranRel_X&gt;</v>
      </c>
      <c r="F1763" s="6"/>
      <c r="G1763" s="6"/>
      <c r="H1763" s="6"/>
      <c r="I1763" s="6"/>
      <c r="J1763" s="6"/>
      <c r="K1763" s="6"/>
      <c r="L1763" s="6"/>
      <c r="M1763" s="6"/>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c r="BU1763" s="6"/>
      <c r="BV1763" s="6"/>
      <c r="BW1763" s="6"/>
      <c r="BX1763" s="6"/>
      <c r="BY1763" s="6"/>
      <c r="BZ1763" s="6"/>
      <c r="CA1763" s="6"/>
      <c r="CB1763" s="6"/>
      <c r="CC1763" s="6"/>
      <c r="CD1763" s="6"/>
      <c r="CE1763" s="6"/>
      <c r="CF1763" s="6"/>
      <c r="CG1763" s="6"/>
      <c r="CH1763" s="6"/>
      <c r="CI1763" s="6"/>
      <c r="CJ1763" s="6"/>
      <c r="CK1763" s="6"/>
      <c r="CL1763" s="6"/>
      <c r="CM1763" s="6"/>
      <c r="CN1763" s="6"/>
      <c r="CO1763" s="6"/>
      <c r="CP1763" s="6"/>
      <c r="CQ1763" s="6"/>
      <c r="CR1763" s="6"/>
      <c r="CS1763" s="6"/>
      <c r="CT1763" s="6"/>
      <c r="CU1763" s="6"/>
      <c r="CV1763" s="6"/>
      <c r="CW1763" s="6"/>
      <c r="CX1763" s="6"/>
      <c r="CY1763" s="6"/>
      <c r="CZ1763" s="6"/>
      <c r="DA1763" s="6"/>
      <c r="DB1763" s="6"/>
      <c r="DC1763" s="6"/>
      <c r="DD1763" s="6"/>
    </row>
    <row r="1764" spans="1:108" ht="12.75" hidden="1" customHeight="1" outlineLevel="5">
      <c r="A1764" s="104" t="s">
        <v>60</v>
      </c>
      <c r="B1764" s="28">
        <v>0</v>
      </c>
      <c r="C1764" s="11"/>
      <c r="D1764" s="18" t="str">
        <f t="shared" si="92"/>
        <v>&lt;TranRel_Y&gt;0.000000&lt;/TranRel_Y&gt;</v>
      </c>
      <c r="F1764" s="6"/>
      <c r="G1764" s="6"/>
      <c r="H1764" s="6"/>
      <c r="I1764" s="6"/>
      <c r="J1764" s="6"/>
      <c r="K1764" s="6"/>
      <c r="L1764" s="6"/>
      <c r="M1764" s="6"/>
      <c r="N1764" s="6"/>
      <c r="O1764" s="6"/>
      <c r="P1764" s="6"/>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c r="BU1764" s="6"/>
      <c r="BV1764" s="6"/>
      <c r="BW1764" s="6"/>
      <c r="BX1764" s="6"/>
      <c r="BY1764" s="6"/>
      <c r="BZ1764" s="6"/>
      <c r="CA1764" s="6"/>
      <c r="CB1764" s="6"/>
      <c r="CC1764" s="6"/>
      <c r="CD1764" s="6"/>
      <c r="CE1764" s="6"/>
      <c r="CF1764" s="6"/>
      <c r="CG1764" s="6"/>
      <c r="CH1764" s="6"/>
      <c r="CI1764" s="6"/>
      <c r="CJ1764" s="6"/>
      <c r="CK1764" s="6"/>
      <c r="CL1764" s="6"/>
      <c r="CM1764" s="6"/>
      <c r="CN1764" s="6"/>
      <c r="CO1764" s="6"/>
      <c r="CP1764" s="6"/>
      <c r="CQ1764" s="6"/>
      <c r="CR1764" s="6"/>
      <c r="CS1764" s="6"/>
      <c r="CT1764" s="6"/>
      <c r="CU1764" s="6"/>
      <c r="CV1764" s="6"/>
      <c r="CW1764" s="6"/>
      <c r="CX1764" s="6"/>
      <c r="CY1764" s="6"/>
      <c r="CZ1764" s="6"/>
      <c r="DA1764" s="6"/>
      <c r="DB1764" s="6"/>
      <c r="DC1764" s="6"/>
      <c r="DD1764" s="6"/>
    </row>
    <row r="1765" spans="1:108" ht="12.75" hidden="1" customHeight="1" outlineLevel="5">
      <c r="A1765" s="104" t="s">
        <v>61</v>
      </c>
      <c r="B1765" s="28">
        <v>0</v>
      </c>
      <c r="C1765" s="11"/>
      <c r="D1765" s="18" t="str">
        <f t="shared" si="92"/>
        <v>&lt;TranRel_Z&gt;0.000000&lt;/TranRel_Z&gt;</v>
      </c>
      <c r="F1765" s="6"/>
      <c r="G1765" s="6"/>
      <c r="H1765" s="6"/>
      <c r="I1765" s="6"/>
      <c r="J1765" s="6"/>
      <c r="K1765" s="6"/>
      <c r="L1765" s="6"/>
      <c r="M1765" s="6"/>
      <c r="N1765" s="6"/>
      <c r="O1765" s="6"/>
      <c r="P1765" s="6"/>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c r="BU1765" s="6"/>
      <c r="BV1765" s="6"/>
      <c r="BW1765" s="6"/>
      <c r="BX1765" s="6"/>
      <c r="BY1765" s="6"/>
      <c r="BZ1765" s="6"/>
      <c r="CA1765" s="6"/>
      <c r="CB1765" s="6"/>
      <c r="CC1765" s="6"/>
      <c r="CD1765" s="6"/>
      <c r="CE1765" s="6"/>
      <c r="CF1765" s="6"/>
      <c r="CG1765" s="6"/>
      <c r="CH1765" s="6"/>
      <c r="CI1765" s="6"/>
      <c r="CJ1765" s="6"/>
      <c r="CK1765" s="6"/>
      <c r="CL1765" s="6"/>
      <c r="CM1765" s="6"/>
      <c r="CN1765" s="6"/>
      <c r="CO1765" s="6"/>
      <c r="CP1765" s="6"/>
      <c r="CQ1765" s="6"/>
      <c r="CR1765" s="6"/>
      <c r="CS1765" s="6"/>
      <c r="CT1765" s="6"/>
      <c r="CU1765" s="6"/>
      <c r="CV1765" s="6"/>
      <c r="CW1765" s="6"/>
      <c r="CX1765" s="6"/>
      <c r="CY1765" s="6"/>
      <c r="CZ1765" s="6"/>
      <c r="DA1765" s="6"/>
      <c r="DB1765" s="6"/>
      <c r="DC1765" s="6"/>
      <c r="DD1765" s="6"/>
    </row>
    <row r="1766" spans="1:108" ht="12.75" hidden="1" customHeight="1" outlineLevel="5">
      <c r="A1766" s="104" t="s">
        <v>62</v>
      </c>
      <c r="B1766" s="28">
        <v>0</v>
      </c>
      <c r="C1766" s="11"/>
      <c r="D1766" s="18" t="str">
        <f t="shared" si="92"/>
        <v>&lt;Rot_X&gt;0.000000&lt;/Rot_X&gt;</v>
      </c>
      <c r="F1766" s="6"/>
      <c r="G1766" s="6"/>
      <c r="H1766" s="6"/>
      <c r="I1766" s="6"/>
      <c r="J1766" s="6"/>
      <c r="K1766" s="6"/>
      <c r="L1766" s="6"/>
      <c r="M1766" s="6"/>
      <c r="N1766" s="6"/>
      <c r="O1766" s="6"/>
      <c r="P1766" s="6"/>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c r="BU1766" s="6"/>
      <c r="BV1766" s="6"/>
      <c r="BW1766" s="6"/>
      <c r="BX1766" s="6"/>
      <c r="BY1766" s="6"/>
      <c r="BZ1766" s="6"/>
      <c r="CA1766" s="6"/>
      <c r="CB1766" s="6"/>
      <c r="CC1766" s="6"/>
      <c r="CD1766" s="6"/>
      <c r="CE1766" s="6"/>
      <c r="CF1766" s="6"/>
      <c r="CG1766" s="6"/>
      <c r="CH1766" s="6"/>
      <c r="CI1766" s="6"/>
      <c r="CJ1766" s="6"/>
      <c r="CK1766" s="6"/>
      <c r="CL1766" s="6"/>
      <c r="CM1766" s="6"/>
      <c r="CN1766" s="6"/>
      <c r="CO1766" s="6"/>
      <c r="CP1766" s="6"/>
      <c r="CQ1766" s="6"/>
      <c r="CR1766" s="6"/>
      <c r="CS1766" s="6"/>
      <c r="CT1766" s="6"/>
      <c r="CU1766" s="6"/>
      <c r="CV1766" s="6"/>
      <c r="CW1766" s="6"/>
      <c r="CX1766" s="6"/>
      <c r="CY1766" s="6"/>
      <c r="CZ1766" s="6"/>
      <c r="DA1766" s="6"/>
      <c r="DB1766" s="6"/>
      <c r="DC1766" s="6"/>
      <c r="DD1766" s="6"/>
    </row>
    <row r="1767" spans="1:108" ht="12.75" hidden="1" customHeight="1" outlineLevel="5">
      <c r="A1767" s="104" t="s">
        <v>63</v>
      </c>
      <c r="B1767" s="28">
        <v>0</v>
      </c>
      <c r="C1767" s="11"/>
      <c r="D1767" s="18" t="str">
        <f t="shared" si="92"/>
        <v>&lt;Rot_Y&gt;0.000000&lt;/Rot_Y&gt;</v>
      </c>
      <c r="F1767" s="6"/>
      <c r="G1767" s="6"/>
      <c r="H1767" s="6"/>
      <c r="I1767" s="6"/>
      <c r="J1767" s="6"/>
      <c r="K1767" s="6"/>
      <c r="L1767" s="6"/>
      <c r="M1767" s="6"/>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c r="BU1767" s="6"/>
      <c r="BV1767" s="6"/>
      <c r="BW1767" s="6"/>
      <c r="BX1767" s="6"/>
      <c r="BY1767" s="6"/>
      <c r="BZ1767" s="6"/>
      <c r="CA1767" s="6"/>
      <c r="CB1767" s="6"/>
      <c r="CC1767" s="6"/>
      <c r="CD1767" s="6"/>
      <c r="CE1767" s="6"/>
      <c r="CF1767" s="6"/>
      <c r="CG1767" s="6"/>
      <c r="CH1767" s="6"/>
      <c r="CI1767" s="6"/>
      <c r="CJ1767" s="6"/>
      <c r="CK1767" s="6"/>
      <c r="CL1767" s="6"/>
      <c r="CM1767" s="6"/>
      <c r="CN1767" s="6"/>
      <c r="CO1767" s="6"/>
      <c r="CP1767" s="6"/>
      <c r="CQ1767" s="6"/>
      <c r="CR1767" s="6"/>
      <c r="CS1767" s="6"/>
      <c r="CT1767" s="6"/>
      <c r="CU1767" s="6"/>
      <c r="CV1767" s="6"/>
      <c r="CW1767" s="6"/>
      <c r="CX1767" s="6"/>
      <c r="CY1767" s="6"/>
      <c r="CZ1767" s="6"/>
      <c r="DA1767" s="6"/>
      <c r="DB1767" s="6"/>
      <c r="DC1767" s="6"/>
      <c r="DD1767" s="6"/>
    </row>
    <row r="1768" spans="1:108" ht="12.75" hidden="1" customHeight="1" outlineLevel="5">
      <c r="A1768" s="104" t="s">
        <v>64</v>
      </c>
      <c r="B1768" s="28">
        <v>0</v>
      </c>
      <c r="C1768" s="11"/>
      <c r="D1768" s="18" t="str">
        <f t="shared" si="92"/>
        <v>&lt;Rot_Z&gt;0.000000&lt;/Rot_Z&gt;</v>
      </c>
      <c r="F1768" s="6"/>
      <c r="G1768" s="6"/>
      <c r="H1768" s="6"/>
      <c r="I1768" s="6"/>
      <c r="J1768" s="6"/>
      <c r="K1768" s="6"/>
      <c r="L1768" s="6"/>
      <c r="M1768" s="6"/>
      <c r="N1768" s="6"/>
      <c r="O1768" s="6"/>
      <c r="P1768" s="6"/>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c r="BU1768" s="6"/>
      <c r="BV1768" s="6"/>
      <c r="BW1768" s="6"/>
      <c r="BX1768" s="6"/>
      <c r="BY1768" s="6"/>
      <c r="BZ1768" s="6"/>
      <c r="CA1768" s="6"/>
      <c r="CB1768" s="6"/>
      <c r="CC1768" s="6"/>
      <c r="CD1768" s="6"/>
      <c r="CE1768" s="6"/>
      <c r="CF1768" s="6"/>
      <c r="CG1768" s="6"/>
      <c r="CH1768" s="6"/>
      <c r="CI1768" s="6"/>
      <c r="CJ1768" s="6"/>
      <c r="CK1768" s="6"/>
      <c r="CL1768" s="6"/>
      <c r="CM1768" s="6"/>
      <c r="CN1768" s="6"/>
      <c r="CO1768" s="6"/>
      <c r="CP1768" s="6"/>
      <c r="CQ1768" s="6"/>
      <c r="CR1768" s="6"/>
      <c r="CS1768" s="6"/>
      <c r="CT1768" s="6"/>
      <c r="CU1768" s="6"/>
      <c r="CV1768" s="6"/>
      <c r="CW1768" s="6"/>
      <c r="CX1768" s="6"/>
      <c r="CY1768" s="6"/>
      <c r="CZ1768" s="6"/>
      <c r="DA1768" s="6"/>
      <c r="DB1768" s="6"/>
      <c r="DC1768" s="6"/>
      <c r="DD1768" s="6"/>
    </row>
    <row r="1769" spans="1:108" ht="12.75" hidden="1" customHeight="1" outlineLevel="5">
      <c r="A1769" s="104" t="s">
        <v>65</v>
      </c>
      <c r="B1769" s="28">
        <v>0</v>
      </c>
      <c r="C1769" s="11"/>
      <c r="D1769" s="18" t="str">
        <f t="shared" si="92"/>
        <v>&lt;RotRel_X&gt;0.000000&lt;/RotRel_X&gt;</v>
      </c>
      <c r="F1769" s="6"/>
      <c r="G1769" s="6"/>
      <c r="H1769" s="6"/>
      <c r="I1769" s="6"/>
      <c r="J1769" s="6"/>
      <c r="K1769" s="6"/>
      <c r="L1769" s="6"/>
      <c r="M1769" s="6"/>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c r="BU1769" s="6"/>
      <c r="BV1769" s="6"/>
      <c r="BW1769" s="6"/>
      <c r="BX1769" s="6"/>
      <c r="BY1769" s="6"/>
      <c r="BZ1769" s="6"/>
      <c r="CA1769" s="6"/>
      <c r="CB1769" s="6"/>
      <c r="CC1769" s="6"/>
      <c r="CD1769" s="6"/>
      <c r="CE1769" s="6"/>
      <c r="CF1769" s="6"/>
      <c r="CG1769" s="6"/>
      <c r="CH1769" s="6"/>
      <c r="CI1769" s="6"/>
      <c r="CJ1769" s="6"/>
      <c r="CK1769" s="6"/>
      <c r="CL1769" s="6"/>
      <c r="CM1769" s="6"/>
      <c r="CN1769" s="6"/>
      <c r="CO1769" s="6"/>
      <c r="CP1769" s="6"/>
      <c r="CQ1769" s="6"/>
      <c r="CR1769" s="6"/>
      <c r="CS1769" s="6"/>
      <c r="CT1769" s="6"/>
      <c r="CU1769" s="6"/>
      <c r="CV1769" s="6"/>
      <c r="CW1769" s="6"/>
      <c r="CX1769" s="6"/>
      <c r="CY1769" s="6"/>
      <c r="CZ1769" s="6"/>
      <c r="DA1769" s="6"/>
      <c r="DB1769" s="6"/>
      <c r="DC1769" s="6"/>
      <c r="DD1769" s="6"/>
    </row>
    <row r="1770" spans="1:108" ht="12.75" hidden="1" customHeight="1" outlineLevel="5">
      <c r="A1770" s="104" t="s">
        <v>66</v>
      </c>
      <c r="B1770" s="28">
        <v>0</v>
      </c>
      <c r="C1770" s="11"/>
      <c r="D1770" s="18" t="str">
        <f t="shared" si="92"/>
        <v>&lt;RotRel_Y&gt;0.000000&lt;/RotRel_Y&gt;</v>
      </c>
      <c r="F1770" s="6"/>
      <c r="G1770" s="6"/>
      <c r="H1770" s="6"/>
      <c r="I1770" s="6"/>
      <c r="J1770" s="6"/>
      <c r="K1770" s="6"/>
      <c r="L1770" s="6"/>
      <c r="M1770" s="6"/>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c r="BU1770" s="6"/>
      <c r="BV1770" s="6"/>
      <c r="BW1770" s="6"/>
      <c r="BX1770" s="6"/>
      <c r="BY1770" s="6"/>
      <c r="BZ1770" s="6"/>
      <c r="CA1770" s="6"/>
      <c r="CB1770" s="6"/>
      <c r="CC1770" s="6"/>
      <c r="CD1770" s="6"/>
      <c r="CE1770" s="6"/>
      <c r="CF1770" s="6"/>
      <c r="CG1770" s="6"/>
      <c r="CH1770" s="6"/>
      <c r="CI1770" s="6"/>
      <c r="CJ1770" s="6"/>
      <c r="CK1770" s="6"/>
      <c r="CL1770" s="6"/>
      <c r="CM1770" s="6"/>
      <c r="CN1770" s="6"/>
      <c r="CO1770" s="6"/>
      <c r="CP1770" s="6"/>
      <c r="CQ1770" s="6"/>
      <c r="CR1770" s="6"/>
      <c r="CS1770" s="6"/>
      <c r="CT1770" s="6"/>
      <c r="CU1770" s="6"/>
      <c r="CV1770" s="6"/>
      <c r="CW1770" s="6"/>
      <c r="CX1770" s="6"/>
      <c r="CY1770" s="6"/>
      <c r="CZ1770" s="6"/>
      <c r="DA1770" s="6"/>
      <c r="DB1770" s="6"/>
      <c r="DC1770" s="6"/>
      <c r="DD1770" s="6"/>
    </row>
    <row r="1771" spans="1:108" ht="12.75" hidden="1" customHeight="1" outlineLevel="5">
      <c r="A1771" s="104" t="s">
        <v>67</v>
      </c>
      <c r="B1771" s="28">
        <v>0</v>
      </c>
      <c r="C1771" s="11"/>
      <c r="D1771" s="18" t="str">
        <f t="shared" si="92"/>
        <v>&lt;RotRel_Z&gt;0.000000&lt;/RotRel_Z&gt;</v>
      </c>
      <c r="F1771" s="6"/>
      <c r="G1771" s="6"/>
      <c r="H1771" s="6"/>
      <c r="I1771" s="6"/>
      <c r="J1771" s="6"/>
      <c r="K1771" s="6"/>
      <c r="L1771" s="6"/>
      <c r="M1771" s="6"/>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c r="BU1771" s="6"/>
      <c r="BV1771" s="6"/>
      <c r="BW1771" s="6"/>
      <c r="BX1771" s="6"/>
      <c r="BY1771" s="6"/>
      <c r="BZ1771" s="6"/>
      <c r="CA1771" s="6"/>
      <c r="CB1771" s="6"/>
      <c r="CC1771" s="6"/>
      <c r="CD1771" s="6"/>
      <c r="CE1771" s="6"/>
      <c r="CF1771" s="6"/>
      <c r="CG1771" s="6"/>
      <c r="CH1771" s="6"/>
      <c r="CI1771" s="6"/>
      <c r="CJ1771" s="6"/>
      <c r="CK1771" s="6"/>
      <c r="CL1771" s="6"/>
      <c r="CM1771" s="6"/>
      <c r="CN1771" s="6"/>
      <c r="CO1771" s="6"/>
      <c r="CP1771" s="6"/>
      <c r="CQ1771" s="6"/>
      <c r="CR1771" s="6"/>
      <c r="CS1771" s="6"/>
      <c r="CT1771" s="6"/>
      <c r="CU1771" s="6"/>
      <c r="CV1771" s="6"/>
      <c r="CW1771" s="6"/>
      <c r="CX1771" s="6"/>
      <c r="CY1771" s="6"/>
      <c r="CZ1771" s="6"/>
      <c r="DA1771" s="6"/>
      <c r="DB1771" s="6"/>
      <c r="DC1771" s="6"/>
      <c r="DD1771" s="6"/>
    </row>
    <row r="1772" spans="1:108" ht="12.75" hidden="1" customHeight="1" outlineLevel="5">
      <c r="A1772" s="104" t="s">
        <v>68</v>
      </c>
      <c r="B1772" s="28">
        <v>0</v>
      </c>
      <c r="C1772" s="11"/>
      <c r="D1772" s="18" t="str">
        <f t="shared" si="92"/>
        <v>&lt;Origin&gt;0.000000&lt;/Origin&gt;</v>
      </c>
      <c r="F1772" s="6"/>
      <c r="G1772" s="6"/>
      <c r="H1772" s="6"/>
      <c r="I1772" s="6"/>
      <c r="J1772" s="6"/>
      <c r="K1772" s="6"/>
      <c r="L1772" s="6"/>
      <c r="M1772" s="6"/>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c r="BU1772" s="6"/>
      <c r="BV1772" s="6"/>
      <c r="BW1772" s="6"/>
      <c r="BX1772" s="6"/>
      <c r="BY1772" s="6"/>
      <c r="BZ1772" s="6"/>
      <c r="CA1772" s="6"/>
      <c r="CB1772" s="6"/>
      <c r="CC1772" s="6"/>
      <c r="CD1772" s="6"/>
      <c r="CE1772" s="6"/>
      <c r="CF1772" s="6"/>
      <c r="CG1772" s="6"/>
      <c r="CH1772" s="6"/>
      <c r="CI1772" s="6"/>
      <c r="CJ1772" s="6"/>
      <c r="CK1772" s="6"/>
      <c r="CL1772" s="6"/>
      <c r="CM1772" s="6"/>
      <c r="CN1772" s="6"/>
      <c r="CO1772" s="6"/>
      <c r="CP1772" s="6"/>
      <c r="CQ1772" s="6"/>
      <c r="CR1772" s="6"/>
      <c r="CS1772" s="6"/>
      <c r="CT1772" s="6"/>
      <c r="CU1772" s="6"/>
      <c r="CV1772" s="6"/>
      <c r="CW1772" s="6"/>
      <c r="CX1772" s="6"/>
      <c r="CY1772" s="6"/>
      <c r="CZ1772" s="6"/>
      <c r="DA1772" s="6"/>
      <c r="DB1772" s="6"/>
      <c r="DC1772" s="6"/>
      <c r="DD1772" s="6"/>
    </row>
    <row r="1773" spans="1:108" ht="12.75" hidden="1" customHeight="1" outlineLevel="5">
      <c r="A1773" s="104" t="s">
        <v>69</v>
      </c>
      <c r="B1773" s="28">
        <v>1</v>
      </c>
      <c r="C1773" s="11"/>
      <c r="D1773" s="18" t="str">
        <f t="shared" si="92"/>
        <v>&lt;Density&gt;1.000000&lt;/Density&gt;</v>
      </c>
      <c r="F1773" s="6"/>
      <c r="G1773" s="6"/>
      <c r="H1773" s="6"/>
      <c r="I1773" s="6"/>
      <c r="J1773" s="6"/>
      <c r="K1773" s="6"/>
      <c r="L1773" s="6"/>
      <c r="M1773" s="6"/>
      <c r="N1773" s="6"/>
      <c r="O1773" s="6"/>
      <c r="P1773" s="6"/>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c r="BU1773" s="6"/>
      <c r="BV1773" s="6"/>
      <c r="BW1773" s="6"/>
      <c r="BX1773" s="6"/>
      <c r="BY1773" s="6"/>
      <c r="BZ1773" s="6"/>
      <c r="CA1773" s="6"/>
      <c r="CB1773" s="6"/>
      <c r="CC1773" s="6"/>
      <c r="CD1773" s="6"/>
      <c r="CE1773" s="6"/>
      <c r="CF1773" s="6"/>
      <c r="CG1773" s="6"/>
      <c r="CH1773" s="6"/>
      <c r="CI1773" s="6"/>
      <c r="CJ1773" s="6"/>
      <c r="CK1773" s="6"/>
      <c r="CL1773" s="6"/>
      <c r="CM1773" s="6"/>
      <c r="CN1773" s="6"/>
      <c r="CO1773" s="6"/>
      <c r="CP1773" s="6"/>
      <c r="CQ1773" s="6"/>
      <c r="CR1773" s="6"/>
      <c r="CS1773" s="6"/>
      <c r="CT1773" s="6"/>
      <c r="CU1773" s="6"/>
      <c r="CV1773" s="6"/>
      <c r="CW1773" s="6"/>
      <c r="CX1773" s="6"/>
      <c r="CY1773" s="6"/>
      <c r="CZ1773" s="6"/>
      <c r="DA1773" s="6"/>
      <c r="DB1773" s="6"/>
      <c r="DC1773" s="6"/>
      <c r="DD1773" s="6"/>
    </row>
    <row r="1774" spans="1:108" ht="12.75" hidden="1" customHeight="1" outlineLevel="5">
      <c r="A1774" s="104" t="s">
        <v>70</v>
      </c>
      <c r="B1774" s="28">
        <v>1</v>
      </c>
      <c r="C1774" s="11"/>
      <c r="D1774" s="18" t="str">
        <f t="shared" si="92"/>
        <v>&lt;ShellMassArea&gt;1.000000&lt;/ShellMassArea&gt;</v>
      </c>
      <c r="F1774" s="6"/>
      <c r="G1774" s="6"/>
      <c r="H1774" s="6"/>
      <c r="I1774" s="6"/>
      <c r="J1774" s="6"/>
      <c r="K1774" s="6"/>
      <c r="L1774" s="6"/>
      <c r="M1774" s="6"/>
      <c r="N1774" s="6"/>
      <c r="O1774" s="6"/>
      <c r="P1774" s="6"/>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c r="BU1774" s="6"/>
      <c r="BV1774" s="6"/>
      <c r="BW1774" s="6"/>
      <c r="BX1774" s="6"/>
      <c r="BY1774" s="6"/>
      <c r="BZ1774" s="6"/>
      <c r="CA1774" s="6"/>
      <c r="CB1774" s="6"/>
      <c r="CC1774" s="6"/>
      <c r="CD1774" s="6"/>
      <c r="CE1774" s="6"/>
      <c r="CF1774" s="6"/>
      <c r="CG1774" s="6"/>
      <c r="CH1774" s="6"/>
      <c r="CI1774" s="6"/>
      <c r="CJ1774" s="6"/>
      <c r="CK1774" s="6"/>
      <c r="CL1774" s="6"/>
      <c r="CM1774" s="6"/>
      <c r="CN1774" s="6"/>
      <c r="CO1774" s="6"/>
      <c r="CP1774" s="6"/>
      <c r="CQ1774" s="6"/>
      <c r="CR1774" s="6"/>
      <c r="CS1774" s="6"/>
      <c r="CT1774" s="6"/>
      <c r="CU1774" s="6"/>
      <c r="CV1774" s="6"/>
      <c r="CW1774" s="6"/>
      <c r="CX1774" s="6"/>
      <c r="CY1774" s="6"/>
      <c r="CZ1774" s="6"/>
      <c r="DA1774" s="6"/>
      <c r="DB1774" s="6"/>
      <c r="DC1774" s="6"/>
      <c r="DD1774" s="6"/>
    </row>
    <row r="1775" spans="1:108" ht="12.75" hidden="1" customHeight="1" outlineLevel="5">
      <c r="A1775" s="104" t="s">
        <v>71</v>
      </c>
      <c r="B1775" s="28">
        <v>0</v>
      </c>
      <c r="C1775" s="11"/>
      <c r="D1775" s="18" t="str">
        <f>"&lt;" &amp; A1775 &amp; "&gt;" &amp; TEXT(B1775,0) &amp; "&lt;/" &amp; A1775 &amp; "&gt;"</f>
        <v>&lt;RefFlag&gt;0&lt;/RefFlag&gt;</v>
      </c>
      <c r="F1775" s="6"/>
      <c r="G1775" s="6"/>
      <c r="H1775" s="6"/>
      <c r="I1775" s="6"/>
      <c r="J1775" s="6"/>
      <c r="K1775" s="6"/>
      <c r="L1775" s="6"/>
      <c r="M1775" s="6"/>
      <c r="N1775" s="6"/>
      <c r="O1775" s="6"/>
      <c r="P1775" s="6"/>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c r="BU1775" s="6"/>
      <c r="BV1775" s="6"/>
      <c r="BW1775" s="6"/>
      <c r="BX1775" s="6"/>
      <c r="BY1775" s="6"/>
      <c r="BZ1775" s="6"/>
      <c r="CA1775" s="6"/>
      <c r="CB1775" s="6"/>
      <c r="CC1775" s="6"/>
      <c r="CD1775" s="6"/>
      <c r="CE1775" s="6"/>
      <c r="CF1775" s="6"/>
      <c r="CG1775" s="6"/>
      <c r="CH1775" s="6"/>
      <c r="CI1775" s="6"/>
      <c r="CJ1775" s="6"/>
      <c r="CK1775" s="6"/>
      <c r="CL1775" s="6"/>
      <c r="CM1775" s="6"/>
      <c r="CN1775" s="6"/>
      <c r="CO1775" s="6"/>
      <c r="CP1775" s="6"/>
      <c r="CQ1775" s="6"/>
      <c r="CR1775" s="6"/>
      <c r="CS1775" s="6"/>
      <c r="CT1775" s="6"/>
      <c r="CU1775" s="6"/>
      <c r="CV1775" s="6"/>
      <c r="CW1775" s="6"/>
      <c r="CX1775" s="6"/>
      <c r="CY1775" s="6"/>
      <c r="CZ1775" s="6"/>
      <c r="DA1775" s="6"/>
      <c r="DB1775" s="6"/>
      <c r="DC1775" s="6"/>
      <c r="DD1775" s="6"/>
    </row>
    <row r="1776" spans="1:108" ht="12.75" hidden="1" customHeight="1" outlineLevel="5">
      <c r="A1776" s="104" t="s">
        <v>72</v>
      </c>
      <c r="B1776" s="28">
        <v>100</v>
      </c>
      <c r="C1776" s="11"/>
      <c r="D1776" s="18" t="str">
        <f>"&lt;" &amp; A1776 &amp; "&gt;" &amp; TEXT(B1776,"0.000000") &amp; "&lt;/" &amp; A1776 &amp; "&gt;"</f>
        <v>&lt;RefArea&gt;100.000000&lt;/RefArea&gt;</v>
      </c>
      <c r="F1776" s="6"/>
      <c r="G1776" s="6"/>
      <c r="H1776" s="6"/>
      <c r="I1776" s="6"/>
      <c r="J1776" s="6"/>
      <c r="K1776" s="6"/>
      <c r="L1776" s="6"/>
      <c r="M1776" s="6"/>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c r="BU1776" s="6"/>
      <c r="BV1776" s="6"/>
      <c r="BW1776" s="6"/>
      <c r="BX1776" s="6"/>
      <c r="BY1776" s="6"/>
      <c r="BZ1776" s="6"/>
      <c r="CA1776" s="6"/>
      <c r="CB1776" s="6"/>
      <c r="CC1776" s="6"/>
      <c r="CD1776" s="6"/>
      <c r="CE1776" s="6"/>
      <c r="CF1776" s="6"/>
      <c r="CG1776" s="6"/>
      <c r="CH1776" s="6"/>
      <c r="CI1776" s="6"/>
      <c r="CJ1776" s="6"/>
      <c r="CK1776" s="6"/>
      <c r="CL1776" s="6"/>
      <c r="CM1776" s="6"/>
      <c r="CN1776" s="6"/>
      <c r="CO1776" s="6"/>
      <c r="CP1776" s="6"/>
      <c r="CQ1776" s="6"/>
      <c r="CR1776" s="6"/>
      <c r="CS1776" s="6"/>
      <c r="CT1776" s="6"/>
      <c r="CU1776" s="6"/>
      <c r="CV1776" s="6"/>
      <c r="CW1776" s="6"/>
      <c r="CX1776" s="6"/>
      <c r="CY1776" s="6"/>
      <c r="CZ1776" s="6"/>
      <c r="DA1776" s="6"/>
      <c r="DB1776" s="6"/>
      <c r="DC1776" s="6"/>
      <c r="DD1776" s="6"/>
    </row>
    <row r="1777" spans="1:108" ht="12.75" hidden="1" customHeight="1" outlineLevel="5">
      <c r="A1777" s="104" t="s">
        <v>73</v>
      </c>
      <c r="B1777" s="28">
        <v>10</v>
      </c>
      <c r="C1777" s="11"/>
      <c r="D1777" s="18" t="str">
        <f>"&lt;" &amp; A1777 &amp; "&gt;" &amp; TEXT(B1777,"0.000000") &amp; "&lt;/" &amp; A1777 &amp; "&gt;"</f>
        <v>&lt;RefSpan&gt;10.000000&lt;/RefSpan&gt;</v>
      </c>
      <c r="F1777" s="6"/>
      <c r="G1777" s="6"/>
      <c r="H1777" s="6"/>
      <c r="I1777" s="6"/>
      <c r="J1777" s="6"/>
      <c r="K1777" s="6"/>
      <c r="L1777" s="6"/>
      <c r="M1777" s="6"/>
      <c r="N1777" s="6"/>
      <c r="O1777" s="6"/>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c r="BU1777" s="6"/>
      <c r="BV1777" s="6"/>
      <c r="BW1777" s="6"/>
      <c r="BX1777" s="6"/>
      <c r="BY1777" s="6"/>
      <c r="BZ1777" s="6"/>
      <c r="CA1777" s="6"/>
      <c r="CB1777" s="6"/>
      <c r="CC1777" s="6"/>
      <c r="CD1777" s="6"/>
      <c r="CE1777" s="6"/>
      <c r="CF1777" s="6"/>
      <c r="CG1777" s="6"/>
      <c r="CH1777" s="6"/>
      <c r="CI1777" s="6"/>
      <c r="CJ1777" s="6"/>
      <c r="CK1777" s="6"/>
      <c r="CL1777" s="6"/>
      <c r="CM1777" s="6"/>
      <c r="CN1777" s="6"/>
      <c r="CO1777" s="6"/>
      <c r="CP1777" s="6"/>
      <c r="CQ1777" s="6"/>
      <c r="CR1777" s="6"/>
      <c r="CS1777" s="6"/>
      <c r="CT1777" s="6"/>
      <c r="CU1777" s="6"/>
      <c r="CV1777" s="6"/>
      <c r="CW1777" s="6"/>
      <c r="CX1777" s="6"/>
      <c r="CY1777" s="6"/>
      <c r="CZ1777" s="6"/>
      <c r="DA1777" s="6"/>
      <c r="DB1777" s="6"/>
      <c r="DC1777" s="6"/>
      <c r="DD1777" s="6"/>
    </row>
    <row r="1778" spans="1:108" ht="12.75" hidden="1" customHeight="1" outlineLevel="5">
      <c r="A1778" s="104" t="s">
        <v>74</v>
      </c>
      <c r="B1778" s="28">
        <v>1</v>
      </c>
      <c r="C1778" s="11"/>
      <c r="D1778" s="18" t="str">
        <f>"&lt;" &amp; A1778 &amp; "&gt;" &amp; TEXT(B1778,"0.000000") &amp; "&lt;/" &amp; A1778 &amp; "&gt;"</f>
        <v>&lt;RefCbar&gt;1.000000&lt;/RefCbar&gt;</v>
      </c>
      <c r="F1778" s="6"/>
      <c r="G1778" s="6"/>
      <c r="H1778" s="6"/>
      <c r="I1778" s="6"/>
      <c r="J1778" s="6"/>
      <c r="K1778" s="6"/>
      <c r="L1778" s="6"/>
      <c r="M1778" s="6"/>
      <c r="N1778" s="6"/>
      <c r="O1778" s="6"/>
      <c r="P1778" s="6"/>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c r="BU1778" s="6"/>
      <c r="BV1778" s="6"/>
      <c r="BW1778" s="6"/>
      <c r="BX1778" s="6"/>
      <c r="BY1778" s="6"/>
      <c r="BZ1778" s="6"/>
      <c r="CA1778" s="6"/>
      <c r="CB1778" s="6"/>
      <c r="CC1778" s="6"/>
      <c r="CD1778" s="6"/>
      <c r="CE1778" s="6"/>
      <c r="CF1778" s="6"/>
      <c r="CG1778" s="6"/>
      <c r="CH1778" s="6"/>
      <c r="CI1778" s="6"/>
      <c r="CJ1778" s="6"/>
      <c r="CK1778" s="6"/>
      <c r="CL1778" s="6"/>
      <c r="CM1778" s="6"/>
      <c r="CN1778" s="6"/>
      <c r="CO1778" s="6"/>
      <c r="CP1778" s="6"/>
      <c r="CQ1778" s="6"/>
      <c r="CR1778" s="6"/>
      <c r="CS1778" s="6"/>
      <c r="CT1778" s="6"/>
      <c r="CU1778" s="6"/>
      <c r="CV1778" s="6"/>
      <c r="CW1778" s="6"/>
      <c r="CX1778" s="6"/>
      <c r="CY1778" s="6"/>
      <c r="CZ1778" s="6"/>
      <c r="DA1778" s="6"/>
      <c r="DB1778" s="6"/>
      <c r="DC1778" s="6"/>
      <c r="DD1778" s="6"/>
    </row>
    <row r="1779" spans="1:108" ht="12.75" hidden="1" customHeight="1" outlineLevel="5">
      <c r="A1779" s="104" t="s">
        <v>75</v>
      </c>
      <c r="B1779" s="28">
        <v>1</v>
      </c>
      <c r="C1779" s="11"/>
      <c r="D1779" s="18" t="str">
        <f>"&lt;" &amp; A1779 &amp; "&gt;" &amp; TEXT(B1779,0) &amp; "&lt;/" &amp; A1779 &amp; "&gt;"</f>
        <v>&lt;AutoRefAreaFlag&gt;1&lt;/AutoRefAreaFlag&gt;</v>
      </c>
      <c r="F1779" s="6"/>
      <c r="G1779" s="6"/>
      <c r="H1779" s="6"/>
      <c r="I1779" s="6"/>
      <c r="J1779" s="6"/>
      <c r="K1779" s="6"/>
      <c r="L1779" s="6"/>
      <c r="M1779" s="6"/>
      <c r="N1779" s="6"/>
      <c r="O1779" s="6"/>
      <c r="P1779" s="6"/>
      <c r="Q1779" s="6"/>
      <c r="R1779" s="6"/>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c r="BU1779" s="6"/>
      <c r="BV1779" s="6"/>
      <c r="BW1779" s="6"/>
      <c r="BX1779" s="6"/>
      <c r="BY1779" s="6"/>
      <c r="BZ1779" s="6"/>
      <c r="CA1779" s="6"/>
      <c r="CB1779" s="6"/>
      <c r="CC1779" s="6"/>
      <c r="CD1779" s="6"/>
      <c r="CE1779" s="6"/>
      <c r="CF1779" s="6"/>
      <c r="CG1779" s="6"/>
      <c r="CH1779" s="6"/>
      <c r="CI1779" s="6"/>
      <c r="CJ1779" s="6"/>
      <c r="CK1779" s="6"/>
      <c r="CL1779" s="6"/>
      <c r="CM1779" s="6"/>
      <c r="CN1779" s="6"/>
      <c r="CO1779" s="6"/>
      <c r="CP1779" s="6"/>
      <c r="CQ1779" s="6"/>
      <c r="CR1779" s="6"/>
      <c r="CS1779" s="6"/>
      <c r="CT1779" s="6"/>
      <c r="CU1779" s="6"/>
      <c r="CV1779" s="6"/>
      <c r="CW1779" s="6"/>
      <c r="CX1779" s="6"/>
      <c r="CY1779" s="6"/>
      <c r="CZ1779" s="6"/>
      <c r="DA1779" s="6"/>
      <c r="DB1779" s="6"/>
      <c r="DC1779" s="6"/>
      <c r="DD1779" s="6"/>
    </row>
    <row r="1780" spans="1:108" ht="12.75" hidden="1" customHeight="1" outlineLevel="5">
      <c r="A1780" s="104" t="s">
        <v>76</v>
      </c>
      <c r="B1780" s="28">
        <v>1</v>
      </c>
      <c r="C1780" s="11"/>
      <c r="D1780" s="18" t="str">
        <f>"&lt;" &amp; A1780 &amp; "&gt;" &amp; TEXT(B1780,0) &amp; "&lt;/" &amp; A1780 &amp; "&gt;"</f>
        <v>&lt;AutoRefSpanFlag&gt;1&lt;/AutoRefSpanFlag&gt;</v>
      </c>
      <c r="F1780" s="6"/>
      <c r="G1780" s="6"/>
      <c r="H1780" s="6"/>
      <c r="I1780" s="6"/>
      <c r="J1780" s="6"/>
      <c r="K1780" s="6"/>
      <c r="L1780" s="6"/>
      <c r="M1780" s="6"/>
      <c r="N1780" s="6"/>
      <c r="O1780" s="6"/>
      <c r="P1780" s="6"/>
      <c r="Q1780" s="6"/>
      <c r="R1780" s="6"/>
      <c r="S1780" s="6"/>
      <c r="T1780" s="6"/>
      <c r="U1780" s="6"/>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c r="BU1780" s="6"/>
      <c r="BV1780" s="6"/>
      <c r="BW1780" s="6"/>
      <c r="BX1780" s="6"/>
      <c r="BY1780" s="6"/>
      <c r="BZ1780" s="6"/>
      <c r="CA1780" s="6"/>
      <c r="CB1780" s="6"/>
      <c r="CC1780" s="6"/>
      <c r="CD1780" s="6"/>
      <c r="CE1780" s="6"/>
      <c r="CF1780" s="6"/>
      <c r="CG1780" s="6"/>
      <c r="CH1780" s="6"/>
      <c r="CI1780" s="6"/>
      <c r="CJ1780" s="6"/>
      <c r="CK1780" s="6"/>
      <c r="CL1780" s="6"/>
      <c r="CM1780" s="6"/>
      <c r="CN1780" s="6"/>
      <c r="CO1780" s="6"/>
      <c r="CP1780" s="6"/>
      <c r="CQ1780" s="6"/>
      <c r="CR1780" s="6"/>
      <c r="CS1780" s="6"/>
      <c r="CT1780" s="6"/>
      <c r="CU1780" s="6"/>
      <c r="CV1780" s="6"/>
      <c r="CW1780" s="6"/>
      <c r="CX1780" s="6"/>
      <c r="CY1780" s="6"/>
      <c r="CZ1780" s="6"/>
      <c r="DA1780" s="6"/>
      <c r="DB1780" s="6"/>
      <c r="DC1780" s="6"/>
      <c r="DD1780" s="6"/>
    </row>
    <row r="1781" spans="1:108" ht="12.75" hidden="1" customHeight="1" outlineLevel="5">
      <c r="A1781" s="104" t="s">
        <v>77</v>
      </c>
      <c r="B1781" s="28">
        <v>1</v>
      </c>
      <c r="C1781" s="11"/>
      <c r="D1781" s="18" t="str">
        <f>"&lt;" &amp; A1781 &amp; "&gt;" &amp; TEXT(B1781,0) &amp; "&lt;/" &amp; A1781 &amp; "&gt;"</f>
        <v>&lt;AutoRefCbarFlag&gt;1&lt;/AutoRefCbarFlag&gt;</v>
      </c>
      <c r="F1781" s="6"/>
      <c r="G1781" s="6"/>
      <c r="H1781" s="6"/>
      <c r="I1781" s="6"/>
      <c r="J1781" s="6"/>
      <c r="K1781" s="6"/>
      <c r="L1781" s="6"/>
      <c r="M1781" s="6"/>
      <c r="N1781" s="6"/>
      <c r="O1781" s="6"/>
      <c r="P1781" s="6"/>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c r="BU1781" s="6"/>
      <c r="BV1781" s="6"/>
      <c r="BW1781" s="6"/>
      <c r="BX1781" s="6"/>
      <c r="BY1781" s="6"/>
      <c r="BZ1781" s="6"/>
      <c r="CA1781" s="6"/>
      <c r="CB1781" s="6"/>
      <c r="CC1781" s="6"/>
      <c r="CD1781" s="6"/>
      <c r="CE1781" s="6"/>
      <c r="CF1781" s="6"/>
      <c r="CG1781" s="6"/>
      <c r="CH1781" s="6"/>
      <c r="CI1781" s="6"/>
      <c r="CJ1781" s="6"/>
      <c r="CK1781" s="6"/>
      <c r="CL1781" s="6"/>
      <c r="CM1781" s="6"/>
      <c r="CN1781" s="6"/>
      <c r="CO1781" s="6"/>
      <c r="CP1781" s="6"/>
      <c r="CQ1781" s="6"/>
      <c r="CR1781" s="6"/>
      <c r="CS1781" s="6"/>
      <c r="CT1781" s="6"/>
      <c r="CU1781" s="6"/>
      <c r="CV1781" s="6"/>
      <c r="CW1781" s="6"/>
      <c r="CX1781" s="6"/>
      <c r="CY1781" s="6"/>
      <c r="CZ1781" s="6"/>
      <c r="DA1781" s="6"/>
      <c r="DB1781" s="6"/>
      <c r="DC1781" s="6"/>
      <c r="DD1781" s="6"/>
    </row>
    <row r="1782" spans="1:108" ht="12.75" hidden="1" customHeight="1" outlineLevel="5">
      <c r="A1782" s="104" t="s">
        <v>78</v>
      </c>
      <c r="B1782" s="28">
        <v>0</v>
      </c>
      <c r="C1782" s="11"/>
      <c r="D1782" s="18" t="str">
        <f>"&lt;" &amp; A1782 &amp; "&gt;" &amp; TEXT(B1782,"0.000000") &amp; "&lt;/" &amp; A1782 &amp; "&gt;"</f>
        <v>&lt;AeroCenter_X&gt;0.000000&lt;/AeroCenter_X&gt;</v>
      </c>
      <c r="F1782" s="6"/>
      <c r="G1782" s="6"/>
      <c r="H1782" s="6"/>
      <c r="I1782" s="6"/>
      <c r="J1782" s="6"/>
      <c r="K1782" s="6"/>
      <c r="L1782" s="6"/>
      <c r="M1782" s="6"/>
      <c r="N1782" s="6"/>
      <c r="O1782" s="6"/>
      <c r="P1782" s="6"/>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c r="BU1782" s="6"/>
      <c r="BV1782" s="6"/>
      <c r="BW1782" s="6"/>
      <c r="BX1782" s="6"/>
      <c r="BY1782" s="6"/>
      <c r="BZ1782" s="6"/>
      <c r="CA1782" s="6"/>
      <c r="CB1782" s="6"/>
      <c r="CC1782" s="6"/>
      <c r="CD1782" s="6"/>
      <c r="CE1782" s="6"/>
      <c r="CF1782" s="6"/>
      <c r="CG1782" s="6"/>
      <c r="CH1782" s="6"/>
      <c r="CI1782" s="6"/>
      <c r="CJ1782" s="6"/>
      <c r="CK1782" s="6"/>
      <c r="CL1782" s="6"/>
      <c r="CM1782" s="6"/>
      <c r="CN1782" s="6"/>
      <c r="CO1782" s="6"/>
      <c r="CP1782" s="6"/>
      <c r="CQ1782" s="6"/>
      <c r="CR1782" s="6"/>
      <c r="CS1782" s="6"/>
      <c r="CT1782" s="6"/>
      <c r="CU1782" s="6"/>
      <c r="CV1782" s="6"/>
      <c r="CW1782" s="6"/>
      <c r="CX1782" s="6"/>
      <c r="CY1782" s="6"/>
      <c r="CZ1782" s="6"/>
      <c r="DA1782" s="6"/>
      <c r="DB1782" s="6"/>
      <c r="DC1782" s="6"/>
      <c r="DD1782" s="6"/>
    </row>
    <row r="1783" spans="1:108" ht="12.75" hidden="1" customHeight="1" outlineLevel="5">
      <c r="A1783" s="104" t="s">
        <v>79</v>
      </c>
      <c r="B1783" s="28">
        <v>0</v>
      </c>
      <c r="C1783" s="11"/>
      <c r="D1783" s="18" t="str">
        <f>"&lt;" &amp; A1783 &amp; "&gt;" &amp; TEXT(B1783,"0.000000") &amp; "&lt;/" &amp; A1783 &amp; "&gt;"</f>
        <v>&lt;AeroCenter_Y&gt;0.000000&lt;/AeroCenter_Y&gt;</v>
      </c>
      <c r="F1783" s="6"/>
      <c r="G1783" s="6"/>
      <c r="H1783" s="6"/>
      <c r="I1783" s="6"/>
      <c r="J1783" s="6"/>
      <c r="K1783" s="6"/>
      <c r="L1783" s="6"/>
      <c r="M1783" s="6"/>
      <c r="N1783" s="6"/>
      <c r="O1783" s="6"/>
      <c r="P1783" s="6"/>
      <c r="Q1783" s="6"/>
      <c r="R1783" s="6"/>
      <c r="S1783" s="6"/>
      <c r="T1783" s="6"/>
      <c r="U1783" s="6"/>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c r="BU1783" s="6"/>
      <c r="BV1783" s="6"/>
      <c r="BW1783" s="6"/>
      <c r="BX1783" s="6"/>
      <c r="BY1783" s="6"/>
      <c r="BZ1783" s="6"/>
      <c r="CA1783" s="6"/>
      <c r="CB1783" s="6"/>
      <c r="CC1783" s="6"/>
      <c r="CD1783" s="6"/>
      <c r="CE1783" s="6"/>
      <c r="CF1783" s="6"/>
      <c r="CG1783" s="6"/>
      <c r="CH1783" s="6"/>
      <c r="CI1783" s="6"/>
      <c r="CJ1783" s="6"/>
      <c r="CK1783" s="6"/>
      <c r="CL1783" s="6"/>
      <c r="CM1783" s="6"/>
      <c r="CN1783" s="6"/>
      <c r="CO1783" s="6"/>
      <c r="CP1783" s="6"/>
      <c r="CQ1783" s="6"/>
      <c r="CR1783" s="6"/>
      <c r="CS1783" s="6"/>
      <c r="CT1783" s="6"/>
      <c r="CU1783" s="6"/>
      <c r="CV1783" s="6"/>
      <c r="CW1783" s="6"/>
      <c r="CX1783" s="6"/>
      <c r="CY1783" s="6"/>
      <c r="CZ1783" s="6"/>
      <c r="DA1783" s="6"/>
      <c r="DB1783" s="6"/>
      <c r="DC1783" s="6"/>
      <c r="DD1783" s="6"/>
    </row>
    <row r="1784" spans="1:108" ht="12.75" hidden="1" customHeight="1" outlineLevel="5">
      <c r="A1784" s="104" t="s">
        <v>80</v>
      </c>
      <c r="B1784" s="28">
        <v>0</v>
      </c>
      <c r="C1784" s="11"/>
      <c r="D1784" s="18" t="str">
        <f>"&lt;" &amp; A1784 &amp; "&gt;" &amp; TEXT(B1784,"0.000000") &amp; "&lt;/" &amp; A1784 &amp; "&gt;"</f>
        <v>&lt;AeroCenter_Z&gt;0.000000&lt;/AeroCenter_Z&gt;</v>
      </c>
      <c r="F1784" s="6"/>
      <c r="G1784" s="6"/>
      <c r="H1784" s="6"/>
      <c r="I1784" s="6"/>
      <c r="J1784" s="6"/>
      <c r="K1784" s="6"/>
      <c r="L1784" s="6"/>
      <c r="M1784" s="6"/>
      <c r="N1784" s="6"/>
      <c r="O1784" s="6"/>
      <c r="P1784" s="6"/>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c r="BU1784" s="6"/>
      <c r="BV1784" s="6"/>
      <c r="BW1784" s="6"/>
      <c r="BX1784" s="6"/>
      <c r="BY1784" s="6"/>
      <c r="BZ1784" s="6"/>
      <c r="CA1784" s="6"/>
      <c r="CB1784" s="6"/>
      <c r="CC1784" s="6"/>
      <c r="CD1784" s="6"/>
      <c r="CE1784" s="6"/>
      <c r="CF1784" s="6"/>
      <c r="CG1784" s="6"/>
      <c r="CH1784" s="6"/>
      <c r="CI1784" s="6"/>
      <c r="CJ1784" s="6"/>
      <c r="CK1784" s="6"/>
      <c r="CL1784" s="6"/>
      <c r="CM1784" s="6"/>
      <c r="CN1784" s="6"/>
      <c r="CO1784" s="6"/>
      <c r="CP1784" s="6"/>
      <c r="CQ1784" s="6"/>
      <c r="CR1784" s="6"/>
      <c r="CS1784" s="6"/>
      <c r="CT1784" s="6"/>
      <c r="CU1784" s="6"/>
      <c r="CV1784" s="6"/>
      <c r="CW1784" s="6"/>
      <c r="CX1784" s="6"/>
      <c r="CY1784" s="6"/>
      <c r="CZ1784" s="6"/>
      <c r="DA1784" s="6"/>
      <c r="DB1784" s="6"/>
      <c r="DC1784" s="6"/>
      <c r="DD1784" s="6"/>
    </row>
    <row r="1785" spans="1:108" ht="12.75" hidden="1" customHeight="1" outlineLevel="5">
      <c r="A1785" s="104" t="s">
        <v>81</v>
      </c>
      <c r="B1785" s="28">
        <v>1</v>
      </c>
      <c r="C1785" s="11"/>
      <c r="D1785" s="18" t="str">
        <f>"&lt;" &amp; A1785 &amp; "&gt;" &amp; TEXT(B1785,0) &amp; "&lt;/" &amp; A1785 &amp; "&gt;"</f>
        <v>&lt;AutoAeroCenterFlag&gt;1&lt;/AutoAeroCenterFlag&gt;</v>
      </c>
      <c r="F1785" s="6"/>
      <c r="G1785" s="6"/>
      <c r="H1785" s="6"/>
      <c r="I1785" s="6"/>
      <c r="J1785" s="6"/>
      <c r="K1785" s="6"/>
      <c r="L1785" s="6"/>
      <c r="M1785" s="6"/>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c r="BU1785" s="6"/>
      <c r="BV1785" s="6"/>
      <c r="BW1785" s="6"/>
      <c r="BX1785" s="6"/>
      <c r="BY1785" s="6"/>
      <c r="BZ1785" s="6"/>
      <c r="CA1785" s="6"/>
      <c r="CB1785" s="6"/>
      <c r="CC1785" s="6"/>
      <c r="CD1785" s="6"/>
      <c r="CE1785" s="6"/>
      <c r="CF1785" s="6"/>
      <c r="CG1785" s="6"/>
      <c r="CH1785" s="6"/>
      <c r="CI1785" s="6"/>
      <c r="CJ1785" s="6"/>
      <c r="CK1785" s="6"/>
      <c r="CL1785" s="6"/>
      <c r="CM1785" s="6"/>
      <c r="CN1785" s="6"/>
      <c r="CO1785" s="6"/>
      <c r="CP1785" s="6"/>
      <c r="CQ1785" s="6"/>
      <c r="CR1785" s="6"/>
      <c r="CS1785" s="6"/>
      <c r="CT1785" s="6"/>
      <c r="CU1785" s="6"/>
      <c r="CV1785" s="6"/>
      <c r="CW1785" s="6"/>
      <c r="CX1785" s="6"/>
      <c r="CY1785" s="6"/>
      <c r="CZ1785" s="6"/>
      <c r="DA1785" s="6"/>
      <c r="DB1785" s="6"/>
      <c r="DC1785" s="6"/>
      <c r="DD1785" s="6"/>
    </row>
    <row r="1786" spans="1:108" ht="12.75" hidden="1" customHeight="1" outlineLevel="5">
      <c r="A1786" s="104" t="s">
        <v>82</v>
      </c>
      <c r="B1786" s="28">
        <v>0</v>
      </c>
      <c r="C1786" s="11"/>
      <c r="D1786" s="18" t="str">
        <f>"&lt;" &amp; A1786 &amp; "&gt;" &amp; TEXT(B1786,0) &amp; "&lt;/" &amp; A1786 &amp; "&gt;"</f>
        <v>&lt;WakeActiveFlag&gt;0&lt;/WakeActiveFlag&gt;</v>
      </c>
      <c r="F1786" s="6"/>
      <c r="G1786" s="6"/>
      <c r="H1786" s="6"/>
      <c r="I1786" s="6"/>
      <c r="J1786" s="6"/>
      <c r="K1786" s="6"/>
      <c r="L1786" s="6"/>
      <c r="M1786" s="6"/>
      <c r="N1786" s="6"/>
      <c r="O1786" s="6"/>
      <c r="P1786" s="6"/>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c r="BU1786" s="6"/>
      <c r="BV1786" s="6"/>
      <c r="BW1786" s="6"/>
      <c r="BX1786" s="6"/>
      <c r="BY1786" s="6"/>
      <c r="BZ1786" s="6"/>
      <c r="CA1786" s="6"/>
      <c r="CB1786" s="6"/>
      <c r="CC1786" s="6"/>
      <c r="CD1786" s="6"/>
      <c r="CE1786" s="6"/>
      <c r="CF1786" s="6"/>
      <c r="CG1786" s="6"/>
      <c r="CH1786" s="6"/>
      <c r="CI1786" s="6"/>
      <c r="CJ1786" s="6"/>
      <c r="CK1786" s="6"/>
      <c r="CL1786" s="6"/>
      <c r="CM1786" s="6"/>
      <c r="CN1786" s="6"/>
      <c r="CO1786" s="6"/>
      <c r="CP1786" s="6"/>
      <c r="CQ1786" s="6"/>
      <c r="CR1786" s="6"/>
      <c r="CS1786" s="6"/>
      <c r="CT1786" s="6"/>
      <c r="CU1786" s="6"/>
      <c r="CV1786" s="6"/>
      <c r="CW1786" s="6"/>
      <c r="CX1786" s="6"/>
      <c r="CY1786" s="6"/>
      <c r="CZ1786" s="6"/>
      <c r="DA1786" s="6"/>
      <c r="DB1786" s="6"/>
      <c r="DC1786" s="6"/>
      <c r="DD1786" s="6"/>
    </row>
    <row r="1787" spans="1:108" ht="12.75" hidden="1" customHeight="1" outlineLevel="5">
      <c r="A1787" s="104" t="s">
        <v>83</v>
      </c>
      <c r="B1787" s="28">
        <v>0</v>
      </c>
      <c r="C1787" s="11"/>
      <c r="D1787" s="18" t="str">
        <f>"&lt;" &amp; A1787 &amp; "&gt;" &amp; TEXT(B1787,0) &amp; "&lt;/" &amp; A1787 &amp; "&gt;"</f>
        <v>&lt;PosAttachFlag&gt;0&lt;/PosAttachFlag&gt;</v>
      </c>
      <c r="F1787" s="6"/>
      <c r="G1787" s="6"/>
      <c r="H1787" s="6"/>
      <c r="I1787" s="6"/>
      <c r="J1787" s="6"/>
      <c r="K1787" s="6"/>
      <c r="L1787" s="6"/>
      <c r="M1787" s="6"/>
      <c r="N1787" s="6"/>
      <c r="O1787" s="6"/>
      <c r="P1787" s="6"/>
      <c r="Q1787" s="6"/>
      <c r="R1787" s="6"/>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c r="BU1787" s="6"/>
      <c r="BV1787" s="6"/>
      <c r="BW1787" s="6"/>
      <c r="BX1787" s="6"/>
      <c r="BY1787" s="6"/>
      <c r="BZ1787" s="6"/>
      <c r="CA1787" s="6"/>
      <c r="CB1787" s="6"/>
      <c r="CC1787" s="6"/>
      <c r="CD1787" s="6"/>
      <c r="CE1787" s="6"/>
      <c r="CF1787" s="6"/>
      <c r="CG1787" s="6"/>
      <c r="CH1787" s="6"/>
      <c r="CI1787" s="6"/>
      <c r="CJ1787" s="6"/>
      <c r="CK1787" s="6"/>
      <c r="CL1787" s="6"/>
      <c r="CM1787" s="6"/>
      <c r="CN1787" s="6"/>
      <c r="CO1787" s="6"/>
      <c r="CP1787" s="6"/>
      <c r="CQ1787" s="6"/>
      <c r="CR1787" s="6"/>
      <c r="CS1787" s="6"/>
      <c r="CT1787" s="6"/>
      <c r="CU1787" s="6"/>
      <c r="CV1787" s="6"/>
      <c r="CW1787" s="6"/>
      <c r="CX1787" s="6"/>
      <c r="CY1787" s="6"/>
      <c r="CZ1787" s="6"/>
      <c r="DA1787" s="6"/>
      <c r="DB1787" s="6"/>
      <c r="DC1787" s="6"/>
      <c r="DD1787" s="6"/>
    </row>
    <row r="1788" spans="1:108" ht="12.75" hidden="1" customHeight="1" outlineLevel="5">
      <c r="A1788" s="104" t="s">
        <v>84</v>
      </c>
      <c r="B1788" s="28">
        <v>0</v>
      </c>
      <c r="C1788" s="11"/>
      <c r="D1788" s="18" t="str">
        <f>"&lt;" &amp; A1788 &amp; "&gt;" &amp; TEXT(B1788,"0.000000") &amp; "&lt;/" &amp; A1788 &amp; "&gt;"</f>
        <v>&lt;U_Attach&gt;0.000000&lt;/U_Attach&gt;</v>
      </c>
      <c r="F1788" s="6"/>
      <c r="G1788" s="6"/>
      <c r="H1788" s="6"/>
      <c r="I1788" s="6"/>
      <c r="J1788" s="6"/>
      <c r="K1788" s="6"/>
      <c r="L1788" s="6"/>
      <c r="M1788" s="6"/>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c r="BU1788" s="6"/>
      <c r="BV1788" s="6"/>
      <c r="BW1788" s="6"/>
      <c r="BX1788" s="6"/>
      <c r="BY1788" s="6"/>
      <c r="BZ1788" s="6"/>
      <c r="CA1788" s="6"/>
      <c r="CB1788" s="6"/>
      <c r="CC1788" s="6"/>
      <c r="CD1788" s="6"/>
      <c r="CE1788" s="6"/>
      <c r="CF1788" s="6"/>
      <c r="CG1788" s="6"/>
      <c r="CH1788" s="6"/>
      <c r="CI1788" s="6"/>
      <c r="CJ1788" s="6"/>
      <c r="CK1788" s="6"/>
      <c r="CL1788" s="6"/>
      <c r="CM1788" s="6"/>
      <c r="CN1788" s="6"/>
      <c r="CO1788" s="6"/>
      <c r="CP1788" s="6"/>
      <c r="CQ1788" s="6"/>
      <c r="CR1788" s="6"/>
      <c r="CS1788" s="6"/>
      <c r="CT1788" s="6"/>
      <c r="CU1788" s="6"/>
      <c r="CV1788" s="6"/>
      <c r="CW1788" s="6"/>
      <c r="CX1788" s="6"/>
      <c r="CY1788" s="6"/>
      <c r="CZ1788" s="6"/>
      <c r="DA1788" s="6"/>
      <c r="DB1788" s="6"/>
      <c r="DC1788" s="6"/>
      <c r="DD1788" s="6"/>
    </row>
    <row r="1789" spans="1:108" ht="12.75" hidden="1" customHeight="1" outlineLevel="5">
      <c r="A1789" s="104" t="s">
        <v>85</v>
      </c>
      <c r="B1789" s="28">
        <v>0</v>
      </c>
      <c r="C1789" s="11"/>
      <c r="D1789" s="18" t="str">
        <f>"&lt;" &amp; A1789 &amp; "&gt;" &amp; TEXT(B1789,"0.000000") &amp; "&lt;/" &amp; A1789 &amp; "&gt;"</f>
        <v>&lt;V_Attach&gt;0.000000&lt;/V_Attach&gt;</v>
      </c>
      <c r="F1789" s="6"/>
      <c r="G1789" s="6"/>
      <c r="H1789" s="6"/>
      <c r="I1789" s="6"/>
      <c r="J1789" s="6"/>
      <c r="K1789" s="6"/>
      <c r="L1789" s="6"/>
      <c r="M1789" s="6"/>
      <c r="N1789" s="6"/>
      <c r="O1789" s="6"/>
      <c r="P1789" s="6"/>
      <c r="Q1789" s="6"/>
      <c r="R1789" s="6"/>
      <c r="S1789" s="6"/>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c r="BU1789" s="6"/>
      <c r="BV1789" s="6"/>
      <c r="BW1789" s="6"/>
      <c r="BX1789" s="6"/>
      <c r="BY1789" s="6"/>
      <c r="BZ1789" s="6"/>
      <c r="CA1789" s="6"/>
      <c r="CB1789" s="6"/>
      <c r="CC1789" s="6"/>
      <c r="CD1789" s="6"/>
      <c r="CE1789" s="6"/>
      <c r="CF1789" s="6"/>
      <c r="CG1789" s="6"/>
      <c r="CH1789" s="6"/>
      <c r="CI1789" s="6"/>
      <c r="CJ1789" s="6"/>
      <c r="CK1789" s="6"/>
      <c r="CL1789" s="6"/>
      <c r="CM1789" s="6"/>
      <c r="CN1789" s="6"/>
      <c r="CO1789" s="6"/>
      <c r="CP1789" s="6"/>
      <c r="CQ1789" s="6"/>
      <c r="CR1789" s="6"/>
      <c r="CS1789" s="6"/>
      <c r="CT1789" s="6"/>
      <c r="CU1789" s="6"/>
      <c r="CV1789" s="6"/>
      <c r="CW1789" s="6"/>
      <c r="CX1789" s="6"/>
      <c r="CY1789" s="6"/>
      <c r="CZ1789" s="6"/>
      <c r="DA1789" s="6"/>
      <c r="DB1789" s="6"/>
      <c r="DC1789" s="6"/>
      <c r="DD1789" s="6"/>
    </row>
    <row r="1790" spans="1:108" ht="12.75" hidden="1" customHeight="1" outlineLevel="5">
      <c r="A1790" s="104" t="s">
        <v>86</v>
      </c>
      <c r="B1790" s="28">
        <v>148674848</v>
      </c>
      <c r="C1790" s="11"/>
      <c r="D1790" s="18" t="str">
        <f t="shared" ref="D1790:D1795" si="93">"&lt;" &amp; A1790 &amp; "&gt;" &amp; TEXT(B1790,0) &amp; "&lt;/" &amp; A1790 &amp; "&gt;"</f>
        <v>&lt;PtrID&gt;148674848&lt;/PtrID&gt;</v>
      </c>
      <c r="F1790" s="6"/>
      <c r="G1790" s="6"/>
      <c r="H1790" s="6"/>
      <c r="I1790" s="6"/>
      <c r="J1790" s="6"/>
      <c r="K1790" s="6"/>
      <c r="L1790" s="6"/>
      <c r="M1790" s="6"/>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c r="BU1790" s="6"/>
      <c r="BV1790" s="6"/>
      <c r="BW1790" s="6"/>
      <c r="BX1790" s="6"/>
      <c r="BY1790" s="6"/>
      <c r="BZ1790" s="6"/>
      <c r="CA1790" s="6"/>
      <c r="CB1790" s="6"/>
      <c r="CC1790" s="6"/>
      <c r="CD1790" s="6"/>
      <c r="CE1790" s="6"/>
      <c r="CF1790" s="6"/>
      <c r="CG1790" s="6"/>
      <c r="CH1790" s="6"/>
      <c r="CI1790" s="6"/>
      <c r="CJ1790" s="6"/>
      <c r="CK1790" s="6"/>
      <c r="CL1790" s="6"/>
      <c r="CM1790" s="6"/>
      <c r="CN1790" s="6"/>
      <c r="CO1790" s="6"/>
      <c r="CP1790" s="6"/>
      <c r="CQ1790" s="6"/>
      <c r="CR1790" s="6"/>
      <c r="CS1790" s="6"/>
      <c r="CT1790" s="6"/>
      <c r="CU1790" s="6"/>
      <c r="CV1790" s="6"/>
      <c r="CW1790" s="6"/>
      <c r="CX1790" s="6"/>
      <c r="CY1790" s="6"/>
      <c r="CZ1790" s="6"/>
      <c r="DA1790" s="6"/>
      <c r="DB1790" s="6"/>
      <c r="DC1790" s="6"/>
      <c r="DD1790" s="6"/>
    </row>
    <row r="1791" spans="1:108" ht="12.75" hidden="1" customHeight="1" outlineLevel="5">
      <c r="A1791" s="104" t="s">
        <v>87</v>
      </c>
      <c r="B1791" s="28">
        <v>0</v>
      </c>
      <c r="C1791" s="11"/>
      <c r="D1791" s="18" t="str">
        <f t="shared" si="93"/>
        <v>&lt;Parent_PtrID&gt;0&lt;/Parent_PtrID&gt;</v>
      </c>
      <c r="F1791" s="6"/>
      <c r="G1791" s="6"/>
      <c r="H1791" s="6"/>
      <c r="I1791" s="6"/>
      <c r="J1791" s="6"/>
      <c r="K1791" s="6"/>
      <c r="L1791" s="6"/>
      <c r="M1791" s="6"/>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c r="BU1791" s="6"/>
      <c r="BV1791" s="6"/>
      <c r="BW1791" s="6"/>
      <c r="BX1791" s="6"/>
      <c r="BY1791" s="6"/>
      <c r="BZ1791" s="6"/>
      <c r="CA1791" s="6"/>
      <c r="CB1791" s="6"/>
      <c r="CC1791" s="6"/>
      <c r="CD1791" s="6"/>
      <c r="CE1791" s="6"/>
      <c r="CF1791" s="6"/>
      <c r="CG1791" s="6"/>
      <c r="CH1791" s="6"/>
      <c r="CI1791" s="6"/>
      <c r="CJ1791" s="6"/>
      <c r="CK1791" s="6"/>
      <c r="CL1791" s="6"/>
      <c r="CM1791" s="6"/>
      <c r="CN1791" s="6"/>
      <c r="CO1791" s="6"/>
      <c r="CP1791" s="6"/>
      <c r="CQ1791" s="6"/>
      <c r="CR1791" s="6"/>
      <c r="CS1791" s="6"/>
      <c r="CT1791" s="6"/>
      <c r="CU1791" s="6"/>
      <c r="CV1791" s="6"/>
      <c r="CW1791" s="6"/>
      <c r="CX1791" s="6"/>
      <c r="CY1791" s="6"/>
      <c r="CZ1791" s="6"/>
      <c r="DA1791" s="6"/>
      <c r="DB1791" s="6"/>
      <c r="DC1791" s="6"/>
      <c r="DD1791" s="6"/>
    </row>
    <row r="1792" spans="1:108" ht="12.75" hidden="1" customHeight="1" outlineLevel="5">
      <c r="A1792" s="104" t="s">
        <v>221</v>
      </c>
      <c r="B1792" s="28">
        <v>148677432</v>
      </c>
      <c r="C1792" s="11"/>
      <c r="D1792" s="18" t="str">
        <f t="shared" si="93"/>
        <v>&lt;Children_PtrID&gt;148677432&lt;/Children_PtrID&gt;</v>
      </c>
      <c r="F1792" s="6"/>
      <c r="G1792" s="6"/>
      <c r="H1792" s="6"/>
      <c r="I1792" s="6"/>
      <c r="J1792" s="6"/>
      <c r="K1792" s="6"/>
      <c r="L1792" s="6"/>
      <c r="M1792" s="6"/>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c r="BU1792" s="6"/>
      <c r="BV1792" s="6"/>
      <c r="BW1792" s="6"/>
      <c r="BX1792" s="6"/>
      <c r="BY1792" s="6"/>
      <c r="BZ1792" s="6"/>
      <c r="CA1792" s="6"/>
      <c r="CB1792" s="6"/>
      <c r="CC1792" s="6"/>
      <c r="CD1792" s="6"/>
      <c r="CE1792" s="6"/>
      <c r="CF1792" s="6"/>
      <c r="CG1792" s="6"/>
      <c r="CH1792" s="6"/>
      <c r="CI1792" s="6"/>
      <c r="CJ1792" s="6"/>
      <c r="CK1792" s="6"/>
      <c r="CL1792" s="6"/>
      <c r="CM1792" s="6"/>
      <c r="CN1792" s="6"/>
      <c r="CO1792" s="6"/>
      <c r="CP1792" s="6"/>
      <c r="CQ1792" s="6"/>
      <c r="CR1792" s="6"/>
      <c r="CS1792" s="6"/>
      <c r="CT1792" s="6"/>
      <c r="CU1792" s="6"/>
      <c r="CV1792" s="6"/>
      <c r="CW1792" s="6"/>
      <c r="CX1792" s="6"/>
      <c r="CY1792" s="6"/>
      <c r="CZ1792" s="6"/>
      <c r="DA1792" s="6"/>
      <c r="DB1792" s="6"/>
      <c r="DC1792" s="6"/>
      <c r="DD1792" s="6"/>
    </row>
    <row r="1793" spans="1:108" ht="12.75" hidden="1" customHeight="1" outlineLevel="5">
      <c r="A1793" s="104" t="s">
        <v>221</v>
      </c>
      <c r="B1793" s="28">
        <v>148906600</v>
      </c>
      <c r="C1793" s="11"/>
      <c r="D1793" s="18" t="str">
        <f t="shared" si="93"/>
        <v>&lt;Children_PtrID&gt;148906600&lt;/Children_PtrID&gt;</v>
      </c>
      <c r="F1793" s="6"/>
      <c r="G1793" s="6"/>
      <c r="H1793" s="6"/>
      <c r="I1793" s="6"/>
      <c r="J1793" s="6"/>
      <c r="K1793" s="6"/>
      <c r="L1793" s="6"/>
      <c r="M1793" s="6"/>
      <c r="N1793" s="6"/>
      <c r="O1793" s="6"/>
      <c r="P1793" s="6"/>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c r="BU1793" s="6"/>
      <c r="BV1793" s="6"/>
      <c r="BW1793" s="6"/>
      <c r="BX1793" s="6"/>
      <c r="BY1793" s="6"/>
      <c r="BZ1793" s="6"/>
      <c r="CA1793" s="6"/>
      <c r="CB1793" s="6"/>
      <c r="CC1793" s="6"/>
      <c r="CD1793" s="6"/>
      <c r="CE1793" s="6"/>
      <c r="CF1793" s="6"/>
      <c r="CG1793" s="6"/>
      <c r="CH1793" s="6"/>
      <c r="CI1793" s="6"/>
      <c r="CJ1793" s="6"/>
      <c r="CK1793" s="6"/>
      <c r="CL1793" s="6"/>
      <c r="CM1793" s="6"/>
      <c r="CN1793" s="6"/>
      <c r="CO1793" s="6"/>
      <c r="CP1793" s="6"/>
      <c r="CQ1793" s="6"/>
      <c r="CR1793" s="6"/>
      <c r="CS1793" s="6"/>
      <c r="CT1793" s="6"/>
      <c r="CU1793" s="6"/>
      <c r="CV1793" s="6"/>
      <c r="CW1793" s="6"/>
      <c r="CX1793" s="6"/>
      <c r="CY1793" s="6"/>
      <c r="CZ1793" s="6"/>
      <c r="DA1793" s="6"/>
      <c r="DB1793" s="6"/>
      <c r="DC1793" s="6"/>
      <c r="DD1793" s="6"/>
    </row>
    <row r="1794" spans="1:108" ht="12.75" hidden="1" customHeight="1" outlineLevel="5">
      <c r="A1794" s="104" t="s">
        <v>221</v>
      </c>
      <c r="B1794" s="28">
        <v>148458297</v>
      </c>
      <c r="C1794" s="11"/>
      <c r="D1794" s="18" t="str">
        <f t="shared" si="93"/>
        <v>&lt;Children_PtrID&gt;148458297&lt;/Children_PtrID&gt;</v>
      </c>
      <c r="F1794" s="6"/>
      <c r="G1794" s="6"/>
      <c r="H1794" s="6"/>
      <c r="I1794" s="6"/>
      <c r="J1794" s="6"/>
      <c r="K1794" s="6"/>
      <c r="L1794" s="6"/>
      <c r="M1794" s="6"/>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c r="BU1794" s="6"/>
      <c r="BV1794" s="6"/>
      <c r="BW1794" s="6"/>
      <c r="BX1794" s="6"/>
      <c r="BY1794" s="6"/>
      <c r="BZ1794" s="6"/>
      <c r="CA1794" s="6"/>
      <c r="CB1794" s="6"/>
      <c r="CC1794" s="6"/>
      <c r="CD1794" s="6"/>
      <c r="CE1794" s="6"/>
      <c r="CF1794" s="6"/>
      <c r="CG1794" s="6"/>
      <c r="CH1794" s="6"/>
      <c r="CI1794" s="6"/>
      <c r="CJ1794" s="6"/>
      <c r="CK1794" s="6"/>
      <c r="CL1794" s="6"/>
      <c r="CM1794" s="6"/>
      <c r="CN1794" s="6"/>
      <c r="CO1794" s="6"/>
      <c r="CP1794" s="6"/>
      <c r="CQ1794" s="6"/>
      <c r="CR1794" s="6"/>
      <c r="CS1794" s="6"/>
      <c r="CT1794" s="6"/>
      <c r="CU1794" s="6"/>
      <c r="CV1794" s="6"/>
      <c r="CW1794" s="6"/>
      <c r="CX1794" s="6"/>
      <c r="CY1794" s="6"/>
      <c r="CZ1794" s="6"/>
      <c r="DA1794" s="6"/>
      <c r="DB1794" s="6"/>
      <c r="DC1794" s="6"/>
      <c r="DD1794" s="6"/>
    </row>
    <row r="1795" spans="1:108" ht="12.75" hidden="1" customHeight="1" outlineLevel="5">
      <c r="A1795" s="104" t="s">
        <v>221</v>
      </c>
      <c r="B1795" s="28">
        <v>426023</v>
      </c>
      <c r="C1795" s="11"/>
      <c r="D1795" s="18" t="str">
        <f t="shared" si="93"/>
        <v>&lt;Children_PtrID&gt;426023&lt;/Children_PtrID&gt;</v>
      </c>
      <c r="F1795" s="6"/>
      <c r="G1795" s="6"/>
      <c r="H1795" s="6"/>
      <c r="I1795" s="6"/>
      <c r="J1795" s="6"/>
      <c r="K1795" s="6"/>
      <c r="L1795" s="6"/>
      <c r="M1795" s="6"/>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c r="BU1795" s="6"/>
      <c r="BV1795" s="6"/>
      <c r="BW1795" s="6"/>
      <c r="BX1795" s="6"/>
      <c r="BY1795" s="6"/>
      <c r="BZ1795" s="6"/>
      <c r="CA1795" s="6"/>
      <c r="CB1795" s="6"/>
      <c r="CC1795" s="6"/>
      <c r="CD1795" s="6"/>
      <c r="CE1795" s="6"/>
      <c r="CF1795" s="6"/>
      <c r="CG1795" s="6"/>
      <c r="CH1795" s="6"/>
      <c r="CI1795" s="6"/>
      <c r="CJ1795" s="6"/>
      <c r="CK1795" s="6"/>
      <c r="CL1795" s="6"/>
      <c r="CM1795" s="6"/>
      <c r="CN1795" s="6"/>
      <c r="CO1795" s="6"/>
      <c r="CP1795" s="6"/>
      <c r="CQ1795" s="6"/>
      <c r="CR1795" s="6"/>
      <c r="CS1795" s="6"/>
      <c r="CT1795" s="6"/>
      <c r="CU1795" s="6"/>
      <c r="CV1795" s="6"/>
      <c r="CW1795" s="6"/>
      <c r="CX1795" s="6"/>
      <c r="CY1795" s="6"/>
      <c r="CZ1795" s="6"/>
      <c r="DA1795" s="6"/>
      <c r="DB1795" s="6"/>
      <c r="DC1795" s="6"/>
      <c r="DD1795" s="6"/>
    </row>
    <row r="1796" spans="1:108" ht="12.75" hidden="1" customHeight="1" outlineLevel="5">
      <c r="A1796" s="104" t="s">
        <v>88</v>
      </c>
      <c r="B1796" s="100"/>
      <c r="C1796" s="11"/>
      <c r="D1796" s="6" t="str">
        <f>"&lt;" &amp; A1796 &amp; "&gt;"</f>
        <v>&lt;/General_Parms&gt;</v>
      </c>
      <c r="F1796" s="6"/>
      <c r="G1796" s="6"/>
      <c r="H1796" s="6"/>
      <c r="I1796" s="6"/>
      <c r="J1796" s="6"/>
      <c r="K1796" s="6"/>
      <c r="L1796" s="6"/>
      <c r="M1796" s="6"/>
      <c r="N1796" s="6"/>
      <c r="O1796" s="6"/>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c r="BU1796" s="6"/>
      <c r="BV1796" s="6"/>
      <c r="BW1796" s="6"/>
      <c r="BX1796" s="6"/>
      <c r="BY1796" s="6"/>
      <c r="BZ1796" s="6"/>
      <c r="CA1796" s="6"/>
      <c r="CB1796" s="6"/>
      <c r="CC1796" s="6"/>
      <c r="CD1796" s="6"/>
      <c r="CE1796" s="6"/>
      <c r="CF1796" s="6"/>
      <c r="CG1796" s="6"/>
      <c r="CH1796" s="6"/>
      <c r="CI1796" s="6"/>
      <c r="CJ1796" s="6"/>
      <c r="CK1796" s="6"/>
      <c r="CL1796" s="6"/>
      <c r="CM1796" s="6"/>
      <c r="CN1796" s="6"/>
      <c r="CO1796" s="6"/>
      <c r="CP1796" s="6"/>
      <c r="CQ1796" s="6"/>
      <c r="CR1796" s="6"/>
      <c r="CS1796" s="6"/>
      <c r="CT1796" s="6"/>
      <c r="CU1796" s="6"/>
      <c r="CV1796" s="6"/>
      <c r="CW1796" s="6"/>
      <c r="CX1796" s="6"/>
      <c r="CY1796" s="6"/>
      <c r="CZ1796" s="6"/>
      <c r="DA1796" s="6"/>
      <c r="DB1796" s="6"/>
      <c r="DC1796" s="6"/>
      <c r="DD1796" s="6"/>
    </row>
    <row r="1797" spans="1:108" ht="12.75" hidden="1" customHeight="1" outlineLevel="4" collapsed="1">
      <c r="A1797" s="104" t="s">
        <v>222</v>
      </c>
      <c r="B1797" s="100"/>
      <c r="C1797" s="11"/>
      <c r="D1797" s="6" t="str">
        <f>"&lt;" &amp; A1797 &amp; "&gt;"</f>
        <v>&lt;Blank_Parms&gt;</v>
      </c>
      <c r="F1797" s="6"/>
      <c r="G1797" s="6"/>
      <c r="H1797" s="6"/>
      <c r="I1797" s="6"/>
      <c r="J1797" s="6"/>
      <c r="K1797" s="6"/>
      <c r="L1797" s="6"/>
      <c r="M1797" s="6"/>
      <c r="N1797" s="6"/>
      <c r="O1797" s="6"/>
      <c r="P1797" s="6"/>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c r="BU1797" s="6"/>
      <c r="BV1797" s="6"/>
      <c r="BW1797" s="6"/>
      <c r="BX1797" s="6"/>
      <c r="BY1797" s="6"/>
      <c r="BZ1797" s="6"/>
      <c r="CA1797" s="6"/>
      <c r="CB1797" s="6"/>
      <c r="CC1797" s="6"/>
      <c r="CD1797" s="6"/>
      <c r="CE1797" s="6"/>
      <c r="CF1797" s="6"/>
      <c r="CG1797" s="6"/>
      <c r="CH1797" s="6"/>
      <c r="CI1797" s="6"/>
      <c r="CJ1797" s="6"/>
      <c r="CK1797" s="6"/>
      <c r="CL1797" s="6"/>
      <c r="CM1797" s="6"/>
      <c r="CN1797" s="6"/>
      <c r="CO1797" s="6"/>
      <c r="CP1797" s="6"/>
      <c r="CQ1797" s="6"/>
      <c r="CR1797" s="6"/>
      <c r="CS1797" s="6"/>
      <c r="CT1797" s="6"/>
      <c r="CU1797" s="6"/>
      <c r="CV1797" s="6"/>
      <c r="CW1797" s="6"/>
      <c r="CX1797" s="6"/>
      <c r="CY1797" s="6"/>
      <c r="CZ1797" s="6"/>
      <c r="DA1797" s="6"/>
      <c r="DB1797" s="6"/>
      <c r="DC1797" s="6"/>
      <c r="DD1797" s="6"/>
    </row>
    <row r="1798" spans="1:108" ht="12.75" hidden="1" customHeight="1" outlineLevel="5">
      <c r="A1798" s="104" t="s">
        <v>223</v>
      </c>
      <c r="B1798" s="28">
        <v>0</v>
      </c>
      <c r="C1798" s="11"/>
      <c r="D1798" s="18" t="str">
        <f>"&lt;" &amp; A1798 &amp; "&gt;" &amp; TEXT(B1798,0) &amp; "&lt;/" &amp; A1798 &amp; "&gt;"</f>
        <v>&lt;PointMassFlag&gt;0&lt;/PointMassFlag&gt;</v>
      </c>
      <c r="F1798" s="6"/>
      <c r="G1798" s="6"/>
      <c r="H1798" s="6"/>
      <c r="I1798" s="6"/>
      <c r="J1798" s="6"/>
      <c r="K1798" s="6"/>
      <c r="L1798" s="6"/>
      <c r="M1798" s="6"/>
      <c r="N1798" s="6"/>
      <c r="O1798" s="6"/>
      <c r="P1798" s="6"/>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c r="BU1798" s="6"/>
      <c r="BV1798" s="6"/>
      <c r="BW1798" s="6"/>
      <c r="BX1798" s="6"/>
      <c r="BY1798" s="6"/>
      <c r="BZ1798" s="6"/>
      <c r="CA1798" s="6"/>
      <c r="CB1798" s="6"/>
      <c r="CC1798" s="6"/>
      <c r="CD1798" s="6"/>
      <c r="CE1798" s="6"/>
      <c r="CF1798" s="6"/>
      <c r="CG1798" s="6"/>
      <c r="CH1798" s="6"/>
      <c r="CI1798" s="6"/>
      <c r="CJ1798" s="6"/>
      <c r="CK1798" s="6"/>
      <c r="CL1798" s="6"/>
      <c r="CM1798" s="6"/>
      <c r="CN1798" s="6"/>
      <c r="CO1798" s="6"/>
      <c r="CP1798" s="6"/>
      <c r="CQ1798" s="6"/>
      <c r="CR1798" s="6"/>
      <c r="CS1798" s="6"/>
      <c r="CT1798" s="6"/>
      <c r="CU1798" s="6"/>
      <c r="CV1798" s="6"/>
      <c r="CW1798" s="6"/>
      <c r="CX1798" s="6"/>
      <c r="CY1798" s="6"/>
      <c r="CZ1798" s="6"/>
      <c r="DA1798" s="6"/>
      <c r="DB1798" s="6"/>
      <c r="DC1798" s="6"/>
      <c r="DD1798" s="6"/>
    </row>
    <row r="1799" spans="1:108" ht="12.75" hidden="1" customHeight="1" outlineLevel="5">
      <c r="A1799" s="104" t="s">
        <v>224</v>
      </c>
      <c r="B1799" s="28">
        <v>1</v>
      </c>
      <c r="C1799" s="11"/>
      <c r="D1799" s="18" t="str">
        <f>"&lt;" &amp; A1799 &amp; "&gt;" &amp; TEXT(B1799,"0.000000") &amp; "&lt;/" &amp; A1799 &amp; "&gt;"</f>
        <v>&lt;PointMass&gt;1.000000&lt;/PointMass&gt;</v>
      </c>
      <c r="F1799" s="6"/>
      <c r="G1799" s="6"/>
      <c r="H1799" s="6"/>
      <c r="I1799" s="6"/>
      <c r="J1799" s="6"/>
      <c r="K1799" s="6"/>
      <c r="L1799" s="6"/>
      <c r="M1799" s="6"/>
      <c r="N1799" s="6"/>
      <c r="O1799" s="6"/>
      <c r="P1799" s="6"/>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c r="BU1799" s="6"/>
      <c r="BV1799" s="6"/>
      <c r="BW1799" s="6"/>
      <c r="BX1799" s="6"/>
      <c r="BY1799" s="6"/>
      <c r="BZ1799" s="6"/>
      <c r="CA1799" s="6"/>
      <c r="CB1799" s="6"/>
      <c r="CC1799" s="6"/>
      <c r="CD1799" s="6"/>
      <c r="CE1799" s="6"/>
      <c r="CF1799" s="6"/>
      <c r="CG1799" s="6"/>
      <c r="CH1799" s="6"/>
      <c r="CI1799" s="6"/>
      <c r="CJ1799" s="6"/>
      <c r="CK1799" s="6"/>
      <c r="CL1799" s="6"/>
      <c r="CM1799" s="6"/>
      <c r="CN1799" s="6"/>
      <c r="CO1799" s="6"/>
      <c r="CP1799" s="6"/>
      <c r="CQ1799" s="6"/>
      <c r="CR1799" s="6"/>
      <c r="CS1799" s="6"/>
      <c r="CT1799" s="6"/>
      <c r="CU1799" s="6"/>
      <c r="CV1799" s="6"/>
      <c r="CW1799" s="6"/>
      <c r="CX1799" s="6"/>
      <c r="CY1799" s="6"/>
      <c r="CZ1799" s="6"/>
      <c r="DA1799" s="6"/>
      <c r="DB1799" s="6"/>
      <c r="DC1799" s="6"/>
      <c r="DD1799" s="6"/>
    </row>
    <row r="1800" spans="1:108" ht="12.75" hidden="1" customHeight="1" outlineLevel="5">
      <c r="A1800" s="104" t="s">
        <v>225</v>
      </c>
      <c r="B1800" s="100"/>
      <c r="C1800" s="11"/>
      <c r="D1800" s="6" t="str">
        <f>"&lt;" &amp; A1800 &amp; "&gt;"</f>
        <v>&lt;/Blank_Parms&gt;</v>
      </c>
      <c r="F1800" s="6"/>
      <c r="G1800" s="6"/>
      <c r="H1800" s="6"/>
      <c r="I1800" s="6"/>
      <c r="J1800" s="6"/>
      <c r="K1800" s="6"/>
      <c r="L1800" s="6"/>
      <c r="M1800" s="6"/>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c r="BU1800" s="6"/>
      <c r="BV1800" s="6"/>
      <c r="BW1800" s="6"/>
      <c r="BX1800" s="6"/>
      <c r="BY1800" s="6"/>
      <c r="BZ1800" s="6"/>
      <c r="CA1800" s="6"/>
      <c r="CB1800" s="6"/>
      <c r="CC1800" s="6"/>
      <c r="CD1800" s="6"/>
      <c r="CE1800" s="6"/>
      <c r="CF1800" s="6"/>
      <c r="CG1800" s="6"/>
      <c r="CH1800" s="6"/>
      <c r="CI1800" s="6"/>
      <c r="CJ1800" s="6"/>
      <c r="CK1800" s="6"/>
      <c r="CL1800" s="6"/>
      <c r="CM1800" s="6"/>
      <c r="CN1800" s="6"/>
      <c r="CO1800" s="6"/>
      <c r="CP1800" s="6"/>
      <c r="CQ1800" s="6"/>
      <c r="CR1800" s="6"/>
      <c r="CS1800" s="6"/>
      <c r="CT1800" s="6"/>
      <c r="CU1800" s="6"/>
      <c r="CV1800" s="6"/>
      <c r="CW1800" s="6"/>
      <c r="CX1800" s="6"/>
      <c r="CY1800" s="6"/>
      <c r="CZ1800" s="6"/>
      <c r="DA1800" s="6"/>
      <c r="DB1800" s="6"/>
      <c r="DC1800" s="6"/>
      <c r="DD1800" s="6"/>
    </row>
    <row r="1801" spans="1:108" ht="12.75" hidden="1" customHeight="1" outlineLevel="4">
      <c r="A1801" s="104" t="s">
        <v>138</v>
      </c>
      <c r="B1801" s="100"/>
      <c r="C1801" s="11"/>
      <c r="D1801" s="6" t="str">
        <f>"&lt;" &amp; A1801 &amp; "&gt;"</f>
        <v>&lt;/Component&gt;</v>
      </c>
      <c r="F1801" s="6"/>
      <c r="G1801" s="6"/>
      <c r="H1801" s="6"/>
      <c r="I1801" s="6"/>
      <c r="J1801" s="6"/>
      <c r="K1801" s="6"/>
      <c r="L1801" s="6"/>
      <c r="M1801" s="6"/>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c r="BU1801" s="6"/>
      <c r="BV1801" s="6"/>
      <c r="BW1801" s="6"/>
      <c r="BX1801" s="6"/>
      <c r="BY1801" s="6"/>
      <c r="BZ1801" s="6"/>
      <c r="CA1801" s="6"/>
      <c r="CB1801" s="6"/>
      <c r="CC1801" s="6"/>
      <c r="CD1801" s="6"/>
      <c r="CE1801" s="6"/>
      <c r="CF1801" s="6"/>
      <c r="CG1801" s="6"/>
      <c r="CH1801" s="6"/>
      <c r="CI1801" s="6"/>
      <c r="CJ1801" s="6"/>
      <c r="CK1801" s="6"/>
      <c r="CL1801" s="6"/>
      <c r="CM1801" s="6"/>
      <c r="CN1801" s="6"/>
      <c r="CO1801" s="6"/>
      <c r="CP1801" s="6"/>
      <c r="CQ1801" s="6"/>
      <c r="CR1801" s="6"/>
      <c r="CS1801" s="6"/>
      <c r="CT1801" s="6"/>
      <c r="CU1801" s="6"/>
      <c r="CV1801" s="6"/>
      <c r="CW1801" s="6"/>
      <c r="CX1801" s="6"/>
      <c r="CY1801" s="6"/>
      <c r="CZ1801" s="6"/>
      <c r="DA1801" s="6"/>
      <c r="DB1801" s="6"/>
      <c r="DC1801" s="6"/>
      <c r="DD1801" s="6"/>
    </row>
    <row r="1802" spans="1:108" ht="12.75" hidden="1" customHeight="1" outlineLevel="3" collapsed="1">
      <c r="A1802" s="104" t="s">
        <v>40</v>
      </c>
      <c r="B1802" s="110" t="s">
        <v>541</v>
      </c>
      <c r="C1802" s="11"/>
      <c r="D1802" s="6" t="str">
        <f>"&lt;" &amp; A1802 &amp; "&gt;"</f>
        <v>&lt;Component&gt;</v>
      </c>
      <c r="F1802" s="6"/>
      <c r="G1802" s="6"/>
      <c r="H1802" s="6"/>
      <c r="I1802" s="6"/>
      <c r="J1802" s="6"/>
      <c r="K1802" s="6"/>
      <c r="L1802" s="6"/>
      <c r="M1802" s="6"/>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c r="BU1802" s="6"/>
      <c r="BV1802" s="6"/>
      <c r="BW1802" s="6"/>
      <c r="BX1802" s="6"/>
      <c r="BY1802" s="6"/>
      <c r="BZ1802" s="6"/>
      <c r="CA1802" s="6"/>
      <c r="CB1802" s="6"/>
      <c r="CC1802" s="6"/>
      <c r="CD1802" s="6"/>
      <c r="CE1802" s="6"/>
      <c r="CF1802" s="6"/>
      <c r="CG1802" s="6"/>
      <c r="CH1802" s="6"/>
      <c r="CI1802" s="6"/>
      <c r="CJ1802" s="6"/>
      <c r="CK1802" s="6"/>
      <c r="CL1802" s="6"/>
      <c r="CM1802" s="6"/>
      <c r="CN1802" s="6"/>
      <c r="CO1802" s="6"/>
      <c r="CP1802" s="6"/>
      <c r="CQ1802" s="6"/>
      <c r="CR1802" s="6"/>
      <c r="CS1802" s="6"/>
      <c r="CT1802" s="6"/>
      <c r="CU1802" s="6"/>
      <c r="CV1802" s="6"/>
      <c r="CW1802" s="6"/>
      <c r="CX1802" s="6"/>
      <c r="CY1802" s="6"/>
      <c r="CZ1802" s="6"/>
      <c r="DA1802" s="6"/>
      <c r="DB1802" s="6"/>
      <c r="DC1802" s="6"/>
      <c r="DD1802" s="6"/>
    </row>
    <row r="1803" spans="1:108" ht="12.75" hidden="1" customHeight="1" outlineLevel="4">
      <c r="A1803" s="104" t="s">
        <v>14</v>
      </c>
      <c r="B1803" s="100" t="str">
        <f>B1270</f>
        <v>Engine</v>
      </c>
      <c r="C1803" s="11"/>
      <c r="D1803" s="18" t="str">
        <f>"&lt;" &amp; A1803 &amp; "&gt;" &amp; TEXT(B1803,"0.000000") &amp; "&lt;/" &amp; A1803 &amp; "&gt;"</f>
        <v>&lt;Type&gt;Engine&lt;/Type&gt;</v>
      </c>
      <c r="F1803" s="6"/>
      <c r="G1803" s="6"/>
      <c r="H1803" s="6"/>
      <c r="I1803" s="6"/>
      <c r="J1803" s="6"/>
      <c r="K1803" s="6"/>
      <c r="L1803" s="6"/>
      <c r="M1803" s="6"/>
      <c r="N1803" s="6"/>
      <c r="O1803" s="6"/>
      <c r="P1803" s="6"/>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c r="BU1803" s="6"/>
      <c r="BV1803" s="6"/>
      <c r="BW1803" s="6"/>
      <c r="BX1803" s="6"/>
      <c r="BY1803" s="6"/>
      <c r="BZ1803" s="6"/>
      <c r="CA1803" s="6"/>
      <c r="CB1803" s="6"/>
      <c r="CC1803" s="6"/>
      <c r="CD1803" s="6"/>
      <c r="CE1803" s="6"/>
      <c r="CF1803" s="6"/>
      <c r="CG1803" s="6"/>
      <c r="CH1803" s="6"/>
      <c r="CI1803" s="6"/>
      <c r="CJ1803" s="6"/>
      <c r="CK1803" s="6"/>
      <c r="CL1803" s="6"/>
      <c r="CM1803" s="6"/>
      <c r="CN1803" s="6"/>
      <c r="CO1803" s="6"/>
      <c r="CP1803" s="6"/>
      <c r="CQ1803" s="6"/>
      <c r="CR1803" s="6"/>
      <c r="CS1803" s="6"/>
      <c r="CT1803" s="6"/>
      <c r="CU1803" s="6"/>
      <c r="CV1803" s="6"/>
      <c r="CW1803" s="6"/>
      <c r="CX1803" s="6"/>
      <c r="CY1803" s="6"/>
      <c r="CZ1803" s="6"/>
      <c r="DA1803" s="6"/>
      <c r="DB1803" s="6"/>
      <c r="DC1803" s="6"/>
      <c r="DD1803" s="6"/>
    </row>
    <row r="1804" spans="1:108" ht="12.75" hidden="1" customHeight="1" outlineLevel="4" collapsed="1">
      <c r="A1804" s="104" t="s">
        <v>42</v>
      </c>
      <c r="B1804" s="100"/>
      <c r="C1804" s="11"/>
      <c r="D1804" s="6" t="str">
        <f>"&lt;" &amp; A1804 &amp; "&gt;"</f>
        <v>&lt;General_Parms&gt;</v>
      </c>
      <c r="F1804" s="6"/>
      <c r="G1804" s="6"/>
      <c r="H1804" s="6"/>
      <c r="I1804" s="6"/>
      <c r="J1804" s="6"/>
      <c r="K1804" s="6"/>
      <c r="L1804" s="6"/>
      <c r="M1804" s="6"/>
      <c r="N1804" s="6"/>
      <c r="O1804" s="6"/>
      <c r="P1804" s="6"/>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c r="BU1804" s="6"/>
      <c r="BV1804" s="6"/>
      <c r="BW1804" s="6"/>
      <c r="BX1804" s="6"/>
      <c r="BY1804" s="6"/>
      <c r="BZ1804" s="6"/>
      <c r="CA1804" s="6"/>
      <c r="CB1804" s="6"/>
      <c r="CC1804" s="6"/>
      <c r="CD1804" s="6"/>
      <c r="CE1804" s="6"/>
      <c r="CF1804" s="6"/>
      <c r="CG1804" s="6"/>
      <c r="CH1804" s="6"/>
      <c r="CI1804" s="6"/>
      <c r="CJ1804" s="6"/>
      <c r="CK1804" s="6"/>
      <c r="CL1804" s="6"/>
      <c r="CM1804" s="6"/>
      <c r="CN1804" s="6"/>
      <c r="CO1804" s="6"/>
      <c r="CP1804" s="6"/>
      <c r="CQ1804" s="6"/>
      <c r="CR1804" s="6"/>
      <c r="CS1804" s="6"/>
      <c r="CT1804" s="6"/>
      <c r="CU1804" s="6"/>
      <c r="CV1804" s="6"/>
      <c r="CW1804" s="6"/>
      <c r="CX1804" s="6"/>
      <c r="CY1804" s="6"/>
      <c r="CZ1804" s="6"/>
      <c r="DA1804" s="6"/>
      <c r="DB1804" s="6"/>
      <c r="DC1804" s="6"/>
      <c r="DD1804" s="6"/>
    </row>
    <row r="1805" spans="1:108" ht="12.75" hidden="1" customHeight="1" outlineLevel="5">
      <c r="A1805" s="104" t="s">
        <v>1</v>
      </c>
      <c r="B1805" s="100" t="str">
        <f>B1272</f>
        <v>core_section</v>
      </c>
      <c r="C1805" s="11"/>
      <c r="D1805" s="18" t="str">
        <f>"&lt;" &amp; A1805 &amp; "&gt;" &amp; TEXT(B1805,"0.000000") &amp; "&lt;/" &amp; A1805 &amp; "&gt;"</f>
        <v>&lt;Name&gt;core_section&lt;/Name&gt;</v>
      </c>
      <c r="F1805" s="6"/>
      <c r="G1805" s="6"/>
      <c r="H1805" s="6"/>
      <c r="I1805" s="6"/>
      <c r="J1805" s="6"/>
      <c r="K1805" s="6"/>
      <c r="L1805" s="6"/>
      <c r="M1805" s="6"/>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c r="BU1805" s="6"/>
      <c r="BV1805" s="6"/>
      <c r="BW1805" s="6"/>
      <c r="BX1805" s="6"/>
      <c r="BY1805" s="6"/>
      <c r="BZ1805" s="6"/>
      <c r="CA1805" s="6"/>
      <c r="CB1805" s="6"/>
      <c r="CC1805" s="6"/>
      <c r="CD1805" s="6"/>
      <c r="CE1805" s="6"/>
      <c r="CF1805" s="6"/>
      <c r="CG1805" s="6"/>
      <c r="CH1805" s="6"/>
      <c r="CI1805" s="6"/>
      <c r="CJ1805" s="6"/>
      <c r="CK1805" s="6"/>
      <c r="CL1805" s="6"/>
      <c r="CM1805" s="6"/>
      <c r="CN1805" s="6"/>
      <c r="CO1805" s="6"/>
      <c r="CP1805" s="6"/>
      <c r="CQ1805" s="6"/>
      <c r="CR1805" s="6"/>
      <c r="CS1805" s="6"/>
      <c r="CT1805" s="6"/>
      <c r="CU1805" s="6"/>
      <c r="CV1805" s="6"/>
      <c r="CW1805" s="6"/>
      <c r="CX1805" s="6"/>
      <c r="CY1805" s="6"/>
      <c r="CZ1805" s="6"/>
      <c r="DA1805" s="6"/>
      <c r="DB1805" s="6"/>
      <c r="DC1805" s="6"/>
      <c r="DD1805" s="6"/>
    </row>
    <row r="1806" spans="1:108" ht="12.75" hidden="1" customHeight="1" outlineLevel="5">
      <c r="A1806" s="104" t="s">
        <v>43</v>
      </c>
      <c r="B1806" s="100">
        <f t="shared" ref="B1806:B1848" si="94">B1273</f>
        <v>0</v>
      </c>
      <c r="C1806" s="11"/>
      <c r="D1806" s="18" t="str">
        <f>"&lt;" &amp; A1806 &amp; "&gt;" &amp; TEXT(B1806,"0.000000") &amp; "&lt;/" &amp; A1806 &amp; "&gt;"</f>
        <v>&lt;ColorR&gt;0.000000&lt;/ColorR&gt;</v>
      </c>
      <c r="F1806" s="6"/>
      <c r="G1806" s="6"/>
      <c r="H1806" s="6"/>
      <c r="I1806" s="6"/>
      <c r="J1806" s="6"/>
      <c r="K1806" s="6"/>
      <c r="L1806" s="6"/>
      <c r="M1806" s="6"/>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c r="BU1806" s="6"/>
      <c r="BV1806" s="6"/>
      <c r="BW1806" s="6"/>
      <c r="BX1806" s="6"/>
      <c r="BY1806" s="6"/>
      <c r="BZ1806" s="6"/>
      <c r="CA1806" s="6"/>
      <c r="CB1806" s="6"/>
      <c r="CC1806" s="6"/>
      <c r="CD1806" s="6"/>
      <c r="CE1806" s="6"/>
      <c r="CF1806" s="6"/>
      <c r="CG1806" s="6"/>
      <c r="CH1806" s="6"/>
      <c r="CI1806" s="6"/>
      <c r="CJ1806" s="6"/>
      <c r="CK1806" s="6"/>
      <c r="CL1806" s="6"/>
      <c r="CM1806" s="6"/>
      <c r="CN1806" s="6"/>
      <c r="CO1806" s="6"/>
      <c r="CP1806" s="6"/>
      <c r="CQ1806" s="6"/>
      <c r="CR1806" s="6"/>
      <c r="CS1806" s="6"/>
      <c r="CT1806" s="6"/>
      <c r="CU1806" s="6"/>
      <c r="CV1806" s="6"/>
      <c r="CW1806" s="6"/>
      <c r="CX1806" s="6"/>
      <c r="CY1806" s="6"/>
      <c r="CZ1806" s="6"/>
      <c r="DA1806" s="6"/>
      <c r="DB1806" s="6"/>
      <c r="DC1806" s="6"/>
      <c r="DD1806" s="6"/>
    </row>
    <row r="1807" spans="1:108" ht="12.75" hidden="1" customHeight="1" outlineLevel="5">
      <c r="A1807" s="104" t="s">
        <v>44</v>
      </c>
      <c r="B1807" s="100">
        <f t="shared" si="94"/>
        <v>0</v>
      </c>
      <c r="C1807" s="11"/>
      <c r="D1807" s="18" t="str">
        <f>"&lt;" &amp; A1807 &amp; "&gt;" &amp; TEXT(B1807,"0.000000") &amp; "&lt;/" &amp; A1807 &amp; "&gt;"</f>
        <v>&lt;ColorG&gt;0.000000&lt;/ColorG&gt;</v>
      </c>
      <c r="F1807" s="6"/>
      <c r="G1807" s="6"/>
      <c r="H1807" s="6"/>
      <c r="I1807" s="6"/>
      <c r="J1807" s="6"/>
      <c r="K1807" s="6"/>
      <c r="L1807" s="6"/>
      <c r="M1807" s="6"/>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c r="BU1807" s="6"/>
      <c r="BV1807" s="6"/>
      <c r="BW1807" s="6"/>
      <c r="BX1807" s="6"/>
      <c r="BY1807" s="6"/>
      <c r="BZ1807" s="6"/>
      <c r="CA1807" s="6"/>
      <c r="CB1807" s="6"/>
      <c r="CC1807" s="6"/>
      <c r="CD1807" s="6"/>
      <c r="CE1807" s="6"/>
      <c r="CF1807" s="6"/>
      <c r="CG1807" s="6"/>
      <c r="CH1807" s="6"/>
      <c r="CI1807" s="6"/>
      <c r="CJ1807" s="6"/>
      <c r="CK1807" s="6"/>
      <c r="CL1807" s="6"/>
      <c r="CM1807" s="6"/>
      <c r="CN1807" s="6"/>
      <c r="CO1807" s="6"/>
      <c r="CP1807" s="6"/>
      <c r="CQ1807" s="6"/>
      <c r="CR1807" s="6"/>
      <c r="CS1807" s="6"/>
      <c r="CT1807" s="6"/>
      <c r="CU1807" s="6"/>
      <c r="CV1807" s="6"/>
      <c r="CW1807" s="6"/>
      <c r="CX1807" s="6"/>
      <c r="CY1807" s="6"/>
      <c r="CZ1807" s="6"/>
      <c r="DA1807" s="6"/>
      <c r="DB1807" s="6"/>
      <c r="DC1807" s="6"/>
      <c r="DD1807" s="6"/>
    </row>
    <row r="1808" spans="1:108" ht="12.75" hidden="1" customHeight="1" outlineLevel="5">
      <c r="A1808" s="104" t="s">
        <v>45</v>
      </c>
      <c r="B1808" s="100">
        <f t="shared" si="94"/>
        <v>0</v>
      </c>
      <c r="C1808" s="11"/>
      <c r="D1808" s="18" t="str">
        <f>"&lt;" &amp; A1808 &amp; "&gt;" &amp; TEXT(B1808,"0.000000") &amp; "&lt;/" &amp; A1808 &amp; "&gt;"</f>
        <v>&lt;ColorB&gt;0.000000&lt;/ColorB&gt;</v>
      </c>
      <c r="F1808" s="6"/>
      <c r="G1808" s="6"/>
      <c r="H1808" s="6"/>
      <c r="I1808" s="6"/>
      <c r="J1808" s="6"/>
      <c r="K1808" s="6"/>
      <c r="L1808" s="6"/>
      <c r="M1808" s="6"/>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c r="BU1808" s="6"/>
      <c r="BV1808" s="6"/>
      <c r="BW1808" s="6"/>
      <c r="BX1808" s="6"/>
      <c r="BY1808" s="6"/>
      <c r="BZ1808" s="6"/>
      <c r="CA1808" s="6"/>
      <c r="CB1808" s="6"/>
      <c r="CC1808" s="6"/>
      <c r="CD1808" s="6"/>
      <c r="CE1808" s="6"/>
      <c r="CF1808" s="6"/>
      <c r="CG1808" s="6"/>
      <c r="CH1808" s="6"/>
      <c r="CI1808" s="6"/>
      <c r="CJ1808" s="6"/>
      <c r="CK1808" s="6"/>
      <c r="CL1808" s="6"/>
      <c r="CM1808" s="6"/>
      <c r="CN1808" s="6"/>
      <c r="CO1808" s="6"/>
      <c r="CP1808" s="6"/>
      <c r="CQ1808" s="6"/>
      <c r="CR1808" s="6"/>
      <c r="CS1808" s="6"/>
      <c r="CT1808" s="6"/>
      <c r="CU1808" s="6"/>
      <c r="CV1808" s="6"/>
      <c r="CW1808" s="6"/>
      <c r="CX1808" s="6"/>
      <c r="CY1808" s="6"/>
      <c r="CZ1808" s="6"/>
      <c r="DA1808" s="6"/>
      <c r="DB1808" s="6"/>
      <c r="DC1808" s="6"/>
      <c r="DD1808" s="6"/>
    </row>
    <row r="1809" spans="1:108" ht="12.75" hidden="1" customHeight="1" outlineLevel="5">
      <c r="A1809" s="104" t="s">
        <v>46</v>
      </c>
      <c r="B1809" s="100">
        <f t="shared" si="94"/>
        <v>0</v>
      </c>
      <c r="C1809" s="11"/>
      <c r="D1809" s="18" t="str">
        <f t="shared" ref="D1809:D1818" si="95">"&lt;" &amp; A1809 &amp; "&gt;" &amp; TEXT(B1809,0) &amp; "&lt;/" &amp; A1809 &amp; "&gt;"</f>
        <v>&lt;Symmetry&gt;0&lt;/Symmetry&gt;</v>
      </c>
      <c r="F1809" s="6"/>
      <c r="G1809" s="6"/>
      <c r="H1809" s="6"/>
      <c r="I1809" s="6"/>
      <c r="J1809" s="6"/>
      <c r="K1809" s="6"/>
      <c r="L1809" s="6"/>
      <c r="M1809" s="6"/>
      <c r="N1809" s="6"/>
      <c r="O1809" s="6"/>
      <c r="P1809" s="6"/>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c r="BU1809" s="6"/>
      <c r="BV1809" s="6"/>
      <c r="BW1809" s="6"/>
      <c r="BX1809" s="6"/>
      <c r="BY1809" s="6"/>
      <c r="BZ1809" s="6"/>
      <c r="CA1809" s="6"/>
      <c r="CB1809" s="6"/>
      <c r="CC1809" s="6"/>
      <c r="CD1809" s="6"/>
      <c r="CE1809" s="6"/>
      <c r="CF1809" s="6"/>
      <c r="CG1809" s="6"/>
      <c r="CH1809" s="6"/>
      <c r="CI1809" s="6"/>
      <c r="CJ1809" s="6"/>
      <c r="CK1809" s="6"/>
      <c r="CL1809" s="6"/>
      <c r="CM1809" s="6"/>
      <c r="CN1809" s="6"/>
      <c r="CO1809" s="6"/>
      <c r="CP1809" s="6"/>
      <c r="CQ1809" s="6"/>
      <c r="CR1809" s="6"/>
      <c r="CS1809" s="6"/>
      <c r="CT1809" s="6"/>
      <c r="CU1809" s="6"/>
      <c r="CV1809" s="6"/>
      <c r="CW1809" s="6"/>
      <c r="CX1809" s="6"/>
      <c r="CY1809" s="6"/>
      <c r="CZ1809" s="6"/>
      <c r="DA1809" s="6"/>
      <c r="DB1809" s="6"/>
      <c r="DC1809" s="6"/>
      <c r="DD1809" s="6"/>
    </row>
    <row r="1810" spans="1:108" ht="12.75" hidden="1" customHeight="1" outlineLevel="5">
      <c r="A1810" s="104" t="s">
        <v>47</v>
      </c>
      <c r="B1810" s="100">
        <f t="shared" si="94"/>
        <v>0</v>
      </c>
      <c r="C1810" s="11"/>
      <c r="D1810" s="18" t="str">
        <f t="shared" si="95"/>
        <v>&lt;RelXFormFlag&gt;0&lt;/RelXFormFlag&gt;</v>
      </c>
      <c r="F1810" s="6"/>
      <c r="G1810" s="6"/>
      <c r="H1810" s="6"/>
      <c r="I1810" s="6"/>
      <c r="J1810" s="6"/>
      <c r="K1810" s="6"/>
      <c r="L1810" s="6"/>
      <c r="M1810" s="6"/>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c r="BU1810" s="6"/>
      <c r="BV1810" s="6"/>
      <c r="BW1810" s="6"/>
      <c r="BX1810" s="6"/>
      <c r="BY1810" s="6"/>
      <c r="BZ1810" s="6"/>
      <c r="CA1810" s="6"/>
      <c r="CB1810" s="6"/>
      <c r="CC1810" s="6"/>
      <c r="CD1810" s="6"/>
      <c r="CE1810" s="6"/>
      <c r="CF1810" s="6"/>
      <c r="CG1810" s="6"/>
      <c r="CH1810" s="6"/>
      <c r="CI1810" s="6"/>
      <c r="CJ1810" s="6"/>
      <c r="CK1810" s="6"/>
      <c r="CL1810" s="6"/>
      <c r="CM1810" s="6"/>
      <c r="CN1810" s="6"/>
      <c r="CO1810" s="6"/>
      <c r="CP1810" s="6"/>
      <c r="CQ1810" s="6"/>
      <c r="CR1810" s="6"/>
      <c r="CS1810" s="6"/>
      <c r="CT1810" s="6"/>
      <c r="CU1810" s="6"/>
      <c r="CV1810" s="6"/>
      <c r="CW1810" s="6"/>
      <c r="CX1810" s="6"/>
      <c r="CY1810" s="6"/>
      <c r="CZ1810" s="6"/>
      <c r="DA1810" s="6"/>
      <c r="DB1810" s="6"/>
      <c r="DC1810" s="6"/>
      <c r="DD1810" s="6"/>
    </row>
    <row r="1811" spans="1:108" ht="12.75" hidden="1" customHeight="1" outlineLevel="5">
      <c r="A1811" s="104" t="s">
        <v>48</v>
      </c>
      <c r="B1811" s="100">
        <f t="shared" si="94"/>
        <v>2</v>
      </c>
      <c r="C1811" s="11"/>
      <c r="D1811" s="18" t="str">
        <f t="shared" si="95"/>
        <v>&lt;MaterialID&gt;2&lt;/MaterialID&gt;</v>
      </c>
      <c r="F1811" s="6"/>
      <c r="G1811" s="6"/>
      <c r="H1811" s="6"/>
      <c r="I1811" s="6"/>
      <c r="J1811" s="6"/>
      <c r="K1811" s="6"/>
      <c r="L1811" s="6"/>
      <c r="M1811" s="6"/>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c r="BU1811" s="6"/>
      <c r="BV1811" s="6"/>
      <c r="BW1811" s="6"/>
      <c r="BX1811" s="6"/>
      <c r="BY1811" s="6"/>
      <c r="BZ1811" s="6"/>
      <c r="CA1811" s="6"/>
      <c r="CB1811" s="6"/>
      <c r="CC1811" s="6"/>
      <c r="CD1811" s="6"/>
      <c r="CE1811" s="6"/>
      <c r="CF1811" s="6"/>
      <c r="CG1811" s="6"/>
      <c r="CH1811" s="6"/>
      <c r="CI1811" s="6"/>
      <c r="CJ1811" s="6"/>
      <c r="CK1811" s="6"/>
      <c r="CL1811" s="6"/>
      <c r="CM1811" s="6"/>
      <c r="CN1811" s="6"/>
      <c r="CO1811" s="6"/>
      <c r="CP1811" s="6"/>
      <c r="CQ1811" s="6"/>
      <c r="CR1811" s="6"/>
      <c r="CS1811" s="6"/>
      <c r="CT1811" s="6"/>
      <c r="CU1811" s="6"/>
      <c r="CV1811" s="6"/>
      <c r="CW1811" s="6"/>
      <c r="CX1811" s="6"/>
      <c r="CY1811" s="6"/>
      <c r="CZ1811" s="6"/>
      <c r="DA1811" s="6"/>
      <c r="DB1811" s="6"/>
      <c r="DC1811" s="6"/>
      <c r="DD1811" s="6"/>
    </row>
    <row r="1812" spans="1:108" ht="12.75" hidden="1" customHeight="1" outlineLevel="5">
      <c r="A1812" s="104" t="s">
        <v>49</v>
      </c>
      <c r="B1812" s="100">
        <f t="shared" si="94"/>
        <v>1</v>
      </c>
      <c r="C1812" s="11"/>
      <c r="D1812" s="18" t="str">
        <f t="shared" si="95"/>
        <v>&lt;OutputFlag&gt;1&lt;/OutputFlag&gt;</v>
      </c>
      <c r="F1812" s="6"/>
      <c r="G1812" s="6"/>
      <c r="H1812" s="6"/>
      <c r="I1812" s="6"/>
      <c r="J1812" s="6"/>
      <c r="K1812" s="6"/>
      <c r="L1812" s="6"/>
      <c r="M1812" s="6"/>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c r="BU1812" s="6"/>
      <c r="BV1812" s="6"/>
      <c r="BW1812" s="6"/>
      <c r="BX1812" s="6"/>
      <c r="BY1812" s="6"/>
      <c r="BZ1812" s="6"/>
      <c r="CA1812" s="6"/>
      <c r="CB1812" s="6"/>
      <c r="CC1812" s="6"/>
      <c r="CD1812" s="6"/>
      <c r="CE1812" s="6"/>
      <c r="CF1812" s="6"/>
      <c r="CG1812" s="6"/>
      <c r="CH1812" s="6"/>
      <c r="CI1812" s="6"/>
      <c r="CJ1812" s="6"/>
      <c r="CK1812" s="6"/>
      <c r="CL1812" s="6"/>
      <c r="CM1812" s="6"/>
      <c r="CN1812" s="6"/>
      <c r="CO1812" s="6"/>
      <c r="CP1812" s="6"/>
      <c r="CQ1812" s="6"/>
      <c r="CR1812" s="6"/>
      <c r="CS1812" s="6"/>
      <c r="CT1812" s="6"/>
      <c r="CU1812" s="6"/>
      <c r="CV1812" s="6"/>
      <c r="CW1812" s="6"/>
      <c r="CX1812" s="6"/>
      <c r="CY1812" s="6"/>
      <c r="CZ1812" s="6"/>
      <c r="DA1812" s="6"/>
      <c r="DB1812" s="6"/>
      <c r="DC1812" s="6"/>
      <c r="DD1812" s="6"/>
    </row>
    <row r="1813" spans="1:108" ht="12.75" hidden="1" customHeight="1" outlineLevel="5">
      <c r="A1813" s="104" t="s">
        <v>50</v>
      </c>
      <c r="B1813" s="100">
        <f t="shared" si="94"/>
        <v>0</v>
      </c>
      <c r="C1813" s="11"/>
      <c r="D1813" s="18" t="str">
        <f t="shared" si="95"/>
        <v>&lt;OutputNameID&gt;0&lt;/OutputNameID&gt;</v>
      </c>
      <c r="F1813" s="6"/>
      <c r="G1813" s="6"/>
      <c r="H1813" s="6"/>
      <c r="I1813" s="6"/>
      <c r="J1813" s="6"/>
      <c r="K1813" s="6"/>
      <c r="L1813" s="6"/>
      <c r="M1813" s="6"/>
      <c r="N1813" s="6"/>
      <c r="O1813" s="6"/>
      <c r="P1813" s="6"/>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c r="BU1813" s="6"/>
      <c r="BV1813" s="6"/>
      <c r="BW1813" s="6"/>
      <c r="BX1813" s="6"/>
      <c r="BY1813" s="6"/>
      <c r="BZ1813" s="6"/>
      <c r="CA1813" s="6"/>
      <c r="CB1813" s="6"/>
      <c r="CC1813" s="6"/>
      <c r="CD1813" s="6"/>
      <c r="CE1813" s="6"/>
      <c r="CF1813" s="6"/>
      <c r="CG1813" s="6"/>
      <c r="CH1813" s="6"/>
      <c r="CI1813" s="6"/>
      <c r="CJ1813" s="6"/>
      <c r="CK1813" s="6"/>
      <c r="CL1813" s="6"/>
      <c r="CM1813" s="6"/>
      <c r="CN1813" s="6"/>
      <c r="CO1813" s="6"/>
      <c r="CP1813" s="6"/>
      <c r="CQ1813" s="6"/>
      <c r="CR1813" s="6"/>
      <c r="CS1813" s="6"/>
      <c r="CT1813" s="6"/>
      <c r="CU1813" s="6"/>
      <c r="CV1813" s="6"/>
      <c r="CW1813" s="6"/>
      <c r="CX1813" s="6"/>
      <c r="CY1813" s="6"/>
      <c r="CZ1813" s="6"/>
      <c r="DA1813" s="6"/>
      <c r="DB1813" s="6"/>
      <c r="DC1813" s="6"/>
      <c r="DD1813" s="6"/>
    </row>
    <row r="1814" spans="1:108" ht="12.75" hidden="1" customHeight="1" outlineLevel="5">
      <c r="A1814" s="104" t="s">
        <v>51</v>
      </c>
      <c r="B1814" s="100">
        <f t="shared" si="94"/>
        <v>1</v>
      </c>
      <c r="C1814" s="11"/>
      <c r="D1814" s="18" t="str">
        <f t="shared" si="95"/>
        <v>&lt;DisplayChildrenFlag&gt;1&lt;/DisplayChildrenFlag&gt;</v>
      </c>
      <c r="F1814" s="6"/>
      <c r="G1814" s="6"/>
      <c r="H1814" s="6"/>
      <c r="I1814" s="6"/>
      <c r="J1814" s="6"/>
      <c r="K1814" s="6"/>
      <c r="L1814" s="6"/>
      <c r="M1814" s="6"/>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c r="BU1814" s="6"/>
      <c r="BV1814" s="6"/>
      <c r="BW1814" s="6"/>
      <c r="BX1814" s="6"/>
      <c r="BY1814" s="6"/>
      <c r="BZ1814" s="6"/>
      <c r="CA1814" s="6"/>
      <c r="CB1814" s="6"/>
      <c r="CC1814" s="6"/>
      <c r="CD1814" s="6"/>
      <c r="CE1814" s="6"/>
      <c r="CF1814" s="6"/>
      <c r="CG1814" s="6"/>
      <c r="CH1814" s="6"/>
      <c r="CI1814" s="6"/>
      <c r="CJ1814" s="6"/>
      <c r="CK1814" s="6"/>
      <c r="CL1814" s="6"/>
      <c r="CM1814" s="6"/>
      <c r="CN1814" s="6"/>
      <c r="CO1814" s="6"/>
      <c r="CP1814" s="6"/>
      <c r="CQ1814" s="6"/>
      <c r="CR1814" s="6"/>
      <c r="CS1814" s="6"/>
      <c r="CT1814" s="6"/>
      <c r="CU1814" s="6"/>
      <c r="CV1814" s="6"/>
      <c r="CW1814" s="6"/>
      <c r="CX1814" s="6"/>
      <c r="CY1814" s="6"/>
      <c r="CZ1814" s="6"/>
      <c r="DA1814" s="6"/>
      <c r="DB1814" s="6"/>
      <c r="DC1814" s="6"/>
      <c r="DD1814" s="6"/>
    </row>
    <row r="1815" spans="1:108" ht="12.75" hidden="1" customHeight="1" outlineLevel="5">
      <c r="A1815" s="104" t="s">
        <v>52</v>
      </c>
      <c r="B1815" s="100">
        <f t="shared" si="94"/>
        <v>21</v>
      </c>
      <c r="C1815" s="11"/>
      <c r="D1815" s="18" t="str">
        <f t="shared" si="95"/>
        <v>&lt;NumPnts&gt;21&lt;/NumPnts&gt;</v>
      </c>
      <c r="F1815" s="6"/>
      <c r="G1815" s="6"/>
      <c r="H1815" s="6"/>
      <c r="I1815" s="6"/>
      <c r="J1815" s="6"/>
      <c r="K1815" s="6"/>
      <c r="L1815" s="6"/>
      <c r="M1815" s="6"/>
      <c r="N1815" s="6"/>
      <c r="O1815" s="6"/>
      <c r="P1815" s="6"/>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c r="BU1815" s="6"/>
      <c r="BV1815" s="6"/>
      <c r="BW1815" s="6"/>
      <c r="BX1815" s="6"/>
      <c r="BY1815" s="6"/>
      <c r="BZ1815" s="6"/>
      <c r="CA1815" s="6"/>
      <c r="CB1815" s="6"/>
      <c r="CC1815" s="6"/>
      <c r="CD1815" s="6"/>
      <c r="CE1815" s="6"/>
      <c r="CF1815" s="6"/>
      <c r="CG1815" s="6"/>
      <c r="CH1815" s="6"/>
      <c r="CI1815" s="6"/>
      <c r="CJ1815" s="6"/>
      <c r="CK1815" s="6"/>
      <c r="CL1815" s="6"/>
      <c r="CM1815" s="6"/>
      <c r="CN1815" s="6"/>
      <c r="CO1815" s="6"/>
      <c r="CP1815" s="6"/>
      <c r="CQ1815" s="6"/>
      <c r="CR1815" s="6"/>
      <c r="CS1815" s="6"/>
      <c r="CT1815" s="6"/>
      <c r="CU1815" s="6"/>
      <c r="CV1815" s="6"/>
      <c r="CW1815" s="6"/>
      <c r="CX1815" s="6"/>
      <c r="CY1815" s="6"/>
      <c r="CZ1815" s="6"/>
      <c r="DA1815" s="6"/>
      <c r="DB1815" s="6"/>
      <c r="DC1815" s="6"/>
      <c r="DD1815" s="6"/>
    </row>
    <row r="1816" spans="1:108" ht="12.75" hidden="1" customHeight="1" outlineLevel="5">
      <c r="A1816" s="104" t="s">
        <v>53</v>
      </c>
      <c r="B1816" s="100">
        <f t="shared" si="94"/>
        <v>11</v>
      </c>
      <c r="C1816" s="11"/>
      <c r="D1816" s="18" t="str">
        <f t="shared" si="95"/>
        <v>&lt;NumXsecs&gt;11&lt;/NumXsecs&gt;</v>
      </c>
      <c r="F1816" s="6"/>
      <c r="G1816" s="6"/>
      <c r="H1816" s="6"/>
      <c r="I1816" s="6"/>
      <c r="J1816" s="6"/>
      <c r="K1816" s="6"/>
      <c r="L1816" s="6"/>
      <c r="M1816" s="6"/>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c r="BU1816" s="6"/>
      <c r="BV1816" s="6"/>
      <c r="BW1816" s="6"/>
      <c r="BX1816" s="6"/>
      <c r="BY1816" s="6"/>
      <c r="BZ1816" s="6"/>
      <c r="CA1816" s="6"/>
      <c r="CB1816" s="6"/>
      <c r="CC1816" s="6"/>
      <c r="CD1816" s="6"/>
      <c r="CE1816" s="6"/>
      <c r="CF1816" s="6"/>
      <c r="CG1816" s="6"/>
      <c r="CH1816" s="6"/>
      <c r="CI1816" s="6"/>
      <c r="CJ1816" s="6"/>
      <c r="CK1816" s="6"/>
      <c r="CL1816" s="6"/>
      <c r="CM1816" s="6"/>
      <c r="CN1816" s="6"/>
      <c r="CO1816" s="6"/>
      <c r="CP1816" s="6"/>
      <c r="CQ1816" s="6"/>
      <c r="CR1816" s="6"/>
      <c r="CS1816" s="6"/>
      <c r="CT1816" s="6"/>
      <c r="CU1816" s="6"/>
      <c r="CV1816" s="6"/>
      <c r="CW1816" s="6"/>
      <c r="CX1816" s="6"/>
      <c r="CY1816" s="6"/>
      <c r="CZ1816" s="6"/>
      <c r="DA1816" s="6"/>
      <c r="DB1816" s="6"/>
      <c r="DC1816" s="6"/>
      <c r="DD1816" s="6"/>
    </row>
    <row r="1817" spans="1:108" ht="12.75" hidden="1" customHeight="1" outlineLevel="5">
      <c r="A1817" s="104" t="s">
        <v>54</v>
      </c>
      <c r="B1817" s="100">
        <f t="shared" si="94"/>
        <v>0</v>
      </c>
      <c r="C1817" s="11"/>
      <c r="D1817" s="18" t="str">
        <f t="shared" si="95"/>
        <v>&lt;MassPrior&gt;0&lt;/MassPrior&gt;</v>
      </c>
      <c r="F1817" s="6"/>
      <c r="G1817" s="6"/>
      <c r="H1817" s="6"/>
      <c r="I1817" s="6"/>
      <c r="J1817" s="6"/>
      <c r="K1817" s="6"/>
      <c r="L1817" s="6"/>
      <c r="M1817" s="6"/>
      <c r="N1817" s="6"/>
      <c r="O1817" s="6"/>
      <c r="P1817" s="6"/>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c r="BU1817" s="6"/>
      <c r="BV1817" s="6"/>
      <c r="BW1817" s="6"/>
      <c r="BX1817" s="6"/>
      <c r="BY1817" s="6"/>
      <c r="BZ1817" s="6"/>
      <c r="CA1817" s="6"/>
      <c r="CB1817" s="6"/>
      <c r="CC1817" s="6"/>
      <c r="CD1817" s="6"/>
      <c r="CE1817" s="6"/>
      <c r="CF1817" s="6"/>
      <c r="CG1817" s="6"/>
      <c r="CH1817" s="6"/>
      <c r="CI1817" s="6"/>
      <c r="CJ1817" s="6"/>
      <c r="CK1817" s="6"/>
      <c r="CL1817" s="6"/>
      <c r="CM1817" s="6"/>
      <c r="CN1817" s="6"/>
      <c r="CO1817" s="6"/>
      <c r="CP1817" s="6"/>
      <c r="CQ1817" s="6"/>
      <c r="CR1817" s="6"/>
      <c r="CS1817" s="6"/>
      <c r="CT1817" s="6"/>
      <c r="CU1817" s="6"/>
      <c r="CV1817" s="6"/>
      <c r="CW1817" s="6"/>
      <c r="CX1817" s="6"/>
      <c r="CY1817" s="6"/>
      <c r="CZ1817" s="6"/>
      <c r="DA1817" s="6"/>
      <c r="DB1817" s="6"/>
      <c r="DC1817" s="6"/>
      <c r="DD1817" s="6"/>
    </row>
    <row r="1818" spans="1:108" ht="12.75" hidden="1" customHeight="1" outlineLevel="5">
      <c r="A1818" s="104" t="s">
        <v>55</v>
      </c>
      <c r="B1818" s="100">
        <f t="shared" si="94"/>
        <v>0</v>
      </c>
      <c r="C1818" s="11"/>
      <c r="D1818" s="18" t="str">
        <f t="shared" si="95"/>
        <v>&lt;ShellFlag&gt;0&lt;/ShellFlag&gt;</v>
      </c>
      <c r="F1818" s="6"/>
      <c r="G1818" s="6"/>
      <c r="H1818" s="6"/>
      <c r="I1818" s="6"/>
      <c r="J1818" s="6"/>
      <c r="K1818" s="6"/>
      <c r="L1818" s="6"/>
      <c r="M1818" s="6"/>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c r="BU1818" s="6"/>
      <c r="BV1818" s="6"/>
      <c r="BW1818" s="6"/>
      <c r="BX1818" s="6"/>
      <c r="BY1818" s="6"/>
      <c r="BZ1818" s="6"/>
      <c r="CA1818" s="6"/>
      <c r="CB1818" s="6"/>
      <c r="CC1818" s="6"/>
      <c r="CD1818" s="6"/>
      <c r="CE1818" s="6"/>
      <c r="CF1818" s="6"/>
      <c r="CG1818" s="6"/>
      <c r="CH1818" s="6"/>
      <c r="CI1818" s="6"/>
      <c r="CJ1818" s="6"/>
      <c r="CK1818" s="6"/>
      <c r="CL1818" s="6"/>
      <c r="CM1818" s="6"/>
      <c r="CN1818" s="6"/>
      <c r="CO1818" s="6"/>
      <c r="CP1818" s="6"/>
      <c r="CQ1818" s="6"/>
      <c r="CR1818" s="6"/>
      <c r="CS1818" s="6"/>
      <c r="CT1818" s="6"/>
      <c r="CU1818" s="6"/>
      <c r="CV1818" s="6"/>
      <c r="CW1818" s="6"/>
      <c r="CX1818" s="6"/>
      <c r="CY1818" s="6"/>
      <c r="CZ1818" s="6"/>
      <c r="DA1818" s="6"/>
      <c r="DB1818" s="6"/>
      <c r="DC1818" s="6"/>
      <c r="DD1818" s="6"/>
    </row>
    <row r="1819" spans="1:108" ht="12.75" hidden="1" customHeight="1" outlineLevel="5">
      <c r="A1819" s="104" t="s">
        <v>56</v>
      </c>
      <c r="B1819" s="100">
        <f t="shared" si="94"/>
        <v>0</v>
      </c>
      <c r="C1819" s="11"/>
      <c r="D1819" s="18" t="str">
        <f t="shared" ref="D1819:D1833" si="96">"&lt;" &amp; A1819 &amp; "&gt;" &amp; TEXT(B1819,"0.000000") &amp; "&lt;/" &amp; A1819 &amp; "&gt;"</f>
        <v>&lt;Tran_X&gt;0.000000&lt;/Tran_X&gt;</v>
      </c>
      <c r="F1819" s="6"/>
      <c r="G1819" s="6"/>
      <c r="H1819" s="6"/>
      <c r="I1819" s="6"/>
      <c r="J1819" s="6"/>
      <c r="K1819" s="6"/>
      <c r="L1819" s="6"/>
      <c r="M1819" s="6"/>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c r="BU1819" s="6"/>
      <c r="BV1819" s="6"/>
      <c r="BW1819" s="6"/>
      <c r="BX1819" s="6"/>
      <c r="BY1819" s="6"/>
      <c r="BZ1819" s="6"/>
      <c r="CA1819" s="6"/>
      <c r="CB1819" s="6"/>
      <c r="CC1819" s="6"/>
      <c r="CD1819" s="6"/>
      <c r="CE1819" s="6"/>
      <c r="CF1819" s="6"/>
      <c r="CG1819" s="6"/>
      <c r="CH1819" s="6"/>
      <c r="CI1819" s="6"/>
      <c r="CJ1819" s="6"/>
      <c r="CK1819" s="6"/>
      <c r="CL1819" s="6"/>
      <c r="CM1819" s="6"/>
      <c r="CN1819" s="6"/>
      <c r="CO1819" s="6"/>
      <c r="CP1819" s="6"/>
      <c r="CQ1819" s="6"/>
      <c r="CR1819" s="6"/>
      <c r="CS1819" s="6"/>
      <c r="CT1819" s="6"/>
      <c r="CU1819" s="6"/>
      <c r="CV1819" s="6"/>
      <c r="CW1819" s="6"/>
      <c r="CX1819" s="6"/>
      <c r="CY1819" s="6"/>
      <c r="CZ1819" s="6"/>
      <c r="DA1819" s="6"/>
      <c r="DB1819" s="6"/>
      <c r="DC1819" s="6"/>
      <c r="DD1819" s="6"/>
    </row>
    <row r="1820" spans="1:108" ht="12.75" hidden="1" customHeight="1" outlineLevel="5">
      <c r="A1820" s="104" t="s">
        <v>57</v>
      </c>
      <c r="B1820" s="100">
        <f t="shared" si="94"/>
        <v>0</v>
      </c>
      <c r="C1820" s="11"/>
      <c r="D1820" s="18" t="str">
        <f t="shared" si="96"/>
        <v>&lt;Tran_Y&gt;0.000000&lt;/Tran_Y&gt;</v>
      </c>
      <c r="F1820" s="6"/>
      <c r="G1820" s="6"/>
      <c r="H1820" s="6"/>
      <c r="I1820" s="6"/>
      <c r="J1820" s="6"/>
      <c r="K1820" s="6"/>
      <c r="L1820" s="6"/>
      <c r="M1820" s="6"/>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c r="BU1820" s="6"/>
      <c r="BV1820" s="6"/>
      <c r="BW1820" s="6"/>
      <c r="BX1820" s="6"/>
      <c r="BY1820" s="6"/>
      <c r="BZ1820" s="6"/>
      <c r="CA1820" s="6"/>
      <c r="CB1820" s="6"/>
      <c r="CC1820" s="6"/>
      <c r="CD1820" s="6"/>
      <c r="CE1820" s="6"/>
      <c r="CF1820" s="6"/>
      <c r="CG1820" s="6"/>
      <c r="CH1820" s="6"/>
      <c r="CI1820" s="6"/>
      <c r="CJ1820" s="6"/>
      <c r="CK1820" s="6"/>
      <c r="CL1820" s="6"/>
      <c r="CM1820" s="6"/>
      <c r="CN1820" s="6"/>
      <c r="CO1820" s="6"/>
      <c r="CP1820" s="6"/>
      <c r="CQ1820" s="6"/>
      <c r="CR1820" s="6"/>
      <c r="CS1820" s="6"/>
      <c r="CT1820" s="6"/>
      <c r="CU1820" s="6"/>
      <c r="CV1820" s="6"/>
      <c r="CW1820" s="6"/>
      <c r="CX1820" s="6"/>
      <c r="CY1820" s="6"/>
      <c r="CZ1820" s="6"/>
      <c r="DA1820" s="6"/>
      <c r="DB1820" s="6"/>
      <c r="DC1820" s="6"/>
      <c r="DD1820" s="6"/>
    </row>
    <row r="1821" spans="1:108" ht="12.75" hidden="1" customHeight="1" outlineLevel="5">
      <c r="A1821" s="104" t="s">
        <v>58</v>
      </c>
      <c r="B1821" s="100">
        <f t="shared" si="94"/>
        <v>0</v>
      </c>
      <c r="C1821" s="11"/>
      <c r="D1821" s="18" t="str">
        <f t="shared" si="96"/>
        <v>&lt;Tran_Z&gt;0.000000&lt;/Tran_Z&gt;</v>
      </c>
      <c r="F1821" s="6"/>
      <c r="G1821" s="6"/>
      <c r="H1821" s="6"/>
      <c r="I1821" s="6"/>
      <c r="J1821" s="6"/>
      <c r="K1821" s="6"/>
      <c r="L1821" s="6"/>
      <c r="M1821" s="6"/>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c r="BU1821" s="6"/>
      <c r="BV1821" s="6"/>
      <c r="BW1821" s="6"/>
      <c r="BX1821" s="6"/>
      <c r="BY1821" s="6"/>
      <c r="BZ1821" s="6"/>
      <c r="CA1821" s="6"/>
      <c r="CB1821" s="6"/>
      <c r="CC1821" s="6"/>
      <c r="CD1821" s="6"/>
      <c r="CE1821" s="6"/>
      <c r="CF1821" s="6"/>
      <c r="CG1821" s="6"/>
      <c r="CH1821" s="6"/>
      <c r="CI1821" s="6"/>
      <c r="CJ1821" s="6"/>
      <c r="CK1821" s="6"/>
      <c r="CL1821" s="6"/>
      <c r="CM1821" s="6"/>
      <c r="CN1821" s="6"/>
      <c r="CO1821" s="6"/>
      <c r="CP1821" s="6"/>
      <c r="CQ1821" s="6"/>
      <c r="CR1821" s="6"/>
      <c r="CS1821" s="6"/>
      <c r="CT1821" s="6"/>
      <c r="CU1821" s="6"/>
      <c r="CV1821" s="6"/>
      <c r="CW1821" s="6"/>
      <c r="CX1821" s="6"/>
      <c r="CY1821" s="6"/>
      <c r="CZ1821" s="6"/>
      <c r="DA1821" s="6"/>
      <c r="DB1821" s="6"/>
      <c r="DC1821" s="6"/>
      <c r="DD1821" s="6"/>
    </row>
    <row r="1822" spans="1:108" ht="12.75" hidden="1" customHeight="1" outlineLevel="5">
      <c r="A1822" s="104" t="s">
        <v>59</v>
      </c>
      <c r="B1822" s="100">
        <f t="shared" si="94"/>
        <v>0</v>
      </c>
      <c r="C1822" s="11"/>
      <c r="D1822" s="18" t="str">
        <f t="shared" si="96"/>
        <v>&lt;TranRel_X&gt;0.000000&lt;/TranRel_X&gt;</v>
      </c>
      <c r="F1822" s="6"/>
      <c r="G1822" s="6"/>
      <c r="H1822" s="6"/>
      <c r="I1822" s="6"/>
      <c r="J1822" s="6"/>
      <c r="K1822" s="6"/>
      <c r="L1822" s="6"/>
      <c r="M1822" s="6"/>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c r="BU1822" s="6"/>
      <c r="BV1822" s="6"/>
      <c r="BW1822" s="6"/>
      <c r="BX1822" s="6"/>
      <c r="BY1822" s="6"/>
      <c r="BZ1822" s="6"/>
      <c r="CA1822" s="6"/>
      <c r="CB1822" s="6"/>
      <c r="CC1822" s="6"/>
      <c r="CD1822" s="6"/>
      <c r="CE1822" s="6"/>
      <c r="CF1822" s="6"/>
      <c r="CG1822" s="6"/>
      <c r="CH1822" s="6"/>
      <c r="CI1822" s="6"/>
      <c r="CJ1822" s="6"/>
      <c r="CK1822" s="6"/>
      <c r="CL1822" s="6"/>
      <c r="CM1822" s="6"/>
      <c r="CN1822" s="6"/>
      <c r="CO1822" s="6"/>
      <c r="CP1822" s="6"/>
      <c r="CQ1822" s="6"/>
      <c r="CR1822" s="6"/>
      <c r="CS1822" s="6"/>
      <c r="CT1822" s="6"/>
      <c r="CU1822" s="6"/>
      <c r="CV1822" s="6"/>
      <c r="CW1822" s="6"/>
      <c r="CX1822" s="6"/>
      <c r="CY1822" s="6"/>
      <c r="CZ1822" s="6"/>
      <c r="DA1822" s="6"/>
      <c r="DB1822" s="6"/>
      <c r="DC1822" s="6"/>
      <c r="DD1822" s="6"/>
    </row>
    <row r="1823" spans="1:108" ht="12.75" hidden="1" customHeight="1" outlineLevel="5">
      <c r="A1823" s="104" t="s">
        <v>60</v>
      </c>
      <c r="B1823" s="100">
        <f t="shared" si="94"/>
        <v>0</v>
      </c>
      <c r="C1823" s="11"/>
      <c r="D1823" s="18" t="str">
        <f t="shared" si="96"/>
        <v>&lt;TranRel_Y&gt;0.000000&lt;/TranRel_Y&gt;</v>
      </c>
      <c r="F1823" s="6"/>
      <c r="G1823" s="6"/>
      <c r="H1823" s="6"/>
      <c r="I1823" s="6"/>
      <c r="J1823" s="6"/>
      <c r="K1823" s="6"/>
      <c r="L1823" s="6"/>
      <c r="M1823" s="6"/>
      <c r="N1823" s="6"/>
      <c r="O1823" s="6"/>
      <c r="P1823" s="6"/>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c r="BU1823" s="6"/>
      <c r="BV1823" s="6"/>
      <c r="BW1823" s="6"/>
      <c r="BX1823" s="6"/>
      <c r="BY1823" s="6"/>
      <c r="BZ1823" s="6"/>
      <c r="CA1823" s="6"/>
      <c r="CB1823" s="6"/>
      <c r="CC1823" s="6"/>
      <c r="CD1823" s="6"/>
      <c r="CE1823" s="6"/>
      <c r="CF1823" s="6"/>
      <c r="CG1823" s="6"/>
      <c r="CH1823" s="6"/>
      <c r="CI1823" s="6"/>
      <c r="CJ1823" s="6"/>
      <c r="CK1823" s="6"/>
      <c r="CL1823" s="6"/>
      <c r="CM1823" s="6"/>
      <c r="CN1823" s="6"/>
      <c r="CO1823" s="6"/>
      <c r="CP1823" s="6"/>
      <c r="CQ1823" s="6"/>
      <c r="CR1823" s="6"/>
      <c r="CS1823" s="6"/>
      <c r="CT1823" s="6"/>
      <c r="CU1823" s="6"/>
      <c r="CV1823" s="6"/>
      <c r="CW1823" s="6"/>
      <c r="CX1823" s="6"/>
      <c r="CY1823" s="6"/>
      <c r="CZ1823" s="6"/>
      <c r="DA1823" s="6"/>
      <c r="DB1823" s="6"/>
      <c r="DC1823" s="6"/>
      <c r="DD1823" s="6"/>
    </row>
    <row r="1824" spans="1:108" ht="12.75" hidden="1" customHeight="1" outlineLevel="5">
      <c r="A1824" s="104" t="s">
        <v>61</v>
      </c>
      <c r="B1824" s="100">
        <f t="shared" si="94"/>
        <v>0</v>
      </c>
      <c r="C1824" s="11"/>
      <c r="D1824" s="18" t="str">
        <f t="shared" si="96"/>
        <v>&lt;TranRel_Z&gt;0.000000&lt;/TranRel_Z&gt;</v>
      </c>
      <c r="F1824" s="6"/>
      <c r="G1824" s="6"/>
      <c r="H1824" s="6"/>
      <c r="I1824" s="6"/>
      <c r="J1824" s="6"/>
      <c r="K1824" s="6"/>
      <c r="L1824" s="6"/>
      <c r="M1824" s="6"/>
      <c r="N1824" s="6"/>
      <c r="O1824" s="6"/>
      <c r="P1824" s="6"/>
      <c r="Q1824" s="6"/>
      <c r="R1824" s="6"/>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c r="BU1824" s="6"/>
      <c r="BV1824" s="6"/>
      <c r="BW1824" s="6"/>
      <c r="BX1824" s="6"/>
      <c r="BY1824" s="6"/>
      <c r="BZ1824" s="6"/>
      <c r="CA1824" s="6"/>
      <c r="CB1824" s="6"/>
      <c r="CC1824" s="6"/>
      <c r="CD1824" s="6"/>
      <c r="CE1824" s="6"/>
      <c r="CF1824" s="6"/>
      <c r="CG1824" s="6"/>
      <c r="CH1824" s="6"/>
      <c r="CI1824" s="6"/>
      <c r="CJ1824" s="6"/>
      <c r="CK1824" s="6"/>
      <c r="CL1824" s="6"/>
      <c r="CM1824" s="6"/>
      <c r="CN1824" s="6"/>
      <c r="CO1824" s="6"/>
      <c r="CP1824" s="6"/>
      <c r="CQ1824" s="6"/>
      <c r="CR1824" s="6"/>
      <c r="CS1824" s="6"/>
      <c r="CT1824" s="6"/>
      <c r="CU1824" s="6"/>
      <c r="CV1824" s="6"/>
      <c r="CW1824" s="6"/>
      <c r="CX1824" s="6"/>
      <c r="CY1824" s="6"/>
      <c r="CZ1824" s="6"/>
      <c r="DA1824" s="6"/>
      <c r="DB1824" s="6"/>
      <c r="DC1824" s="6"/>
      <c r="DD1824" s="6"/>
    </row>
    <row r="1825" spans="1:108" ht="12.75" hidden="1" customHeight="1" outlineLevel="5">
      <c r="A1825" s="104" t="s">
        <v>62</v>
      </c>
      <c r="B1825" s="100">
        <f t="shared" si="94"/>
        <v>0</v>
      </c>
      <c r="C1825" s="11"/>
      <c r="D1825" s="18" t="str">
        <f t="shared" si="96"/>
        <v>&lt;Rot_X&gt;0.000000&lt;/Rot_X&gt;</v>
      </c>
      <c r="F1825" s="6"/>
      <c r="G1825" s="6"/>
      <c r="H1825" s="6"/>
      <c r="I1825" s="6"/>
      <c r="J1825" s="6"/>
      <c r="K1825" s="6"/>
      <c r="L1825" s="6"/>
      <c r="M1825" s="6"/>
      <c r="N1825" s="6"/>
      <c r="O1825" s="6"/>
      <c r="P1825" s="6"/>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c r="BU1825" s="6"/>
      <c r="BV1825" s="6"/>
      <c r="BW1825" s="6"/>
      <c r="BX1825" s="6"/>
      <c r="BY1825" s="6"/>
      <c r="BZ1825" s="6"/>
      <c r="CA1825" s="6"/>
      <c r="CB1825" s="6"/>
      <c r="CC1825" s="6"/>
      <c r="CD1825" s="6"/>
      <c r="CE1825" s="6"/>
      <c r="CF1825" s="6"/>
      <c r="CG1825" s="6"/>
      <c r="CH1825" s="6"/>
      <c r="CI1825" s="6"/>
      <c r="CJ1825" s="6"/>
      <c r="CK1825" s="6"/>
      <c r="CL1825" s="6"/>
      <c r="CM1825" s="6"/>
      <c r="CN1825" s="6"/>
      <c r="CO1825" s="6"/>
      <c r="CP1825" s="6"/>
      <c r="CQ1825" s="6"/>
      <c r="CR1825" s="6"/>
      <c r="CS1825" s="6"/>
      <c r="CT1825" s="6"/>
      <c r="CU1825" s="6"/>
      <c r="CV1825" s="6"/>
      <c r="CW1825" s="6"/>
      <c r="CX1825" s="6"/>
      <c r="CY1825" s="6"/>
      <c r="CZ1825" s="6"/>
      <c r="DA1825" s="6"/>
      <c r="DB1825" s="6"/>
      <c r="DC1825" s="6"/>
      <c r="DD1825" s="6"/>
    </row>
    <row r="1826" spans="1:108" ht="12.75" hidden="1" customHeight="1" outlineLevel="5">
      <c r="A1826" s="104" t="s">
        <v>63</v>
      </c>
      <c r="B1826" s="100">
        <f t="shared" si="94"/>
        <v>0</v>
      </c>
      <c r="C1826" s="11"/>
      <c r="D1826" s="18" t="str">
        <f t="shared" si="96"/>
        <v>&lt;Rot_Y&gt;0.000000&lt;/Rot_Y&gt;</v>
      </c>
      <c r="F1826" s="6"/>
      <c r="G1826" s="6"/>
      <c r="H1826" s="6"/>
      <c r="I1826" s="6"/>
      <c r="J1826" s="6"/>
      <c r="K1826" s="6"/>
      <c r="L1826" s="6"/>
      <c r="M1826" s="6"/>
      <c r="N1826" s="6"/>
      <c r="O1826" s="6"/>
      <c r="P1826" s="6"/>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c r="BU1826" s="6"/>
      <c r="BV1826" s="6"/>
      <c r="BW1826" s="6"/>
      <c r="BX1826" s="6"/>
      <c r="BY1826" s="6"/>
      <c r="BZ1826" s="6"/>
      <c r="CA1826" s="6"/>
      <c r="CB1826" s="6"/>
      <c r="CC1826" s="6"/>
      <c r="CD1826" s="6"/>
      <c r="CE1826" s="6"/>
      <c r="CF1826" s="6"/>
      <c r="CG1826" s="6"/>
      <c r="CH1826" s="6"/>
      <c r="CI1826" s="6"/>
      <c r="CJ1826" s="6"/>
      <c r="CK1826" s="6"/>
      <c r="CL1826" s="6"/>
      <c r="CM1826" s="6"/>
      <c r="CN1826" s="6"/>
      <c r="CO1826" s="6"/>
      <c r="CP1826" s="6"/>
      <c r="CQ1826" s="6"/>
      <c r="CR1826" s="6"/>
      <c r="CS1826" s="6"/>
      <c r="CT1826" s="6"/>
      <c r="CU1826" s="6"/>
      <c r="CV1826" s="6"/>
      <c r="CW1826" s="6"/>
      <c r="CX1826" s="6"/>
      <c r="CY1826" s="6"/>
      <c r="CZ1826" s="6"/>
      <c r="DA1826" s="6"/>
      <c r="DB1826" s="6"/>
      <c r="DC1826" s="6"/>
      <c r="DD1826" s="6"/>
    </row>
    <row r="1827" spans="1:108" ht="12.75" hidden="1" customHeight="1" outlineLevel="5">
      <c r="A1827" s="104" t="s">
        <v>64</v>
      </c>
      <c r="B1827" s="100">
        <f t="shared" si="94"/>
        <v>0</v>
      </c>
      <c r="C1827" s="11"/>
      <c r="D1827" s="18" t="str">
        <f t="shared" si="96"/>
        <v>&lt;Rot_Z&gt;0.000000&lt;/Rot_Z&gt;</v>
      </c>
      <c r="F1827" s="6"/>
      <c r="G1827" s="6"/>
      <c r="H1827" s="6"/>
      <c r="I1827" s="6"/>
      <c r="J1827" s="6"/>
      <c r="K1827" s="6"/>
      <c r="L1827" s="6"/>
      <c r="M1827" s="6"/>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c r="BU1827" s="6"/>
      <c r="BV1827" s="6"/>
      <c r="BW1827" s="6"/>
      <c r="BX1827" s="6"/>
      <c r="BY1827" s="6"/>
      <c r="BZ1827" s="6"/>
      <c r="CA1827" s="6"/>
      <c r="CB1827" s="6"/>
      <c r="CC1827" s="6"/>
      <c r="CD1827" s="6"/>
      <c r="CE1827" s="6"/>
      <c r="CF1827" s="6"/>
      <c r="CG1827" s="6"/>
      <c r="CH1827" s="6"/>
      <c r="CI1827" s="6"/>
      <c r="CJ1827" s="6"/>
      <c r="CK1827" s="6"/>
      <c r="CL1827" s="6"/>
      <c r="CM1827" s="6"/>
      <c r="CN1827" s="6"/>
      <c r="CO1827" s="6"/>
      <c r="CP1827" s="6"/>
      <c r="CQ1827" s="6"/>
      <c r="CR1827" s="6"/>
      <c r="CS1827" s="6"/>
      <c r="CT1827" s="6"/>
      <c r="CU1827" s="6"/>
      <c r="CV1827" s="6"/>
      <c r="CW1827" s="6"/>
      <c r="CX1827" s="6"/>
      <c r="CY1827" s="6"/>
      <c r="CZ1827" s="6"/>
      <c r="DA1827" s="6"/>
      <c r="DB1827" s="6"/>
      <c r="DC1827" s="6"/>
      <c r="DD1827" s="6"/>
    </row>
    <row r="1828" spans="1:108" ht="12.75" hidden="1" customHeight="1" outlineLevel="5">
      <c r="A1828" s="104" t="s">
        <v>65</v>
      </c>
      <c r="B1828" s="100">
        <f t="shared" si="94"/>
        <v>0</v>
      </c>
      <c r="C1828" s="11"/>
      <c r="D1828" s="18" t="str">
        <f t="shared" si="96"/>
        <v>&lt;RotRel_X&gt;0.000000&lt;/RotRel_X&gt;</v>
      </c>
      <c r="F1828" s="6"/>
      <c r="G1828" s="6"/>
      <c r="H1828" s="6"/>
      <c r="I1828" s="6"/>
      <c r="J1828" s="6"/>
      <c r="K1828" s="6"/>
      <c r="L1828" s="6"/>
      <c r="M1828" s="6"/>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c r="BU1828" s="6"/>
      <c r="BV1828" s="6"/>
      <c r="BW1828" s="6"/>
      <c r="BX1828" s="6"/>
      <c r="BY1828" s="6"/>
      <c r="BZ1828" s="6"/>
      <c r="CA1828" s="6"/>
      <c r="CB1828" s="6"/>
      <c r="CC1828" s="6"/>
      <c r="CD1828" s="6"/>
      <c r="CE1828" s="6"/>
      <c r="CF1828" s="6"/>
      <c r="CG1828" s="6"/>
      <c r="CH1828" s="6"/>
      <c r="CI1828" s="6"/>
      <c r="CJ1828" s="6"/>
      <c r="CK1828" s="6"/>
      <c r="CL1828" s="6"/>
      <c r="CM1828" s="6"/>
      <c r="CN1828" s="6"/>
      <c r="CO1828" s="6"/>
      <c r="CP1828" s="6"/>
      <c r="CQ1828" s="6"/>
      <c r="CR1828" s="6"/>
      <c r="CS1828" s="6"/>
      <c r="CT1828" s="6"/>
      <c r="CU1828" s="6"/>
      <c r="CV1828" s="6"/>
      <c r="CW1828" s="6"/>
      <c r="CX1828" s="6"/>
      <c r="CY1828" s="6"/>
      <c r="CZ1828" s="6"/>
      <c r="DA1828" s="6"/>
      <c r="DB1828" s="6"/>
      <c r="DC1828" s="6"/>
      <c r="DD1828" s="6"/>
    </row>
    <row r="1829" spans="1:108" ht="12.75" hidden="1" customHeight="1" outlineLevel="5">
      <c r="A1829" s="104" t="s">
        <v>66</v>
      </c>
      <c r="B1829" s="100">
        <f t="shared" si="94"/>
        <v>0</v>
      </c>
      <c r="C1829" s="11"/>
      <c r="D1829" s="18" t="str">
        <f t="shared" si="96"/>
        <v>&lt;RotRel_Y&gt;0.000000&lt;/RotRel_Y&gt;</v>
      </c>
      <c r="F1829" s="6"/>
      <c r="G1829" s="6"/>
      <c r="H1829" s="6"/>
      <c r="I1829" s="6"/>
      <c r="J1829" s="6"/>
      <c r="K1829" s="6"/>
      <c r="L1829" s="6"/>
      <c r="M1829" s="6"/>
      <c r="N1829" s="6"/>
      <c r="O1829" s="6"/>
      <c r="P1829" s="6"/>
      <c r="Q1829" s="6"/>
      <c r="R1829" s="6"/>
      <c r="S1829" s="6"/>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c r="BU1829" s="6"/>
      <c r="BV1829" s="6"/>
      <c r="BW1829" s="6"/>
      <c r="BX1829" s="6"/>
      <c r="BY1829" s="6"/>
      <c r="BZ1829" s="6"/>
      <c r="CA1829" s="6"/>
      <c r="CB1829" s="6"/>
      <c r="CC1829" s="6"/>
      <c r="CD1829" s="6"/>
      <c r="CE1829" s="6"/>
      <c r="CF1829" s="6"/>
      <c r="CG1829" s="6"/>
      <c r="CH1829" s="6"/>
      <c r="CI1829" s="6"/>
      <c r="CJ1829" s="6"/>
      <c r="CK1829" s="6"/>
      <c r="CL1829" s="6"/>
      <c r="CM1829" s="6"/>
      <c r="CN1829" s="6"/>
      <c r="CO1829" s="6"/>
      <c r="CP1829" s="6"/>
      <c r="CQ1829" s="6"/>
      <c r="CR1829" s="6"/>
      <c r="CS1829" s="6"/>
      <c r="CT1829" s="6"/>
      <c r="CU1829" s="6"/>
      <c r="CV1829" s="6"/>
      <c r="CW1829" s="6"/>
      <c r="CX1829" s="6"/>
      <c r="CY1829" s="6"/>
      <c r="CZ1829" s="6"/>
      <c r="DA1829" s="6"/>
      <c r="DB1829" s="6"/>
      <c r="DC1829" s="6"/>
      <c r="DD1829" s="6"/>
    </row>
    <row r="1830" spans="1:108" ht="12.75" hidden="1" customHeight="1" outlineLevel="5">
      <c r="A1830" s="104" t="s">
        <v>67</v>
      </c>
      <c r="B1830" s="100">
        <f t="shared" si="94"/>
        <v>0</v>
      </c>
      <c r="C1830" s="11"/>
      <c r="D1830" s="18" t="str">
        <f t="shared" si="96"/>
        <v>&lt;RotRel_Z&gt;0.000000&lt;/RotRel_Z&gt;</v>
      </c>
      <c r="F1830" s="6"/>
      <c r="G1830" s="6"/>
      <c r="H1830" s="6"/>
      <c r="I1830" s="6"/>
      <c r="J1830" s="6"/>
      <c r="K1830" s="6"/>
      <c r="L1830" s="6"/>
      <c r="M1830" s="6"/>
      <c r="N1830" s="6"/>
      <c r="O1830" s="6"/>
      <c r="P1830" s="6"/>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6"/>
      <c r="CX1830" s="6"/>
      <c r="CY1830" s="6"/>
      <c r="CZ1830" s="6"/>
      <c r="DA1830" s="6"/>
      <c r="DB1830" s="6"/>
      <c r="DC1830" s="6"/>
      <c r="DD1830" s="6"/>
    </row>
    <row r="1831" spans="1:108" ht="12.75" hidden="1" customHeight="1" outlineLevel="5">
      <c r="A1831" s="104" t="s">
        <v>68</v>
      </c>
      <c r="B1831" s="100">
        <f t="shared" si="94"/>
        <v>0</v>
      </c>
      <c r="C1831" s="11"/>
      <c r="D1831" s="18" t="str">
        <f t="shared" si="96"/>
        <v>&lt;Origin&gt;0.000000&lt;/Origin&gt;</v>
      </c>
      <c r="F1831" s="6"/>
      <c r="G1831" s="6"/>
      <c r="H1831" s="6"/>
      <c r="I1831" s="6"/>
      <c r="J1831" s="6"/>
      <c r="K1831" s="6"/>
      <c r="L1831" s="6"/>
      <c r="M1831" s="6"/>
      <c r="N1831" s="6"/>
      <c r="O1831" s="6"/>
      <c r="P1831" s="6"/>
      <c r="Q1831" s="6"/>
      <c r="R1831" s="6"/>
      <c r="S1831" s="6"/>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row>
    <row r="1832" spans="1:108" ht="12.75" hidden="1" customHeight="1" outlineLevel="5">
      <c r="A1832" s="104" t="s">
        <v>69</v>
      </c>
      <c r="B1832" s="100">
        <f t="shared" si="94"/>
        <v>1</v>
      </c>
      <c r="C1832" s="11"/>
      <c r="D1832" s="18" t="str">
        <f t="shared" si="96"/>
        <v>&lt;Density&gt;1.000000&lt;/Density&gt;</v>
      </c>
      <c r="F1832" s="6"/>
      <c r="G1832" s="6"/>
      <c r="H1832" s="6"/>
      <c r="I1832" s="6"/>
      <c r="J1832" s="6"/>
      <c r="K1832" s="6"/>
      <c r="L1832" s="6"/>
      <c r="M1832" s="6"/>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row>
    <row r="1833" spans="1:108" ht="12.75" hidden="1" customHeight="1" outlineLevel="5">
      <c r="A1833" s="104" t="s">
        <v>70</v>
      </c>
      <c r="B1833" s="100">
        <f t="shared" si="94"/>
        <v>1</v>
      </c>
      <c r="C1833" s="11"/>
      <c r="D1833" s="18" t="str">
        <f t="shared" si="96"/>
        <v>&lt;ShellMassArea&gt;1.000000&lt;/ShellMassArea&gt;</v>
      </c>
      <c r="F1833" s="6"/>
      <c r="G1833" s="6"/>
      <c r="H1833" s="6"/>
      <c r="I1833" s="6"/>
      <c r="J1833" s="6"/>
      <c r="K1833" s="6"/>
      <c r="L1833" s="6"/>
      <c r="M1833" s="6"/>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row>
    <row r="1834" spans="1:108" ht="12.75" hidden="1" customHeight="1" outlineLevel="5">
      <c r="A1834" s="104" t="s">
        <v>71</v>
      </c>
      <c r="B1834" s="100">
        <f t="shared" si="94"/>
        <v>0</v>
      </c>
      <c r="C1834" s="11"/>
      <c r="D1834" s="18" t="str">
        <f>"&lt;" &amp; A1834 &amp; "&gt;" &amp; TEXT(B1834,0) &amp; "&lt;/" &amp; A1834 &amp; "&gt;"</f>
        <v>&lt;RefFlag&gt;0&lt;/RefFlag&gt;</v>
      </c>
      <c r="F1834" s="6"/>
      <c r="G1834" s="6"/>
      <c r="H1834" s="6"/>
      <c r="I1834" s="6"/>
      <c r="J1834" s="6"/>
      <c r="K1834" s="6"/>
      <c r="L1834" s="6"/>
      <c r="M1834" s="6"/>
      <c r="N1834" s="6"/>
      <c r="O1834" s="6"/>
      <c r="P1834" s="6"/>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row>
    <row r="1835" spans="1:108" ht="12.75" hidden="1" customHeight="1" outlineLevel="5">
      <c r="A1835" s="104" t="s">
        <v>72</v>
      </c>
      <c r="B1835" s="100">
        <f t="shared" si="94"/>
        <v>100</v>
      </c>
      <c r="C1835" s="11"/>
      <c r="D1835" s="18" t="str">
        <f>"&lt;" &amp; A1835 &amp; "&gt;" &amp; TEXT(B1835,"0.000000") &amp; "&lt;/" &amp; A1835 &amp; "&gt;"</f>
        <v>&lt;RefArea&gt;100.000000&lt;/RefArea&gt;</v>
      </c>
      <c r="F1835" s="6"/>
      <c r="G1835" s="6"/>
      <c r="H1835" s="6"/>
      <c r="I1835" s="6"/>
      <c r="J1835" s="6"/>
      <c r="K1835" s="6"/>
      <c r="L1835" s="6"/>
      <c r="M1835" s="6"/>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row>
    <row r="1836" spans="1:108" ht="12.75" hidden="1" customHeight="1" outlineLevel="5">
      <c r="A1836" s="104" t="s">
        <v>73</v>
      </c>
      <c r="B1836" s="100">
        <f t="shared" si="94"/>
        <v>10</v>
      </c>
      <c r="C1836" s="11"/>
      <c r="D1836" s="18" t="str">
        <f>"&lt;" &amp; A1836 &amp; "&gt;" &amp; TEXT(B1836,"0.000000") &amp; "&lt;/" &amp; A1836 &amp; "&gt;"</f>
        <v>&lt;RefSpan&gt;10.000000&lt;/RefSpan&gt;</v>
      </c>
      <c r="F1836" s="6"/>
      <c r="G1836" s="6"/>
      <c r="H1836" s="6"/>
      <c r="I1836" s="6"/>
      <c r="J1836" s="6"/>
      <c r="K1836" s="6"/>
      <c r="L1836" s="6"/>
      <c r="M1836" s="6"/>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row>
    <row r="1837" spans="1:108" ht="12.75" hidden="1" customHeight="1" outlineLevel="5">
      <c r="A1837" s="104" t="s">
        <v>74</v>
      </c>
      <c r="B1837" s="100">
        <f t="shared" si="94"/>
        <v>1</v>
      </c>
      <c r="C1837" s="11"/>
      <c r="D1837" s="18" t="str">
        <f>"&lt;" &amp; A1837 &amp; "&gt;" &amp; TEXT(B1837,"0.000000") &amp; "&lt;/" &amp; A1837 &amp; "&gt;"</f>
        <v>&lt;RefCbar&gt;1.000000&lt;/RefCbar&gt;</v>
      </c>
      <c r="F1837" s="6"/>
      <c r="G1837" s="6"/>
      <c r="H1837" s="6"/>
      <c r="I1837" s="6"/>
      <c r="J1837" s="6"/>
      <c r="K1837" s="6"/>
      <c r="L1837" s="6"/>
      <c r="M1837" s="6"/>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row>
    <row r="1838" spans="1:108" ht="12.75" hidden="1" customHeight="1" outlineLevel="5">
      <c r="A1838" s="104" t="s">
        <v>75</v>
      </c>
      <c r="B1838" s="100">
        <f t="shared" si="94"/>
        <v>1</v>
      </c>
      <c r="C1838" s="11"/>
      <c r="D1838" s="18" t="str">
        <f>"&lt;" &amp; A1838 &amp; "&gt;" &amp; TEXT(B1838,0) &amp; "&lt;/" &amp; A1838 &amp; "&gt;"</f>
        <v>&lt;AutoRefAreaFlag&gt;1&lt;/AutoRefAreaFlag&gt;</v>
      </c>
      <c r="F1838" s="6"/>
      <c r="G1838" s="6"/>
      <c r="H1838" s="6"/>
      <c r="I1838" s="6"/>
      <c r="J1838" s="6"/>
      <c r="K1838" s="6"/>
      <c r="L1838" s="6"/>
      <c r="M1838" s="6"/>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row>
    <row r="1839" spans="1:108" ht="12.75" hidden="1" customHeight="1" outlineLevel="5">
      <c r="A1839" s="104" t="s">
        <v>76</v>
      </c>
      <c r="B1839" s="100">
        <f>B1306</f>
        <v>1</v>
      </c>
      <c r="C1839" s="11"/>
      <c r="D1839" s="18" t="str">
        <f>"&lt;" &amp; A1839 &amp; "&gt;" &amp; TEXT(B1839,0) &amp; "&lt;/" &amp; A1839 &amp; "&gt;"</f>
        <v>&lt;AutoRefSpanFlag&gt;1&lt;/AutoRefSpanFlag&gt;</v>
      </c>
      <c r="F1839" s="6"/>
      <c r="G1839" s="6"/>
      <c r="H1839" s="6"/>
      <c r="I1839" s="6"/>
      <c r="J1839" s="6"/>
      <c r="K1839" s="6"/>
      <c r="L1839" s="6"/>
      <c r="M1839" s="6"/>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row>
    <row r="1840" spans="1:108" ht="12.75" hidden="1" customHeight="1" outlineLevel="5">
      <c r="A1840" s="104" t="s">
        <v>77</v>
      </c>
      <c r="B1840" s="100">
        <f t="shared" si="94"/>
        <v>1</v>
      </c>
      <c r="C1840" s="11"/>
      <c r="D1840" s="18" t="str">
        <f>"&lt;" &amp; A1840 &amp; "&gt;" &amp; TEXT(B1840,0) &amp; "&lt;/" &amp; A1840 &amp; "&gt;"</f>
        <v>&lt;AutoRefCbarFlag&gt;1&lt;/AutoRefCbarFlag&gt;</v>
      </c>
      <c r="F1840" s="6"/>
      <c r="G1840" s="6"/>
      <c r="H1840" s="6"/>
      <c r="I1840" s="6"/>
      <c r="J1840" s="6"/>
      <c r="K1840" s="6"/>
      <c r="L1840" s="6"/>
      <c r="M1840" s="6"/>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row>
    <row r="1841" spans="1:108" ht="12.75" hidden="1" customHeight="1" outlineLevel="5">
      <c r="A1841" s="104" t="s">
        <v>78</v>
      </c>
      <c r="B1841" s="100">
        <f t="shared" si="94"/>
        <v>0</v>
      </c>
      <c r="C1841" s="11"/>
      <c r="D1841" s="18" t="str">
        <f>"&lt;" &amp; A1841 &amp; "&gt;" &amp; TEXT(B1841,"0.000000") &amp; "&lt;/" &amp; A1841 &amp; "&gt;"</f>
        <v>&lt;AeroCenter_X&gt;0.000000&lt;/AeroCenter_X&gt;</v>
      </c>
      <c r="F1841" s="6"/>
      <c r="G1841" s="6"/>
      <c r="H1841" s="6"/>
      <c r="I1841" s="6"/>
      <c r="J1841" s="6"/>
      <c r="K1841" s="6"/>
      <c r="L1841" s="6"/>
      <c r="M1841" s="6"/>
      <c r="N1841" s="6"/>
      <c r="O1841" s="6"/>
      <c r="P1841" s="6"/>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row>
    <row r="1842" spans="1:108" ht="12.75" hidden="1" customHeight="1" outlineLevel="5">
      <c r="A1842" s="104" t="s">
        <v>79</v>
      </c>
      <c r="B1842" s="100">
        <f t="shared" si="94"/>
        <v>0</v>
      </c>
      <c r="C1842" s="11"/>
      <c r="D1842" s="18" t="str">
        <f>"&lt;" &amp; A1842 &amp; "&gt;" &amp; TEXT(B1842,"0.000000") &amp; "&lt;/" &amp; A1842 &amp; "&gt;"</f>
        <v>&lt;AeroCenter_Y&gt;0.000000&lt;/AeroCenter_Y&gt;</v>
      </c>
      <c r="F1842" s="6"/>
      <c r="G1842" s="6"/>
      <c r="H1842" s="6"/>
      <c r="I1842" s="6"/>
      <c r="J1842" s="6"/>
      <c r="K1842" s="6"/>
      <c r="L1842" s="6"/>
      <c r="M1842" s="6"/>
      <c r="N1842" s="6"/>
      <c r="O1842" s="6"/>
      <c r="P1842" s="6"/>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row>
    <row r="1843" spans="1:108" ht="12.75" hidden="1" customHeight="1" outlineLevel="5">
      <c r="A1843" s="104" t="s">
        <v>80</v>
      </c>
      <c r="B1843" s="100">
        <f t="shared" si="94"/>
        <v>0</v>
      </c>
      <c r="C1843" s="11"/>
      <c r="D1843" s="18" t="str">
        <f>"&lt;" &amp; A1843 &amp; "&gt;" &amp; TEXT(B1843,"0.000000") &amp; "&lt;/" &amp; A1843 &amp; "&gt;"</f>
        <v>&lt;AeroCenter_Z&gt;0.000000&lt;/AeroCenter_Z&gt;</v>
      </c>
      <c r="F1843" s="6"/>
      <c r="G1843" s="6"/>
      <c r="H1843" s="6"/>
      <c r="I1843" s="6"/>
      <c r="J1843" s="6"/>
      <c r="K1843" s="6"/>
      <c r="L1843" s="6"/>
      <c r="M1843" s="6"/>
      <c r="N1843" s="6"/>
      <c r="O1843" s="6"/>
      <c r="P1843" s="6"/>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row>
    <row r="1844" spans="1:108" ht="12.75" hidden="1" customHeight="1" outlineLevel="5">
      <c r="A1844" s="104" t="s">
        <v>81</v>
      </c>
      <c r="B1844" s="100">
        <f t="shared" si="94"/>
        <v>1</v>
      </c>
      <c r="C1844" s="11"/>
      <c r="D1844" s="18" t="str">
        <f>"&lt;" &amp; A1844 &amp; "&gt;" &amp; TEXT(B1844,0) &amp; "&lt;/" &amp; A1844 &amp; "&gt;"</f>
        <v>&lt;AutoAeroCenterFlag&gt;1&lt;/AutoAeroCenterFlag&gt;</v>
      </c>
      <c r="F1844" s="6"/>
      <c r="G1844" s="6"/>
      <c r="H1844" s="6"/>
      <c r="I1844" s="6"/>
      <c r="J1844" s="6"/>
      <c r="K1844" s="6"/>
      <c r="L1844" s="6"/>
      <c r="M1844" s="6"/>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row>
    <row r="1845" spans="1:108" ht="12.75" hidden="1" customHeight="1" outlineLevel="5">
      <c r="A1845" s="104" t="s">
        <v>82</v>
      </c>
      <c r="B1845" s="100">
        <f t="shared" si="94"/>
        <v>0</v>
      </c>
      <c r="C1845" s="11"/>
      <c r="D1845" s="18" t="str">
        <f>"&lt;" &amp; A1845 &amp; "&gt;" &amp; TEXT(B1845,0) &amp; "&lt;/" &amp; A1845 &amp; "&gt;"</f>
        <v>&lt;WakeActiveFlag&gt;0&lt;/WakeActiveFlag&gt;</v>
      </c>
      <c r="F1845" s="6"/>
      <c r="G1845" s="6"/>
      <c r="H1845" s="6"/>
      <c r="I1845" s="6"/>
      <c r="J1845" s="6"/>
      <c r="K1845" s="6"/>
      <c r="L1845" s="6"/>
      <c r="M1845" s="6"/>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row>
    <row r="1846" spans="1:108" ht="12.75" hidden="1" customHeight="1" outlineLevel="5">
      <c r="A1846" s="104" t="s">
        <v>83</v>
      </c>
      <c r="B1846" s="100">
        <f t="shared" si="94"/>
        <v>3</v>
      </c>
      <c r="C1846" s="11"/>
      <c r="D1846" s="18" t="str">
        <f>"&lt;" &amp; A1846 &amp; "&gt;" &amp; TEXT(B1846,0) &amp; "&lt;/" &amp; A1846 &amp; "&gt;"</f>
        <v>&lt;PosAttachFlag&gt;3&lt;/PosAttachFlag&gt;</v>
      </c>
      <c r="F1846" s="6"/>
      <c r="G1846" s="6"/>
      <c r="H1846" s="6"/>
      <c r="I1846" s="6"/>
      <c r="J1846" s="6"/>
      <c r="K1846" s="6"/>
      <c r="L1846" s="6"/>
      <c r="M1846" s="6"/>
      <c r="N1846" s="6"/>
      <c r="O1846" s="6"/>
      <c r="P1846" s="6"/>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row>
    <row r="1847" spans="1:108" ht="12.75" hidden="1" customHeight="1" outlineLevel="5">
      <c r="A1847" s="104" t="s">
        <v>84</v>
      </c>
      <c r="B1847" s="100">
        <f t="shared" si="94"/>
        <v>0</v>
      </c>
      <c r="C1847" s="11"/>
      <c r="D1847" s="18" t="str">
        <f>"&lt;" &amp; A1847 &amp; "&gt;" &amp; TEXT(B1847,"0.000000") &amp; "&lt;/" &amp; A1847 &amp; "&gt;"</f>
        <v>&lt;U_Attach&gt;0.000000&lt;/U_Attach&gt;</v>
      </c>
      <c r="F1847" s="6"/>
      <c r="G1847" s="6"/>
      <c r="H1847" s="6"/>
      <c r="I1847" s="6"/>
      <c r="J1847" s="6"/>
      <c r="K1847" s="6"/>
      <c r="L1847" s="6"/>
      <c r="M1847" s="6"/>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c r="BU1847" s="6"/>
      <c r="BV1847" s="6"/>
      <c r="BW1847" s="6"/>
      <c r="BX1847" s="6"/>
      <c r="BY1847" s="6"/>
      <c r="BZ1847" s="6"/>
      <c r="CA1847" s="6"/>
      <c r="CB1847" s="6"/>
      <c r="CC1847" s="6"/>
      <c r="CD1847" s="6"/>
      <c r="CE1847" s="6"/>
      <c r="CF1847" s="6"/>
      <c r="CG1847" s="6"/>
      <c r="CH1847" s="6"/>
      <c r="CI1847" s="6"/>
      <c r="CJ1847" s="6"/>
      <c r="CK1847" s="6"/>
      <c r="CL1847" s="6"/>
      <c r="CM1847" s="6"/>
      <c r="CN1847" s="6"/>
      <c r="CO1847" s="6"/>
      <c r="CP1847" s="6"/>
      <c r="CQ1847" s="6"/>
      <c r="CR1847" s="6"/>
      <c r="CS1847" s="6"/>
      <c r="CT1847" s="6"/>
      <c r="CU1847" s="6"/>
      <c r="CV1847" s="6"/>
      <c r="CW1847" s="6"/>
      <c r="CX1847" s="6"/>
      <c r="CY1847" s="6"/>
      <c r="CZ1847" s="6"/>
      <c r="DA1847" s="6"/>
      <c r="DB1847" s="6"/>
      <c r="DC1847" s="6"/>
      <c r="DD1847" s="6"/>
    </row>
    <row r="1848" spans="1:108" ht="12.75" hidden="1" customHeight="1" outlineLevel="5">
      <c r="A1848" s="104" t="s">
        <v>85</v>
      </c>
      <c r="B1848" s="100">
        <f t="shared" si="94"/>
        <v>0</v>
      </c>
      <c r="C1848" s="11"/>
      <c r="D1848" s="18" t="str">
        <f>"&lt;" &amp; A1848 &amp; "&gt;" &amp; TEXT(B1848,"0.000000") &amp; "&lt;/" &amp; A1848 &amp; "&gt;"</f>
        <v>&lt;V_Attach&gt;0.000000&lt;/V_Attach&gt;</v>
      </c>
      <c r="F1848" s="6"/>
      <c r="G1848" s="6"/>
      <c r="H1848" s="6"/>
      <c r="I1848" s="6"/>
      <c r="J1848" s="6"/>
      <c r="K1848" s="6"/>
      <c r="L1848" s="6"/>
      <c r="M1848" s="6"/>
      <c r="N1848" s="6"/>
      <c r="O1848" s="6"/>
      <c r="P1848" s="6"/>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c r="BU1848" s="6"/>
      <c r="BV1848" s="6"/>
      <c r="BW1848" s="6"/>
      <c r="BX1848" s="6"/>
      <c r="BY1848" s="6"/>
      <c r="BZ1848" s="6"/>
      <c r="CA1848" s="6"/>
      <c r="CB1848" s="6"/>
      <c r="CC1848" s="6"/>
      <c r="CD1848" s="6"/>
      <c r="CE1848" s="6"/>
      <c r="CF1848" s="6"/>
      <c r="CG1848" s="6"/>
      <c r="CH1848" s="6"/>
      <c r="CI1848" s="6"/>
      <c r="CJ1848" s="6"/>
      <c r="CK1848" s="6"/>
      <c r="CL1848" s="6"/>
      <c r="CM1848" s="6"/>
      <c r="CN1848" s="6"/>
      <c r="CO1848" s="6"/>
      <c r="CP1848" s="6"/>
      <c r="CQ1848" s="6"/>
      <c r="CR1848" s="6"/>
      <c r="CS1848" s="6"/>
      <c r="CT1848" s="6"/>
      <c r="CU1848" s="6"/>
      <c r="CV1848" s="6"/>
      <c r="CW1848" s="6"/>
      <c r="CX1848" s="6"/>
      <c r="CY1848" s="6"/>
      <c r="CZ1848" s="6"/>
      <c r="DA1848" s="6"/>
      <c r="DB1848" s="6"/>
      <c r="DC1848" s="6"/>
      <c r="DD1848" s="6"/>
    </row>
    <row r="1849" spans="1:108" ht="12.75" hidden="1" customHeight="1" outlineLevel="5">
      <c r="A1849" s="104" t="s">
        <v>86</v>
      </c>
      <c r="B1849" s="28">
        <v>148677432</v>
      </c>
      <c r="C1849" s="11"/>
      <c r="D1849" s="18" t="str">
        <f>"&lt;" &amp; A1849 &amp; "&gt;" &amp; TEXT(B1849,0) &amp; "&lt;/" &amp; A1849 &amp; "&gt;"</f>
        <v>&lt;PtrID&gt;148677432&lt;/PtrID&gt;</v>
      </c>
      <c r="F1849" s="6"/>
      <c r="G1849" s="6"/>
      <c r="H1849" s="6"/>
      <c r="I1849" s="6"/>
      <c r="J1849" s="6"/>
      <c r="K1849" s="6"/>
      <c r="L1849" s="6"/>
      <c r="M1849" s="6"/>
      <c r="N1849" s="6"/>
      <c r="O1849" s="6"/>
      <c r="P1849" s="6"/>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c r="BU1849" s="6"/>
      <c r="BV1849" s="6"/>
      <c r="BW1849" s="6"/>
      <c r="BX1849" s="6"/>
      <c r="BY1849" s="6"/>
      <c r="BZ1849" s="6"/>
      <c r="CA1849" s="6"/>
      <c r="CB1849" s="6"/>
      <c r="CC1849" s="6"/>
      <c r="CD1849" s="6"/>
      <c r="CE1849" s="6"/>
      <c r="CF1849" s="6"/>
      <c r="CG1849" s="6"/>
      <c r="CH1849" s="6"/>
      <c r="CI1849" s="6"/>
      <c r="CJ1849" s="6"/>
      <c r="CK1849" s="6"/>
      <c r="CL1849" s="6"/>
      <c r="CM1849" s="6"/>
      <c r="CN1849" s="6"/>
      <c r="CO1849" s="6"/>
      <c r="CP1849" s="6"/>
      <c r="CQ1849" s="6"/>
      <c r="CR1849" s="6"/>
      <c r="CS1849" s="6"/>
      <c r="CT1849" s="6"/>
      <c r="CU1849" s="6"/>
      <c r="CV1849" s="6"/>
      <c r="CW1849" s="6"/>
      <c r="CX1849" s="6"/>
      <c r="CY1849" s="6"/>
      <c r="CZ1849" s="6"/>
      <c r="DA1849" s="6"/>
      <c r="DB1849" s="6"/>
      <c r="DC1849" s="6"/>
      <c r="DD1849" s="6"/>
    </row>
    <row r="1850" spans="1:108" ht="12.75" hidden="1" customHeight="1" outlineLevel="5">
      <c r="A1850" s="104" t="s">
        <v>87</v>
      </c>
      <c r="B1850" s="28">
        <v>148674848</v>
      </c>
      <c r="C1850" s="11"/>
      <c r="D1850" s="18" t="str">
        <f>"&lt;" &amp; A1850 &amp; "&gt;" &amp; TEXT(B1850,0) &amp; "&lt;/" &amp; A1850 &amp; "&gt;"</f>
        <v>&lt;Parent_PtrID&gt;148674848&lt;/Parent_PtrID&gt;</v>
      </c>
      <c r="F1850" s="6"/>
      <c r="G1850" s="6"/>
      <c r="H1850" s="6"/>
      <c r="I1850" s="6"/>
      <c r="J1850" s="6"/>
      <c r="K1850" s="6"/>
      <c r="L1850" s="6"/>
      <c r="M1850" s="6"/>
      <c r="N1850" s="6"/>
      <c r="O1850" s="6"/>
      <c r="P1850" s="6"/>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c r="BU1850" s="6"/>
      <c r="BV1850" s="6"/>
      <c r="BW1850" s="6"/>
      <c r="BX1850" s="6"/>
      <c r="BY1850" s="6"/>
      <c r="BZ1850" s="6"/>
      <c r="CA1850" s="6"/>
      <c r="CB1850" s="6"/>
      <c r="CC1850" s="6"/>
      <c r="CD1850" s="6"/>
      <c r="CE1850" s="6"/>
      <c r="CF1850" s="6"/>
      <c r="CG1850" s="6"/>
      <c r="CH1850" s="6"/>
      <c r="CI1850" s="6"/>
      <c r="CJ1850" s="6"/>
      <c r="CK1850" s="6"/>
      <c r="CL1850" s="6"/>
      <c r="CM1850" s="6"/>
      <c r="CN1850" s="6"/>
      <c r="CO1850" s="6"/>
      <c r="CP1850" s="6"/>
      <c r="CQ1850" s="6"/>
      <c r="CR1850" s="6"/>
      <c r="CS1850" s="6"/>
      <c r="CT1850" s="6"/>
      <c r="CU1850" s="6"/>
      <c r="CV1850" s="6"/>
      <c r="CW1850" s="6"/>
      <c r="CX1850" s="6"/>
      <c r="CY1850" s="6"/>
      <c r="CZ1850" s="6"/>
      <c r="DA1850" s="6"/>
      <c r="DB1850" s="6"/>
      <c r="DC1850" s="6"/>
      <c r="DD1850" s="6"/>
    </row>
    <row r="1851" spans="1:108" ht="12.75" hidden="1" customHeight="1" outlineLevel="5">
      <c r="A1851" s="104" t="s">
        <v>88</v>
      </c>
      <c r="B1851" s="100"/>
      <c r="C1851" s="11"/>
      <c r="D1851" s="6" t="str">
        <f>"&lt;" &amp; A1851 &amp; "&gt;"</f>
        <v>&lt;/General_Parms&gt;</v>
      </c>
      <c r="F1851" s="6"/>
      <c r="G1851" s="6"/>
      <c r="H1851" s="6"/>
      <c r="I1851" s="6"/>
      <c r="J1851" s="6"/>
      <c r="K1851" s="6"/>
      <c r="L1851" s="6"/>
      <c r="M1851" s="6"/>
      <c r="N1851" s="6"/>
      <c r="O1851" s="6"/>
      <c r="P1851" s="6"/>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c r="BU1851" s="6"/>
      <c r="BV1851" s="6"/>
      <c r="BW1851" s="6"/>
      <c r="BX1851" s="6"/>
      <c r="BY1851" s="6"/>
      <c r="BZ1851" s="6"/>
      <c r="CA1851" s="6"/>
      <c r="CB1851" s="6"/>
      <c r="CC1851" s="6"/>
      <c r="CD1851" s="6"/>
      <c r="CE1851" s="6"/>
      <c r="CF1851" s="6"/>
      <c r="CG1851" s="6"/>
      <c r="CH1851" s="6"/>
      <c r="CI1851" s="6"/>
      <c r="CJ1851" s="6"/>
      <c r="CK1851" s="6"/>
      <c r="CL1851" s="6"/>
      <c r="CM1851" s="6"/>
      <c r="CN1851" s="6"/>
      <c r="CO1851" s="6"/>
      <c r="CP1851" s="6"/>
      <c r="CQ1851" s="6"/>
      <c r="CR1851" s="6"/>
      <c r="CS1851" s="6"/>
      <c r="CT1851" s="6"/>
      <c r="CU1851" s="6"/>
      <c r="CV1851" s="6"/>
      <c r="CW1851" s="6"/>
      <c r="CX1851" s="6"/>
      <c r="CY1851" s="6"/>
      <c r="CZ1851" s="6"/>
      <c r="DA1851" s="6"/>
      <c r="DB1851" s="6"/>
      <c r="DC1851" s="6"/>
      <c r="DD1851" s="6"/>
    </row>
    <row r="1852" spans="1:108" ht="12.75" hidden="1" customHeight="1" outlineLevel="4">
      <c r="A1852" s="104" t="s">
        <v>228</v>
      </c>
      <c r="B1852" s="100"/>
      <c r="C1852" s="11"/>
      <c r="D1852" s="6" t="str">
        <f>"&lt;" &amp; A1852 &amp; "&gt;"</f>
        <v>&lt;Engine_Parms&gt;</v>
      </c>
      <c r="F1852" s="6"/>
      <c r="G1852" s="6"/>
      <c r="H1852" s="6"/>
      <c r="I1852" s="6"/>
      <c r="J1852" s="6"/>
      <c r="K1852" s="6"/>
      <c r="L1852" s="6"/>
      <c r="M1852" s="6"/>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c r="BU1852" s="6"/>
      <c r="BV1852" s="6"/>
      <c r="BW1852" s="6"/>
      <c r="BX1852" s="6"/>
      <c r="BY1852" s="6"/>
      <c r="BZ1852" s="6"/>
      <c r="CA1852" s="6"/>
      <c r="CB1852" s="6"/>
      <c r="CC1852" s="6"/>
      <c r="CD1852" s="6"/>
      <c r="CE1852" s="6"/>
      <c r="CF1852" s="6"/>
      <c r="CG1852" s="6"/>
      <c r="CH1852" s="6"/>
      <c r="CI1852" s="6"/>
      <c r="CJ1852" s="6"/>
      <c r="CK1852" s="6"/>
      <c r="CL1852" s="6"/>
      <c r="CM1852" s="6"/>
      <c r="CN1852" s="6"/>
      <c r="CO1852" s="6"/>
      <c r="CP1852" s="6"/>
      <c r="CQ1852" s="6"/>
      <c r="CR1852" s="6"/>
      <c r="CS1852" s="6"/>
      <c r="CT1852" s="6"/>
      <c r="CU1852" s="6"/>
      <c r="CV1852" s="6"/>
      <c r="CW1852" s="6"/>
      <c r="CX1852" s="6"/>
      <c r="CY1852" s="6"/>
      <c r="CZ1852" s="6"/>
      <c r="DA1852" s="6"/>
      <c r="DB1852" s="6"/>
      <c r="DC1852" s="6"/>
      <c r="DD1852" s="6"/>
    </row>
    <row r="1853" spans="1:108" ht="12.75" hidden="1" customHeight="1" outlineLevel="5">
      <c r="A1853" s="104" t="s">
        <v>229</v>
      </c>
      <c r="B1853" s="100">
        <f t="shared" ref="B1853:B1887" si="97">B1320</f>
        <v>0</v>
      </c>
      <c r="C1853" s="11"/>
      <c r="D1853" s="18" t="str">
        <f>"&lt;" &amp; A1853 &amp; "&gt;" &amp; TEXT(B1853,0) &amp; "&lt;/" &amp; A1853 &amp; "&gt;"</f>
        <v>&lt;Engine_Type&gt;0&lt;/Engine_Type&gt;</v>
      </c>
      <c r="F1853" s="6"/>
      <c r="G1853" s="6"/>
      <c r="H1853" s="6"/>
      <c r="I1853" s="6"/>
      <c r="J1853" s="6"/>
      <c r="K1853" s="6"/>
      <c r="L1853" s="6"/>
      <c r="M1853" s="6"/>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c r="BU1853" s="6"/>
      <c r="BV1853" s="6"/>
      <c r="BW1853" s="6"/>
      <c r="BX1853" s="6"/>
      <c r="BY1853" s="6"/>
      <c r="BZ1853" s="6"/>
      <c r="CA1853" s="6"/>
      <c r="CB1853" s="6"/>
      <c r="CC1853" s="6"/>
      <c r="CD1853" s="6"/>
      <c r="CE1853" s="6"/>
      <c r="CF1853" s="6"/>
      <c r="CG1853" s="6"/>
      <c r="CH1853" s="6"/>
      <c r="CI1853" s="6"/>
      <c r="CJ1853" s="6"/>
      <c r="CK1853" s="6"/>
      <c r="CL1853" s="6"/>
      <c r="CM1853" s="6"/>
      <c r="CN1853" s="6"/>
      <c r="CO1853" s="6"/>
      <c r="CP1853" s="6"/>
      <c r="CQ1853" s="6"/>
      <c r="CR1853" s="6"/>
      <c r="CS1853" s="6"/>
      <c r="CT1853" s="6"/>
      <c r="CU1853" s="6"/>
      <c r="CV1853" s="6"/>
      <c r="CW1853" s="6"/>
      <c r="CX1853" s="6"/>
      <c r="CY1853" s="6"/>
      <c r="CZ1853" s="6"/>
      <c r="DA1853" s="6"/>
      <c r="DB1853" s="6"/>
      <c r="DC1853" s="6"/>
      <c r="DD1853" s="6"/>
    </row>
    <row r="1854" spans="1:108" ht="12.75" hidden="1" customHeight="1" outlineLevel="5">
      <c r="A1854" s="104" t="s">
        <v>230</v>
      </c>
      <c r="B1854" s="94">
        <f t="shared" si="97"/>
        <v>0.4108675</v>
      </c>
      <c r="C1854" s="11"/>
      <c r="D1854" s="18" t="str">
        <f>"&lt;" &amp; A1854 &amp; "&gt;" &amp; TEXT(B1854,"0.000000") &amp; "&lt;/" &amp; A1854 &amp; "&gt;"</f>
        <v>&lt;Radius_Tip&gt;0.410868&lt;/Radius_Tip&gt;</v>
      </c>
      <c r="F1854" s="6"/>
      <c r="G1854" s="6"/>
      <c r="H1854" s="6"/>
      <c r="I1854" s="6"/>
      <c r="J1854" s="6"/>
      <c r="K1854" s="6"/>
      <c r="L1854" s="6"/>
      <c r="M1854" s="6"/>
      <c r="N1854" s="6"/>
      <c r="O1854" s="6"/>
      <c r="P1854" s="6"/>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c r="BU1854" s="6"/>
      <c r="BV1854" s="6"/>
      <c r="BW1854" s="6"/>
      <c r="BX1854" s="6"/>
      <c r="BY1854" s="6"/>
      <c r="BZ1854" s="6"/>
      <c r="CA1854" s="6"/>
      <c r="CB1854" s="6"/>
      <c r="CC1854" s="6"/>
      <c r="CD1854" s="6"/>
      <c r="CE1854" s="6"/>
      <c r="CF1854" s="6"/>
      <c r="CG1854" s="6"/>
      <c r="CH1854" s="6"/>
      <c r="CI1854" s="6"/>
      <c r="CJ1854" s="6"/>
      <c r="CK1854" s="6"/>
      <c r="CL1854" s="6"/>
      <c r="CM1854" s="6"/>
      <c r="CN1854" s="6"/>
      <c r="CO1854" s="6"/>
      <c r="CP1854" s="6"/>
      <c r="CQ1854" s="6"/>
      <c r="CR1854" s="6"/>
      <c r="CS1854" s="6"/>
      <c r="CT1854" s="6"/>
      <c r="CU1854" s="6"/>
      <c r="CV1854" s="6"/>
      <c r="CW1854" s="6"/>
      <c r="CX1854" s="6"/>
      <c r="CY1854" s="6"/>
      <c r="CZ1854" s="6"/>
      <c r="DA1854" s="6"/>
      <c r="DB1854" s="6"/>
      <c r="DC1854" s="6"/>
      <c r="DD1854" s="6"/>
    </row>
    <row r="1855" spans="1:108" ht="12.75" hidden="1" customHeight="1" outlineLevel="5">
      <c r="A1855" s="104" t="s">
        <v>231</v>
      </c>
      <c r="B1855" s="28">
        <f t="shared" si="97"/>
        <v>1.3</v>
      </c>
      <c r="C1855" s="11"/>
      <c r="D1855" s="18" t="str">
        <f>"&lt;" &amp; A1855 &amp; "&gt;" &amp; TEXT(B1855,"0.000000") &amp; "&lt;/" &amp; A1855 &amp; "&gt;"</f>
        <v>&lt;Max_Tip&gt;1.300000&lt;/Max_Tip&gt;</v>
      </c>
      <c r="F1855" s="6"/>
      <c r="G1855" s="6"/>
      <c r="H1855" s="6"/>
      <c r="I1855" s="6"/>
      <c r="J1855" s="6"/>
      <c r="K1855" s="6"/>
      <c r="L1855" s="6"/>
      <c r="M1855" s="6"/>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c r="BU1855" s="6"/>
      <c r="BV1855" s="6"/>
      <c r="BW1855" s="6"/>
      <c r="BX1855" s="6"/>
      <c r="BY1855" s="6"/>
      <c r="BZ1855" s="6"/>
      <c r="CA1855" s="6"/>
      <c r="CB1855" s="6"/>
      <c r="CC1855" s="6"/>
      <c r="CD1855" s="6"/>
      <c r="CE1855" s="6"/>
      <c r="CF1855" s="6"/>
      <c r="CG1855" s="6"/>
      <c r="CH1855" s="6"/>
      <c r="CI1855" s="6"/>
      <c r="CJ1855" s="6"/>
      <c r="CK1855" s="6"/>
      <c r="CL1855" s="6"/>
      <c r="CM1855" s="6"/>
      <c r="CN1855" s="6"/>
      <c r="CO1855" s="6"/>
      <c r="CP1855" s="6"/>
      <c r="CQ1855" s="6"/>
      <c r="CR1855" s="6"/>
      <c r="CS1855" s="6"/>
      <c r="CT1855" s="6"/>
      <c r="CU1855" s="6"/>
      <c r="CV1855" s="6"/>
      <c r="CW1855" s="6"/>
      <c r="CX1855" s="6"/>
      <c r="CY1855" s="6"/>
      <c r="CZ1855" s="6"/>
      <c r="DA1855" s="6"/>
      <c r="DB1855" s="6"/>
      <c r="DC1855" s="6"/>
      <c r="DD1855" s="6"/>
    </row>
    <row r="1856" spans="1:108" ht="12.75" hidden="1" customHeight="1" outlineLevel="5">
      <c r="A1856" s="104" t="s">
        <v>232</v>
      </c>
      <c r="B1856" s="94">
        <f t="shared" si="97"/>
        <v>0.5</v>
      </c>
      <c r="C1856" s="11"/>
      <c r="D1856" s="18" t="str">
        <f>"&lt;" &amp; A1856 &amp; "&gt;" &amp; TEXT(B1856,"0.000000") &amp; "&lt;/" &amp; A1856 &amp; "&gt;"</f>
        <v>&lt;Hub_Tip&gt;0.500000&lt;/Hub_Tip&gt;</v>
      </c>
      <c r="F1856" s="6"/>
      <c r="G1856" s="6"/>
      <c r="H1856" s="6"/>
      <c r="I1856" s="6"/>
      <c r="J1856" s="6"/>
      <c r="K1856" s="6"/>
      <c r="L1856" s="6"/>
      <c r="M1856" s="6"/>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c r="BU1856" s="6"/>
      <c r="BV1856" s="6"/>
      <c r="BW1856" s="6"/>
      <c r="BX1856" s="6"/>
      <c r="BY1856" s="6"/>
      <c r="BZ1856" s="6"/>
      <c r="CA1856" s="6"/>
      <c r="CB1856" s="6"/>
      <c r="CC1856" s="6"/>
      <c r="CD1856" s="6"/>
      <c r="CE1856" s="6"/>
      <c r="CF1856" s="6"/>
      <c r="CG1856" s="6"/>
      <c r="CH1856" s="6"/>
      <c r="CI1856" s="6"/>
      <c r="CJ1856" s="6"/>
      <c r="CK1856" s="6"/>
      <c r="CL1856" s="6"/>
      <c r="CM1856" s="6"/>
      <c r="CN1856" s="6"/>
      <c r="CO1856" s="6"/>
      <c r="CP1856" s="6"/>
      <c r="CQ1856" s="6"/>
      <c r="CR1856" s="6"/>
      <c r="CS1856" s="6"/>
      <c r="CT1856" s="6"/>
      <c r="CU1856" s="6"/>
      <c r="CV1856" s="6"/>
      <c r="CW1856" s="6"/>
      <c r="CX1856" s="6"/>
      <c r="CY1856" s="6"/>
      <c r="CZ1856" s="6"/>
      <c r="DA1856" s="6"/>
      <c r="DB1856" s="6"/>
      <c r="DC1856" s="6"/>
      <c r="DD1856" s="6"/>
    </row>
    <row r="1857" spans="1:108" ht="12.75" hidden="1" customHeight="1" outlineLevel="5">
      <c r="A1857" s="104" t="s">
        <v>233</v>
      </c>
      <c r="B1857" s="28">
        <f t="shared" si="97"/>
        <v>0</v>
      </c>
      <c r="C1857" s="11"/>
      <c r="D1857" s="18" t="str">
        <f>"&lt;" &amp; A1857 &amp; "&gt;" &amp; TEXT(B1857,"0.000000") &amp; "&lt;/" &amp; A1857 &amp; "&gt;"</f>
        <v>&lt;Eng_Length&gt;0.000000&lt;/Eng_Length&gt;</v>
      </c>
      <c r="F1857" s="6"/>
      <c r="G1857" s="6"/>
      <c r="H1857" s="6"/>
      <c r="I1857" s="6"/>
      <c r="J1857" s="6"/>
      <c r="K1857" s="6"/>
      <c r="L1857" s="6"/>
      <c r="M1857" s="6"/>
      <c r="N1857" s="6"/>
      <c r="O1857" s="6"/>
      <c r="P1857" s="6"/>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c r="BU1857" s="6"/>
      <c r="BV1857" s="6"/>
      <c r="BW1857" s="6"/>
      <c r="BX1857" s="6"/>
      <c r="BY1857" s="6"/>
      <c r="BZ1857" s="6"/>
      <c r="CA1857" s="6"/>
      <c r="CB1857" s="6"/>
      <c r="CC1857" s="6"/>
      <c r="CD1857" s="6"/>
      <c r="CE1857" s="6"/>
      <c r="CF1857" s="6"/>
      <c r="CG1857" s="6"/>
      <c r="CH1857" s="6"/>
      <c r="CI1857" s="6"/>
      <c r="CJ1857" s="6"/>
      <c r="CK1857" s="6"/>
      <c r="CL1857" s="6"/>
      <c r="CM1857" s="6"/>
      <c r="CN1857" s="6"/>
      <c r="CO1857" s="6"/>
      <c r="CP1857" s="6"/>
      <c r="CQ1857" s="6"/>
      <c r="CR1857" s="6"/>
      <c r="CS1857" s="6"/>
      <c r="CT1857" s="6"/>
      <c r="CU1857" s="6"/>
      <c r="CV1857" s="6"/>
      <c r="CW1857" s="6"/>
      <c r="CX1857" s="6"/>
      <c r="CY1857" s="6"/>
      <c r="CZ1857" s="6"/>
      <c r="DA1857" s="6"/>
      <c r="DB1857" s="6"/>
      <c r="DC1857" s="6"/>
      <c r="DD1857" s="6"/>
    </row>
    <row r="1858" spans="1:108" ht="12.75" hidden="1" customHeight="1" outlineLevel="5">
      <c r="A1858" s="104" t="s">
        <v>234</v>
      </c>
      <c r="B1858" s="28">
        <f t="shared" si="97"/>
        <v>1</v>
      </c>
      <c r="C1858" s="11"/>
      <c r="D1858" s="18" t="str">
        <f>"&lt;" &amp; A1858 &amp; "&gt;" &amp; TEXT(B1858,0) &amp; "&lt;/" &amp; A1858 &amp; "&gt;"</f>
        <v>&lt;Inlet_Type&gt;1&lt;/Inlet_Type&gt;</v>
      </c>
      <c r="F1858" s="6"/>
      <c r="G1858" s="6"/>
      <c r="H1858" s="6"/>
      <c r="I1858" s="6"/>
      <c r="J1858" s="6"/>
      <c r="K1858" s="6"/>
      <c r="L1858" s="6"/>
      <c r="M1858" s="6"/>
      <c r="N1858" s="6"/>
      <c r="O1858" s="6"/>
      <c r="P1858" s="6"/>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c r="BU1858" s="6"/>
      <c r="BV1858" s="6"/>
      <c r="BW1858" s="6"/>
      <c r="BX1858" s="6"/>
      <c r="BY1858" s="6"/>
      <c r="BZ1858" s="6"/>
      <c r="CA1858" s="6"/>
      <c r="CB1858" s="6"/>
      <c r="CC1858" s="6"/>
      <c r="CD1858" s="6"/>
      <c r="CE1858" s="6"/>
      <c r="CF1858" s="6"/>
      <c r="CG1858" s="6"/>
      <c r="CH1858" s="6"/>
      <c r="CI1858" s="6"/>
      <c r="CJ1858" s="6"/>
      <c r="CK1858" s="6"/>
      <c r="CL1858" s="6"/>
      <c r="CM1858" s="6"/>
      <c r="CN1858" s="6"/>
      <c r="CO1858" s="6"/>
      <c r="CP1858" s="6"/>
      <c r="CQ1858" s="6"/>
      <c r="CR1858" s="6"/>
      <c r="CS1858" s="6"/>
      <c r="CT1858" s="6"/>
      <c r="CU1858" s="6"/>
      <c r="CV1858" s="6"/>
      <c r="CW1858" s="6"/>
      <c r="CX1858" s="6"/>
      <c r="CY1858" s="6"/>
      <c r="CZ1858" s="6"/>
      <c r="DA1858" s="6"/>
      <c r="DB1858" s="6"/>
      <c r="DC1858" s="6"/>
      <c r="DD1858" s="6"/>
    </row>
    <row r="1859" spans="1:108" ht="12.75" hidden="1" customHeight="1" outlineLevel="5">
      <c r="A1859" s="104" t="s">
        <v>235</v>
      </c>
      <c r="B1859" s="28">
        <f t="shared" si="97"/>
        <v>0</v>
      </c>
      <c r="C1859" s="11"/>
      <c r="D1859" s="18" t="str">
        <f>"&lt;" &amp; A1859 &amp; "&gt;" &amp; TEXT(B1859,0) &amp; "&lt;/" &amp; A1859 &amp; "&gt;"</f>
        <v>&lt;Inl_Noz_Color&gt;0&lt;/Inl_Noz_Color&gt;</v>
      </c>
      <c r="F1859" s="6"/>
      <c r="G1859" s="6"/>
      <c r="H1859" s="6"/>
      <c r="I1859" s="6"/>
      <c r="J1859" s="6"/>
      <c r="K1859" s="6"/>
      <c r="L1859" s="6"/>
      <c r="M1859" s="6"/>
      <c r="N1859" s="6"/>
      <c r="O1859" s="6"/>
      <c r="P1859" s="6"/>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c r="BU1859" s="6"/>
      <c r="BV1859" s="6"/>
      <c r="BW1859" s="6"/>
      <c r="BX1859" s="6"/>
      <c r="BY1859" s="6"/>
      <c r="BZ1859" s="6"/>
      <c r="CA1859" s="6"/>
      <c r="CB1859" s="6"/>
      <c r="CC1859" s="6"/>
      <c r="CD1859" s="6"/>
      <c r="CE1859" s="6"/>
      <c r="CF1859" s="6"/>
      <c r="CG1859" s="6"/>
      <c r="CH1859" s="6"/>
      <c r="CI1859" s="6"/>
      <c r="CJ1859" s="6"/>
      <c r="CK1859" s="6"/>
      <c r="CL1859" s="6"/>
      <c r="CM1859" s="6"/>
      <c r="CN1859" s="6"/>
      <c r="CO1859" s="6"/>
      <c r="CP1859" s="6"/>
      <c r="CQ1859" s="6"/>
      <c r="CR1859" s="6"/>
      <c r="CS1859" s="6"/>
      <c r="CT1859" s="6"/>
      <c r="CU1859" s="6"/>
      <c r="CV1859" s="6"/>
      <c r="CW1859" s="6"/>
      <c r="CX1859" s="6"/>
      <c r="CY1859" s="6"/>
      <c r="CZ1859" s="6"/>
      <c r="DA1859" s="6"/>
      <c r="DB1859" s="6"/>
      <c r="DC1859" s="6"/>
      <c r="DD1859" s="6"/>
    </row>
    <row r="1860" spans="1:108" ht="12.75" hidden="1" customHeight="1" outlineLevel="5">
      <c r="A1860" s="104" t="s">
        <v>236</v>
      </c>
      <c r="B1860" s="28">
        <f t="shared" si="97"/>
        <v>0</v>
      </c>
      <c r="C1860" s="11"/>
      <c r="D1860" s="18" t="str">
        <f>"&lt;" &amp; A1860 &amp; "&gt;" &amp; TEXT(B1860,0) &amp; "&lt;/" &amp; A1860 &amp; "&gt;"</f>
        <v>&lt;Inlet_XY_Sym_Flag&gt;0&lt;/Inlet_XY_Sym_Flag&gt;</v>
      </c>
      <c r="F1860" s="6"/>
      <c r="G1860" s="6"/>
      <c r="H1860" s="6"/>
      <c r="I1860" s="6"/>
      <c r="J1860" s="6"/>
      <c r="K1860" s="6"/>
      <c r="L1860" s="6"/>
      <c r="M1860" s="6"/>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c r="BU1860" s="6"/>
      <c r="BV1860" s="6"/>
      <c r="BW1860" s="6"/>
      <c r="BX1860" s="6"/>
      <c r="BY1860" s="6"/>
      <c r="BZ1860" s="6"/>
      <c r="CA1860" s="6"/>
      <c r="CB1860" s="6"/>
      <c r="CC1860" s="6"/>
      <c r="CD1860" s="6"/>
      <c r="CE1860" s="6"/>
      <c r="CF1860" s="6"/>
      <c r="CG1860" s="6"/>
      <c r="CH1860" s="6"/>
      <c r="CI1860" s="6"/>
      <c r="CJ1860" s="6"/>
      <c r="CK1860" s="6"/>
      <c r="CL1860" s="6"/>
      <c r="CM1860" s="6"/>
      <c r="CN1860" s="6"/>
      <c r="CO1860" s="6"/>
      <c r="CP1860" s="6"/>
      <c r="CQ1860" s="6"/>
      <c r="CR1860" s="6"/>
      <c r="CS1860" s="6"/>
      <c r="CT1860" s="6"/>
      <c r="CU1860" s="6"/>
      <c r="CV1860" s="6"/>
      <c r="CW1860" s="6"/>
      <c r="CX1860" s="6"/>
      <c r="CY1860" s="6"/>
      <c r="CZ1860" s="6"/>
      <c r="DA1860" s="6"/>
      <c r="DB1860" s="6"/>
      <c r="DC1860" s="6"/>
      <c r="DD1860" s="6"/>
    </row>
    <row r="1861" spans="1:108" ht="12.75" hidden="1" customHeight="1" outlineLevel="5">
      <c r="A1861" s="104" t="s">
        <v>237</v>
      </c>
      <c r="B1861" s="28">
        <f t="shared" si="97"/>
        <v>0</v>
      </c>
      <c r="C1861" s="11"/>
      <c r="D1861" s="18" t="str">
        <f>"&lt;" &amp; A1861 &amp; "&gt;" &amp; TEXT(B1861,0) &amp; "&lt;/" &amp; A1861 &amp; "&gt;"</f>
        <v>&lt;Inlet_Half_Split_Flag&gt;0&lt;/Inlet_Half_Split_Flag&gt;</v>
      </c>
      <c r="F1861" s="6"/>
      <c r="G1861" s="6"/>
      <c r="H1861" s="6"/>
      <c r="I1861" s="6"/>
      <c r="J1861" s="6"/>
      <c r="K1861" s="6"/>
      <c r="L1861" s="6"/>
      <c r="M1861" s="6"/>
      <c r="N1861" s="6"/>
      <c r="O1861" s="6"/>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c r="BU1861" s="6"/>
      <c r="BV1861" s="6"/>
      <c r="BW1861" s="6"/>
      <c r="BX1861" s="6"/>
      <c r="BY1861" s="6"/>
      <c r="BZ1861" s="6"/>
      <c r="CA1861" s="6"/>
      <c r="CB1861" s="6"/>
      <c r="CC1861" s="6"/>
      <c r="CD1861" s="6"/>
      <c r="CE1861" s="6"/>
      <c r="CF1861" s="6"/>
      <c r="CG1861" s="6"/>
      <c r="CH1861" s="6"/>
      <c r="CI1861" s="6"/>
      <c r="CJ1861" s="6"/>
      <c r="CK1861" s="6"/>
      <c r="CL1861" s="6"/>
      <c r="CM1861" s="6"/>
      <c r="CN1861" s="6"/>
      <c r="CO1861" s="6"/>
      <c r="CP1861" s="6"/>
      <c r="CQ1861" s="6"/>
      <c r="CR1861" s="6"/>
      <c r="CS1861" s="6"/>
      <c r="CT1861" s="6"/>
      <c r="CU1861" s="6"/>
      <c r="CV1861" s="6"/>
      <c r="CW1861" s="6"/>
      <c r="CX1861" s="6"/>
      <c r="CY1861" s="6"/>
      <c r="CZ1861" s="6"/>
      <c r="DA1861" s="6"/>
      <c r="DB1861" s="6"/>
      <c r="DC1861" s="6"/>
      <c r="DD1861" s="6"/>
    </row>
    <row r="1862" spans="1:108" ht="12.75" hidden="1" customHeight="1" outlineLevel="5">
      <c r="A1862" s="104" t="s">
        <v>238</v>
      </c>
      <c r="B1862" s="28">
        <f t="shared" si="97"/>
        <v>1E-3</v>
      </c>
      <c r="C1862" s="11"/>
      <c r="D1862" s="18" t="str">
        <f t="shared" ref="D1862:D1870" si="98">"&lt;" &amp; A1862 &amp; "&gt;" &amp; TEXT(B1862,"0.000000") &amp; "&lt;/" &amp; A1862 &amp; "&gt;"</f>
        <v>&lt;Cowl_Length&gt;0.001000&lt;/Cowl_Length&gt;</v>
      </c>
      <c r="F1862" s="6"/>
      <c r="G1862" s="6"/>
      <c r="H1862" s="6"/>
      <c r="I1862" s="6"/>
      <c r="J1862" s="6"/>
      <c r="K1862" s="6"/>
      <c r="L1862" s="6"/>
      <c r="M1862" s="6"/>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c r="BU1862" s="6"/>
      <c r="BV1862" s="6"/>
      <c r="BW1862" s="6"/>
      <c r="BX1862" s="6"/>
      <c r="BY1862" s="6"/>
      <c r="BZ1862" s="6"/>
      <c r="CA1862" s="6"/>
      <c r="CB1862" s="6"/>
      <c r="CC1862" s="6"/>
      <c r="CD1862" s="6"/>
      <c r="CE1862" s="6"/>
      <c r="CF1862" s="6"/>
      <c r="CG1862" s="6"/>
      <c r="CH1862" s="6"/>
      <c r="CI1862" s="6"/>
      <c r="CJ1862" s="6"/>
      <c r="CK1862" s="6"/>
      <c r="CL1862" s="6"/>
      <c r="CM1862" s="6"/>
      <c r="CN1862" s="6"/>
      <c r="CO1862" s="6"/>
      <c r="CP1862" s="6"/>
      <c r="CQ1862" s="6"/>
      <c r="CR1862" s="6"/>
      <c r="CS1862" s="6"/>
      <c r="CT1862" s="6"/>
      <c r="CU1862" s="6"/>
      <c r="CV1862" s="6"/>
      <c r="CW1862" s="6"/>
      <c r="CX1862" s="6"/>
      <c r="CY1862" s="6"/>
      <c r="CZ1862" s="6"/>
      <c r="DA1862" s="6"/>
      <c r="DB1862" s="6"/>
      <c r="DC1862" s="6"/>
      <c r="DD1862" s="6"/>
    </row>
    <row r="1863" spans="1:108" ht="12.75" hidden="1" customHeight="1" outlineLevel="5">
      <c r="A1863" s="104" t="s">
        <v>239</v>
      </c>
      <c r="B1863" s="28">
        <f t="shared" si="97"/>
        <v>1.5</v>
      </c>
      <c r="C1863" s="11"/>
      <c r="D1863" s="18" t="str">
        <f t="shared" si="98"/>
        <v>&lt;Eng_Thrt_Ratio&gt;1.500000&lt;/Eng_Thrt_Ratio&gt;</v>
      </c>
      <c r="F1863" s="6"/>
      <c r="G1863" s="6"/>
      <c r="H1863" s="6"/>
      <c r="I1863" s="6"/>
      <c r="J1863" s="6"/>
      <c r="K1863" s="6"/>
      <c r="L1863" s="6"/>
      <c r="M1863" s="6"/>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c r="BU1863" s="6"/>
      <c r="BV1863" s="6"/>
      <c r="BW1863" s="6"/>
      <c r="BX1863" s="6"/>
      <c r="BY1863" s="6"/>
      <c r="BZ1863" s="6"/>
      <c r="CA1863" s="6"/>
      <c r="CB1863" s="6"/>
      <c r="CC1863" s="6"/>
      <c r="CD1863" s="6"/>
      <c r="CE1863" s="6"/>
      <c r="CF1863" s="6"/>
      <c r="CG1863" s="6"/>
      <c r="CH1863" s="6"/>
      <c r="CI1863" s="6"/>
      <c r="CJ1863" s="6"/>
      <c r="CK1863" s="6"/>
      <c r="CL1863" s="6"/>
      <c r="CM1863" s="6"/>
      <c r="CN1863" s="6"/>
      <c r="CO1863" s="6"/>
      <c r="CP1863" s="6"/>
      <c r="CQ1863" s="6"/>
      <c r="CR1863" s="6"/>
      <c r="CS1863" s="6"/>
      <c r="CT1863" s="6"/>
      <c r="CU1863" s="6"/>
      <c r="CV1863" s="6"/>
      <c r="CW1863" s="6"/>
      <c r="CX1863" s="6"/>
      <c r="CY1863" s="6"/>
      <c r="CZ1863" s="6"/>
      <c r="DA1863" s="6"/>
      <c r="DB1863" s="6"/>
      <c r="DC1863" s="6"/>
      <c r="DD1863" s="6"/>
    </row>
    <row r="1864" spans="1:108" ht="12.75" hidden="1" customHeight="1" outlineLevel="5">
      <c r="A1864" s="104" t="s">
        <v>240</v>
      </c>
      <c r="B1864" s="28">
        <f t="shared" si="97"/>
        <v>1.3</v>
      </c>
      <c r="C1864" s="11"/>
      <c r="D1864" s="18" t="str">
        <f t="shared" si="98"/>
        <v>&lt;Hilight_Thrt_Ratio&gt;1.300000&lt;/Hilight_Thrt_Ratio&gt;</v>
      </c>
      <c r="F1864" s="6"/>
      <c r="G1864" s="6"/>
      <c r="H1864" s="6"/>
      <c r="I1864" s="6"/>
      <c r="J1864" s="6"/>
      <c r="K1864" s="6"/>
      <c r="L1864" s="6"/>
      <c r="M1864" s="6"/>
      <c r="N1864" s="6"/>
      <c r="O1864" s="6"/>
      <c r="P1864" s="6"/>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c r="BU1864" s="6"/>
      <c r="BV1864" s="6"/>
      <c r="BW1864" s="6"/>
      <c r="BX1864" s="6"/>
      <c r="BY1864" s="6"/>
      <c r="BZ1864" s="6"/>
      <c r="CA1864" s="6"/>
      <c r="CB1864" s="6"/>
      <c r="CC1864" s="6"/>
      <c r="CD1864" s="6"/>
      <c r="CE1864" s="6"/>
      <c r="CF1864" s="6"/>
      <c r="CG1864" s="6"/>
      <c r="CH1864" s="6"/>
      <c r="CI1864" s="6"/>
      <c r="CJ1864" s="6"/>
      <c r="CK1864" s="6"/>
      <c r="CL1864" s="6"/>
      <c r="CM1864" s="6"/>
      <c r="CN1864" s="6"/>
      <c r="CO1864" s="6"/>
      <c r="CP1864" s="6"/>
      <c r="CQ1864" s="6"/>
      <c r="CR1864" s="6"/>
      <c r="CS1864" s="6"/>
      <c r="CT1864" s="6"/>
      <c r="CU1864" s="6"/>
      <c r="CV1864" s="6"/>
      <c r="CW1864" s="6"/>
      <c r="CX1864" s="6"/>
      <c r="CY1864" s="6"/>
      <c r="CZ1864" s="6"/>
      <c r="DA1864" s="6"/>
      <c r="DB1864" s="6"/>
      <c r="DC1864" s="6"/>
      <c r="DD1864" s="6"/>
    </row>
    <row r="1865" spans="1:108" ht="12.75" hidden="1" customHeight="1" outlineLevel="5">
      <c r="A1865" s="104" t="s">
        <v>241</v>
      </c>
      <c r="B1865" s="28">
        <f t="shared" si="97"/>
        <v>1.9</v>
      </c>
      <c r="C1865" s="11"/>
      <c r="D1865" s="18" t="str">
        <f t="shared" si="98"/>
        <v>&lt;Lip_Finess_Ratio&gt;1.900000&lt;/Lip_Finess_Ratio&gt;</v>
      </c>
      <c r="F1865" s="6"/>
      <c r="G1865" s="6"/>
      <c r="H1865" s="6"/>
      <c r="I1865" s="6"/>
      <c r="J1865" s="6"/>
      <c r="K1865" s="6"/>
      <c r="L1865" s="6"/>
      <c r="M1865" s="6"/>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c r="BU1865" s="6"/>
      <c r="BV1865" s="6"/>
      <c r="BW1865" s="6"/>
      <c r="BX1865" s="6"/>
      <c r="BY1865" s="6"/>
      <c r="BZ1865" s="6"/>
      <c r="CA1865" s="6"/>
      <c r="CB1865" s="6"/>
      <c r="CC1865" s="6"/>
      <c r="CD1865" s="6"/>
      <c r="CE1865" s="6"/>
      <c r="CF1865" s="6"/>
      <c r="CG1865" s="6"/>
      <c r="CH1865" s="6"/>
      <c r="CI1865" s="6"/>
      <c r="CJ1865" s="6"/>
      <c r="CK1865" s="6"/>
      <c r="CL1865" s="6"/>
      <c r="CM1865" s="6"/>
      <c r="CN1865" s="6"/>
      <c r="CO1865" s="6"/>
      <c r="CP1865" s="6"/>
      <c r="CQ1865" s="6"/>
      <c r="CR1865" s="6"/>
      <c r="CS1865" s="6"/>
      <c r="CT1865" s="6"/>
      <c r="CU1865" s="6"/>
      <c r="CV1865" s="6"/>
      <c r="CW1865" s="6"/>
      <c r="CX1865" s="6"/>
      <c r="CY1865" s="6"/>
      <c r="CZ1865" s="6"/>
      <c r="DA1865" s="6"/>
      <c r="DB1865" s="6"/>
      <c r="DC1865" s="6"/>
      <c r="DD1865" s="6"/>
    </row>
    <row r="1866" spans="1:108" ht="12.75" hidden="1" customHeight="1" outlineLevel="5">
      <c r="A1866" s="104" t="s">
        <v>242</v>
      </c>
      <c r="B1866" s="28">
        <f t="shared" si="97"/>
        <v>1</v>
      </c>
      <c r="C1866" s="11"/>
      <c r="D1866" s="18" t="str">
        <f t="shared" si="98"/>
        <v>&lt;Height_Width_Ratio&gt;1.000000&lt;/Height_Width_Ratio&gt;</v>
      </c>
      <c r="F1866" s="6"/>
      <c r="G1866" s="6"/>
      <c r="H1866" s="6"/>
      <c r="I1866" s="6"/>
      <c r="J1866" s="6"/>
      <c r="K1866" s="6"/>
      <c r="L1866" s="6"/>
      <c r="M1866" s="6"/>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c r="BU1866" s="6"/>
      <c r="BV1866" s="6"/>
      <c r="BW1866" s="6"/>
      <c r="BX1866" s="6"/>
      <c r="BY1866" s="6"/>
      <c r="BZ1866" s="6"/>
      <c r="CA1866" s="6"/>
      <c r="CB1866" s="6"/>
      <c r="CC1866" s="6"/>
      <c r="CD1866" s="6"/>
      <c r="CE1866" s="6"/>
      <c r="CF1866" s="6"/>
      <c r="CG1866" s="6"/>
      <c r="CH1866" s="6"/>
      <c r="CI1866" s="6"/>
      <c r="CJ1866" s="6"/>
      <c r="CK1866" s="6"/>
      <c r="CL1866" s="6"/>
      <c r="CM1866" s="6"/>
      <c r="CN1866" s="6"/>
      <c r="CO1866" s="6"/>
      <c r="CP1866" s="6"/>
      <c r="CQ1866" s="6"/>
      <c r="CR1866" s="6"/>
      <c r="CS1866" s="6"/>
      <c r="CT1866" s="6"/>
      <c r="CU1866" s="6"/>
      <c r="CV1866" s="6"/>
      <c r="CW1866" s="6"/>
      <c r="CX1866" s="6"/>
      <c r="CY1866" s="6"/>
      <c r="CZ1866" s="6"/>
      <c r="DA1866" s="6"/>
      <c r="DB1866" s="6"/>
      <c r="DC1866" s="6"/>
      <c r="DD1866" s="6"/>
    </row>
    <row r="1867" spans="1:108" ht="12.75" hidden="1" customHeight="1" outlineLevel="5">
      <c r="A1867" s="104" t="s">
        <v>243</v>
      </c>
      <c r="B1867" s="28">
        <f t="shared" si="97"/>
        <v>-1.3</v>
      </c>
      <c r="C1867" s="11"/>
      <c r="D1867" s="18" t="str">
        <f t="shared" si="98"/>
        <v>&lt;Upper_Surf_Shape_Factor&gt;-1.300000&lt;/Upper_Surf_Shape_Factor&gt;</v>
      </c>
      <c r="F1867" s="6"/>
      <c r="G1867" s="6"/>
      <c r="H1867" s="6"/>
      <c r="I1867" s="6"/>
      <c r="J1867" s="6"/>
      <c r="K1867" s="6"/>
      <c r="L1867" s="6"/>
      <c r="M1867" s="6"/>
      <c r="N1867" s="6"/>
      <c r="O1867" s="6"/>
      <c r="P1867" s="6"/>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c r="BU1867" s="6"/>
      <c r="BV1867" s="6"/>
      <c r="BW1867" s="6"/>
      <c r="BX1867" s="6"/>
      <c r="BY1867" s="6"/>
      <c r="BZ1867" s="6"/>
      <c r="CA1867" s="6"/>
      <c r="CB1867" s="6"/>
      <c r="CC1867" s="6"/>
      <c r="CD1867" s="6"/>
      <c r="CE1867" s="6"/>
      <c r="CF1867" s="6"/>
      <c r="CG1867" s="6"/>
      <c r="CH1867" s="6"/>
      <c r="CI1867" s="6"/>
      <c r="CJ1867" s="6"/>
      <c r="CK1867" s="6"/>
      <c r="CL1867" s="6"/>
      <c r="CM1867" s="6"/>
      <c r="CN1867" s="6"/>
      <c r="CO1867" s="6"/>
      <c r="CP1867" s="6"/>
      <c r="CQ1867" s="6"/>
      <c r="CR1867" s="6"/>
      <c r="CS1867" s="6"/>
      <c r="CT1867" s="6"/>
      <c r="CU1867" s="6"/>
      <c r="CV1867" s="6"/>
      <c r="CW1867" s="6"/>
      <c r="CX1867" s="6"/>
      <c r="CY1867" s="6"/>
      <c r="CZ1867" s="6"/>
      <c r="DA1867" s="6"/>
      <c r="DB1867" s="6"/>
      <c r="DC1867" s="6"/>
      <c r="DD1867" s="6"/>
    </row>
    <row r="1868" spans="1:108" ht="12.75" hidden="1" customHeight="1" outlineLevel="5">
      <c r="A1868" s="104" t="s">
        <v>244</v>
      </c>
      <c r="B1868" s="28">
        <f t="shared" si="97"/>
        <v>0.7</v>
      </c>
      <c r="C1868" s="11"/>
      <c r="D1868" s="18" t="str">
        <f t="shared" si="98"/>
        <v>&lt;Lower_Surf_Shape_Factor&gt;0.700000&lt;/Lower_Surf_Shape_Factor&gt;</v>
      </c>
      <c r="F1868" s="6"/>
      <c r="G1868" s="6"/>
      <c r="H1868" s="6"/>
      <c r="I1868" s="6"/>
      <c r="J1868" s="6"/>
      <c r="K1868" s="6"/>
      <c r="L1868" s="6"/>
      <c r="M1868" s="6"/>
      <c r="N1868" s="6"/>
      <c r="O1868" s="6"/>
      <c r="P1868" s="6"/>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c r="BU1868" s="6"/>
      <c r="BV1868" s="6"/>
      <c r="BW1868" s="6"/>
      <c r="BX1868" s="6"/>
      <c r="BY1868" s="6"/>
      <c r="BZ1868" s="6"/>
      <c r="CA1868" s="6"/>
      <c r="CB1868" s="6"/>
      <c r="CC1868" s="6"/>
      <c r="CD1868" s="6"/>
      <c r="CE1868" s="6"/>
      <c r="CF1868" s="6"/>
      <c r="CG1868" s="6"/>
      <c r="CH1868" s="6"/>
      <c r="CI1868" s="6"/>
      <c r="CJ1868" s="6"/>
      <c r="CK1868" s="6"/>
      <c r="CL1868" s="6"/>
      <c r="CM1868" s="6"/>
      <c r="CN1868" s="6"/>
      <c r="CO1868" s="6"/>
      <c r="CP1868" s="6"/>
      <c r="CQ1868" s="6"/>
      <c r="CR1868" s="6"/>
      <c r="CS1868" s="6"/>
      <c r="CT1868" s="6"/>
      <c r="CU1868" s="6"/>
      <c r="CV1868" s="6"/>
      <c r="CW1868" s="6"/>
      <c r="CX1868" s="6"/>
      <c r="CY1868" s="6"/>
      <c r="CZ1868" s="6"/>
      <c r="DA1868" s="6"/>
      <c r="DB1868" s="6"/>
      <c r="DC1868" s="6"/>
      <c r="DD1868" s="6"/>
    </row>
    <row r="1869" spans="1:108" ht="12.75" hidden="1" customHeight="1" outlineLevel="5">
      <c r="A1869" s="104" t="s">
        <v>245</v>
      </c>
      <c r="B1869" s="28">
        <f t="shared" si="97"/>
        <v>0</v>
      </c>
      <c r="C1869" s="11"/>
      <c r="D1869" s="18" t="str">
        <f t="shared" si="98"/>
        <v>&lt;Inlet_X_Axis_Rot&gt;0.000000&lt;/Inlet_X_Axis_Rot&gt;</v>
      </c>
      <c r="F1869" s="6"/>
      <c r="G1869" s="6"/>
      <c r="H1869" s="6"/>
      <c r="I1869" s="6"/>
      <c r="J1869" s="6"/>
      <c r="K1869" s="6"/>
      <c r="L1869" s="6"/>
      <c r="M1869" s="6"/>
      <c r="N1869" s="6"/>
      <c r="O1869" s="6"/>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c r="BU1869" s="6"/>
      <c r="BV1869" s="6"/>
      <c r="BW1869" s="6"/>
      <c r="BX1869" s="6"/>
      <c r="BY1869" s="6"/>
      <c r="BZ1869" s="6"/>
      <c r="CA1869" s="6"/>
      <c r="CB1869" s="6"/>
      <c r="CC1869" s="6"/>
      <c r="CD1869" s="6"/>
      <c r="CE1869" s="6"/>
      <c r="CF1869" s="6"/>
      <c r="CG1869" s="6"/>
      <c r="CH1869" s="6"/>
      <c r="CI1869" s="6"/>
      <c r="CJ1869" s="6"/>
      <c r="CK1869" s="6"/>
      <c r="CL1869" s="6"/>
      <c r="CM1869" s="6"/>
      <c r="CN1869" s="6"/>
      <c r="CO1869" s="6"/>
      <c r="CP1869" s="6"/>
      <c r="CQ1869" s="6"/>
      <c r="CR1869" s="6"/>
      <c r="CS1869" s="6"/>
      <c r="CT1869" s="6"/>
      <c r="CU1869" s="6"/>
      <c r="CV1869" s="6"/>
      <c r="CW1869" s="6"/>
      <c r="CX1869" s="6"/>
      <c r="CY1869" s="6"/>
      <c r="CZ1869" s="6"/>
      <c r="DA1869" s="6"/>
      <c r="DB1869" s="6"/>
      <c r="DC1869" s="6"/>
      <c r="DD1869" s="6"/>
    </row>
    <row r="1870" spans="1:108" ht="12.75" hidden="1" customHeight="1" outlineLevel="5">
      <c r="A1870" s="104" t="s">
        <v>246</v>
      </c>
      <c r="B1870" s="28">
        <f t="shared" si="97"/>
        <v>0</v>
      </c>
      <c r="C1870" s="11"/>
      <c r="D1870" s="18" t="str">
        <f t="shared" si="98"/>
        <v>&lt;Inlet_Scarf_Angle&gt;0.000000&lt;/Inlet_Scarf_Angle&gt;</v>
      </c>
      <c r="F1870" s="6"/>
      <c r="G1870" s="6"/>
      <c r="H1870" s="6"/>
      <c r="I1870" s="6"/>
      <c r="J1870" s="6"/>
      <c r="K1870" s="6"/>
      <c r="L1870" s="6"/>
      <c r="M1870" s="6"/>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c r="BU1870" s="6"/>
      <c r="BV1870" s="6"/>
      <c r="BW1870" s="6"/>
      <c r="BX1870" s="6"/>
      <c r="BY1870" s="6"/>
      <c r="BZ1870" s="6"/>
      <c r="CA1870" s="6"/>
      <c r="CB1870" s="6"/>
      <c r="CC1870" s="6"/>
      <c r="CD1870" s="6"/>
      <c r="CE1870" s="6"/>
      <c r="CF1870" s="6"/>
      <c r="CG1870" s="6"/>
      <c r="CH1870" s="6"/>
      <c r="CI1870" s="6"/>
      <c r="CJ1870" s="6"/>
      <c r="CK1870" s="6"/>
      <c r="CL1870" s="6"/>
      <c r="CM1870" s="6"/>
      <c r="CN1870" s="6"/>
      <c r="CO1870" s="6"/>
      <c r="CP1870" s="6"/>
      <c r="CQ1870" s="6"/>
      <c r="CR1870" s="6"/>
      <c r="CS1870" s="6"/>
      <c r="CT1870" s="6"/>
      <c r="CU1870" s="6"/>
      <c r="CV1870" s="6"/>
      <c r="CW1870" s="6"/>
      <c r="CX1870" s="6"/>
      <c r="CY1870" s="6"/>
      <c r="CZ1870" s="6"/>
      <c r="DA1870" s="6"/>
      <c r="DB1870" s="6"/>
      <c r="DC1870" s="6"/>
      <c r="DD1870" s="6"/>
    </row>
    <row r="1871" spans="1:108" ht="12.75" hidden="1" customHeight="1" outlineLevel="5">
      <c r="A1871" s="104" t="s">
        <v>247</v>
      </c>
      <c r="B1871" s="28">
        <f t="shared" si="97"/>
        <v>0</v>
      </c>
      <c r="C1871" s="11"/>
      <c r="D1871" s="18" t="str">
        <f>"&lt;" &amp; A1871 &amp; "&gt;" &amp; TEXT(B1871,0) &amp; "&lt;/" &amp; A1871 &amp; "&gt;"</f>
        <v>&lt;Inlet_Duct_On_Off&gt;0&lt;/Inlet_Duct_On_Off&gt;</v>
      </c>
      <c r="F1871" s="6"/>
      <c r="G1871" s="6"/>
      <c r="H1871" s="6"/>
      <c r="I1871" s="6"/>
      <c r="J1871" s="6"/>
      <c r="K1871" s="6"/>
      <c r="L1871" s="6"/>
      <c r="M1871" s="6"/>
      <c r="N1871" s="6"/>
      <c r="O1871" s="6"/>
      <c r="P1871" s="6"/>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c r="BU1871" s="6"/>
      <c r="BV1871" s="6"/>
      <c r="BW1871" s="6"/>
      <c r="BX1871" s="6"/>
      <c r="BY1871" s="6"/>
      <c r="BZ1871" s="6"/>
      <c r="CA1871" s="6"/>
      <c r="CB1871" s="6"/>
      <c r="CC1871" s="6"/>
      <c r="CD1871" s="6"/>
      <c r="CE1871" s="6"/>
      <c r="CF1871" s="6"/>
      <c r="CG1871" s="6"/>
      <c r="CH1871" s="6"/>
      <c r="CI1871" s="6"/>
      <c r="CJ1871" s="6"/>
      <c r="CK1871" s="6"/>
      <c r="CL1871" s="6"/>
      <c r="CM1871" s="6"/>
      <c r="CN1871" s="6"/>
      <c r="CO1871" s="6"/>
      <c r="CP1871" s="6"/>
      <c r="CQ1871" s="6"/>
      <c r="CR1871" s="6"/>
      <c r="CS1871" s="6"/>
      <c r="CT1871" s="6"/>
      <c r="CU1871" s="6"/>
      <c r="CV1871" s="6"/>
      <c r="CW1871" s="6"/>
      <c r="CX1871" s="6"/>
      <c r="CY1871" s="6"/>
      <c r="CZ1871" s="6"/>
      <c r="DA1871" s="6"/>
      <c r="DB1871" s="6"/>
      <c r="DC1871" s="6"/>
      <c r="DD1871" s="6"/>
    </row>
    <row r="1872" spans="1:108" ht="12.75" hidden="1" customHeight="1" outlineLevel="5">
      <c r="A1872" s="104" t="s">
        <v>248</v>
      </c>
      <c r="B1872" s="28">
        <f t="shared" si="97"/>
        <v>3</v>
      </c>
      <c r="C1872" s="11"/>
      <c r="D1872" s="18" t="str">
        <f>"&lt;" &amp; A1872 &amp; "&gt;" &amp; TEXT(B1872,"0.000000") &amp; "&lt;/" &amp; A1872 &amp; "&gt;"</f>
        <v>&lt;Inlet_Duct_X_Offset&gt;3.000000&lt;/Inlet_Duct_X_Offset&gt;</v>
      </c>
      <c r="F1872" s="6"/>
      <c r="G1872" s="6"/>
      <c r="H1872" s="6"/>
      <c r="I1872" s="6"/>
      <c r="J1872" s="6"/>
      <c r="K1872" s="6"/>
      <c r="L1872" s="6"/>
      <c r="M1872" s="6"/>
      <c r="N1872" s="6"/>
      <c r="O1872" s="6"/>
      <c r="P1872" s="6"/>
      <c r="Q1872" s="6"/>
      <c r="R1872" s="6"/>
      <c r="S1872" s="6"/>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c r="BU1872" s="6"/>
      <c r="BV1872" s="6"/>
      <c r="BW1872" s="6"/>
      <c r="BX1872" s="6"/>
      <c r="BY1872" s="6"/>
      <c r="BZ1872" s="6"/>
      <c r="CA1872" s="6"/>
      <c r="CB1872" s="6"/>
      <c r="CC1872" s="6"/>
      <c r="CD1872" s="6"/>
      <c r="CE1872" s="6"/>
      <c r="CF1872" s="6"/>
      <c r="CG1872" s="6"/>
      <c r="CH1872" s="6"/>
      <c r="CI1872" s="6"/>
      <c r="CJ1872" s="6"/>
      <c r="CK1872" s="6"/>
      <c r="CL1872" s="6"/>
      <c r="CM1872" s="6"/>
      <c r="CN1872" s="6"/>
      <c r="CO1872" s="6"/>
      <c r="CP1872" s="6"/>
      <c r="CQ1872" s="6"/>
      <c r="CR1872" s="6"/>
      <c r="CS1872" s="6"/>
      <c r="CT1872" s="6"/>
      <c r="CU1872" s="6"/>
      <c r="CV1872" s="6"/>
      <c r="CW1872" s="6"/>
      <c r="CX1872" s="6"/>
      <c r="CY1872" s="6"/>
      <c r="CZ1872" s="6"/>
      <c r="DA1872" s="6"/>
      <c r="DB1872" s="6"/>
      <c r="DC1872" s="6"/>
      <c r="DD1872" s="6"/>
    </row>
    <row r="1873" spans="1:108" ht="12.75" hidden="1" customHeight="1" outlineLevel="5">
      <c r="A1873" s="104" t="s">
        <v>249</v>
      </c>
      <c r="B1873" s="28">
        <f t="shared" si="97"/>
        <v>1</v>
      </c>
      <c r="C1873" s="11"/>
      <c r="D1873" s="18" t="str">
        <f>"&lt;" &amp; A1873 &amp; "&gt;" &amp; TEXT(B1873,"0.000000") &amp; "&lt;/" &amp; A1873 &amp; "&gt;"</f>
        <v>&lt;Inlet_Duct_Y_Offset&gt;1.000000&lt;/Inlet_Duct_Y_Offset&gt;</v>
      </c>
      <c r="F1873" s="6"/>
      <c r="G1873" s="6"/>
      <c r="H1873" s="6"/>
      <c r="I1873" s="6"/>
      <c r="J1873" s="6"/>
      <c r="K1873" s="6"/>
      <c r="L1873" s="6"/>
      <c r="M1873" s="6"/>
      <c r="N1873" s="6"/>
      <c r="O1873" s="6"/>
      <c r="P1873" s="6"/>
      <c r="Q1873" s="6"/>
      <c r="R1873" s="6"/>
      <c r="S1873" s="6"/>
      <c r="T1873" s="6"/>
      <c r="U1873" s="6"/>
      <c r="V1873" s="6"/>
      <c r="W1873" s="6"/>
      <c r="X1873" s="6"/>
      <c r="Y1873" s="6"/>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c r="BU1873" s="6"/>
      <c r="BV1873" s="6"/>
      <c r="BW1873" s="6"/>
      <c r="BX1873" s="6"/>
      <c r="BY1873" s="6"/>
      <c r="BZ1873" s="6"/>
      <c r="CA1873" s="6"/>
      <c r="CB1873" s="6"/>
      <c r="CC1873" s="6"/>
      <c r="CD1873" s="6"/>
      <c r="CE1873" s="6"/>
      <c r="CF1873" s="6"/>
      <c r="CG1873" s="6"/>
      <c r="CH1873" s="6"/>
      <c r="CI1873" s="6"/>
      <c r="CJ1873" s="6"/>
      <c r="CK1873" s="6"/>
      <c r="CL1873" s="6"/>
      <c r="CM1873" s="6"/>
      <c r="CN1873" s="6"/>
      <c r="CO1873" s="6"/>
      <c r="CP1873" s="6"/>
      <c r="CQ1873" s="6"/>
      <c r="CR1873" s="6"/>
      <c r="CS1873" s="6"/>
      <c r="CT1873" s="6"/>
      <c r="CU1873" s="6"/>
      <c r="CV1873" s="6"/>
      <c r="CW1873" s="6"/>
      <c r="CX1873" s="6"/>
      <c r="CY1873" s="6"/>
      <c r="CZ1873" s="6"/>
      <c r="DA1873" s="6"/>
      <c r="DB1873" s="6"/>
      <c r="DC1873" s="6"/>
      <c r="DD1873" s="6"/>
    </row>
    <row r="1874" spans="1:108" ht="12.75" hidden="1" customHeight="1" outlineLevel="5">
      <c r="A1874" s="104" t="s">
        <v>250</v>
      </c>
      <c r="B1874" s="28">
        <f t="shared" si="97"/>
        <v>0.5</v>
      </c>
      <c r="C1874" s="11"/>
      <c r="D1874" s="18" t="str">
        <f>"&lt;" &amp; A1874 &amp; "&gt;" &amp; TEXT(B1874,"0.000000") &amp; "&lt;/" &amp; A1874 &amp; "&gt;"</f>
        <v>&lt;Inlet_Duct_Shape_Factor&gt;0.500000&lt;/Inlet_Duct_Shape_Factor&gt;</v>
      </c>
      <c r="F1874" s="6"/>
      <c r="G1874" s="6"/>
      <c r="H1874" s="6"/>
      <c r="I1874" s="6"/>
      <c r="J1874" s="6"/>
      <c r="K1874" s="6"/>
      <c r="L1874" s="6"/>
      <c r="M1874" s="6"/>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c r="BU1874" s="6"/>
      <c r="BV1874" s="6"/>
      <c r="BW1874" s="6"/>
      <c r="BX1874" s="6"/>
      <c r="BY1874" s="6"/>
      <c r="BZ1874" s="6"/>
      <c r="CA1874" s="6"/>
      <c r="CB1874" s="6"/>
      <c r="CC1874" s="6"/>
      <c r="CD1874" s="6"/>
      <c r="CE1874" s="6"/>
      <c r="CF1874" s="6"/>
      <c r="CG1874" s="6"/>
      <c r="CH1874" s="6"/>
      <c r="CI1874" s="6"/>
      <c r="CJ1874" s="6"/>
      <c r="CK1874" s="6"/>
      <c r="CL1874" s="6"/>
      <c r="CM1874" s="6"/>
      <c r="CN1874" s="6"/>
      <c r="CO1874" s="6"/>
      <c r="CP1874" s="6"/>
      <c r="CQ1874" s="6"/>
      <c r="CR1874" s="6"/>
      <c r="CS1874" s="6"/>
      <c r="CT1874" s="6"/>
      <c r="CU1874" s="6"/>
      <c r="CV1874" s="6"/>
      <c r="CW1874" s="6"/>
      <c r="CX1874" s="6"/>
      <c r="CY1874" s="6"/>
      <c r="CZ1874" s="6"/>
      <c r="DA1874" s="6"/>
      <c r="DB1874" s="6"/>
      <c r="DC1874" s="6"/>
      <c r="DD1874" s="6"/>
    </row>
    <row r="1875" spans="1:108" ht="12.75" hidden="1" customHeight="1" outlineLevel="5">
      <c r="A1875" s="104" t="s">
        <v>251</v>
      </c>
      <c r="B1875" s="28">
        <f t="shared" si="97"/>
        <v>0</v>
      </c>
      <c r="C1875" s="11"/>
      <c r="D1875" s="18" t="str">
        <f>"&lt;" &amp; A1875 &amp; "&gt;" &amp; TEXT(B1875,0) &amp; "&lt;/" &amp; A1875 &amp; "&gt;"</f>
        <v>&lt;Divertor_On_Off&gt;0&lt;/Divertor_On_Off&gt;</v>
      </c>
      <c r="F1875" s="6"/>
      <c r="G1875" s="6"/>
      <c r="H1875" s="6"/>
      <c r="I1875" s="6"/>
      <c r="J1875" s="6"/>
      <c r="K1875" s="6"/>
      <c r="L1875" s="6"/>
      <c r="M1875" s="6"/>
      <c r="N1875" s="6"/>
      <c r="O1875" s="6"/>
      <c r="P1875" s="6"/>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c r="BU1875" s="6"/>
      <c r="BV1875" s="6"/>
      <c r="BW1875" s="6"/>
      <c r="BX1875" s="6"/>
      <c r="BY1875" s="6"/>
      <c r="BZ1875" s="6"/>
      <c r="CA1875" s="6"/>
      <c r="CB1875" s="6"/>
      <c r="CC1875" s="6"/>
      <c r="CD1875" s="6"/>
      <c r="CE1875" s="6"/>
      <c r="CF1875" s="6"/>
      <c r="CG1875" s="6"/>
      <c r="CH1875" s="6"/>
      <c r="CI1875" s="6"/>
      <c r="CJ1875" s="6"/>
      <c r="CK1875" s="6"/>
      <c r="CL1875" s="6"/>
      <c r="CM1875" s="6"/>
      <c r="CN1875" s="6"/>
      <c r="CO1875" s="6"/>
      <c r="CP1875" s="6"/>
      <c r="CQ1875" s="6"/>
      <c r="CR1875" s="6"/>
      <c r="CS1875" s="6"/>
      <c r="CT1875" s="6"/>
      <c r="CU1875" s="6"/>
      <c r="CV1875" s="6"/>
      <c r="CW1875" s="6"/>
      <c r="CX1875" s="6"/>
      <c r="CY1875" s="6"/>
      <c r="CZ1875" s="6"/>
      <c r="DA1875" s="6"/>
      <c r="DB1875" s="6"/>
      <c r="DC1875" s="6"/>
      <c r="DD1875" s="6"/>
    </row>
    <row r="1876" spans="1:108" ht="12.75" hidden="1" customHeight="1" outlineLevel="5">
      <c r="A1876" s="104" t="s">
        <v>252</v>
      </c>
      <c r="B1876" s="28">
        <f t="shared" si="97"/>
        <v>0.5</v>
      </c>
      <c r="C1876" s="11"/>
      <c r="D1876" s="18" t="str">
        <f>"&lt;" &amp; A1876 &amp; "&gt;" &amp; TEXT(B1876,"0.000000") &amp; "&lt;/" &amp; A1876 &amp; "&gt;"</f>
        <v>&lt;Divertor_Height&gt;0.500000&lt;/Divertor_Height&gt;</v>
      </c>
      <c r="F1876" s="6"/>
      <c r="G1876" s="6"/>
      <c r="H1876" s="6"/>
      <c r="I1876" s="6"/>
      <c r="J1876" s="6"/>
      <c r="K1876" s="6"/>
      <c r="L1876" s="6"/>
      <c r="M1876" s="6"/>
      <c r="N1876" s="6"/>
      <c r="O1876" s="6"/>
      <c r="P1876" s="6"/>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c r="BU1876" s="6"/>
      <c r="BV1876" s="6"/>
      <c r="BW1876" s="6"/>
      <c r="BX1876" s="6"/>
      <c r="BY1876" s="6"/>
      <c r="BZ1876" s="6"/>
      <c r="CA1876" s="6"/>
      <c r="CB1876" s="6"/>
      <c r="CC1876" s="6"/>
      <c r="CD1876" s="6"/>
      <c r="CE1876" s="6"/>
      <c r="CF1876" s="6"/>
      <c r="CG1876" s="6"/>
      <c r="CH1876" s="6"/>
      <c r="CI1876" s="6"/>
      <c r="CJ1876" s="6"/>
      <c r="CK1876" s="6"/>
      <c r="CL1876" s="6"/>
      <c r="CM1876" s="6"/>
      <c r="CN1876" s="6"/>
      <c r="CO1876" s="6"/>
      <c r="CP1876" s="6"/>
      <c r="CQ1876" s="6"/>
      <c r="CR1876" s="6"/>
      <c r="CS1876" s="6"/>
      <c r="CT1876" s="6"/>
      <c r="CU1876" s="6"/>
      <c r="CV1876" s="6"/>
      <c r="CW1876" s="6"/>
      <c r="CX1876" s="6"/>
      <c r="CY1876" s="6"/>
      <c r="CZ1876" s="6"/>
      <c r="DA1876" s="6"/>
      <c r="DB1876" s="6"/>
      <c r="DC1876" s="6"/>
      <c r="DD1876" s="6"/>
    </row>
    <row r="1877" spans="1:108" ht="12.75" hidden="1" customHeight="1" outlineLevel="5">
      <c r="A1877" s="104" t="s">
        <v>253</v>
      </c>
      <c r="B1877" s="28">
        <f t="shared" si="97"/>
        <v>1</v>
      </c>
      <c r="C1877" s="11"/>
      <c r="D1877" s="18" t="str">
        <f>"&lt;" &amp; A1877 &amp; "&gt;" &amp; TEXT(B1877,"0.000000") &amp; "&lt;/" &amp; A1877 &amp; "&gt;"</f>
        <v>&lt;Divertor_Length&gt;1.000000&lt;/Divertor_Length&gt;</v>
      </c>
      <c r="F1877" s="6"/>
      <c r="G1877" s="6"/>
      <c r="H1877" s="6"/>
      <c r="I1877" s="6"/>
      <c r="J1877" s="6"/>
      <c r="K1877" s="6"/>
      <c r="L1877" s="6"/>
      <c r="M1877" s="6"/>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c r="BU1877" s="6"/>
      <c r="BV1877" s="6"/>
      <c r="BW1877" s="6"/>
      <c r="BX1877" s="6"/>
      <c r="BY1877" s="6"/>
      <c r="BZ1877" s="6"/>
      <c r="CA1877" s="6"/>
      <c r="CB1877" s="6"/>
      <c r="CC1877" s="6"/>
      <c r="CD1877" s="6"/>
      <c r="CE1877" s="6"/>
      <c r="CF1877" s="6"/>
      <c r="CG1877" s="6"/>
      <c r="CH1877" s="6"/>
      <c r="CI1877" s="6"/>
      <c r="CJ1877" s="6"/>
      <c r="CK1877" s="6"/>
      <c r="CL1877" s="6"/>
      <c r="CM1877" s="6"/>
      <c r="CN1877" s="6"/>
      <c r="CO1877" s="6"/>
      <c r="CP1877" s="6"/>
      <c r="CQ1877" s="6"/>
      <c r="CR1877" s="6"/>
      <c r="CS1877" s="6"/>
      <c r="CT1877" s="6"/>
      <c r="CU1877" s="6"/>
      <c r="CV1877" s="6"/>
      <c r="CW1877" s="6"/>
      <c r="CX1877" s="6"/>
      <c r="CY1877" s="6"/>
      <c r="CZ1877" s="6"/>
      <c r="DA1877" s="6"/>
      <c r="DB1877" s="6"/>
      <c r="DC1877" s="6"/>
      <c r="DD1877" s="6"/>
    </row>
    <row r="1878" spans="1:108" ht="12.75" hidden="1" customHeight="1" outlineLevel="5">
      <c r="A1878" s="104" t="s">
        <v>254</v>
      </c>
      <c r="B1878" s="28">
        <f t="shared" si="97"/>
        <v>0</v>
      </c>
      <c r="C1878" s="11"/>
      <c r="D1878" s="18" t="str">
        <f>"&lt;" &amp; A1878 &amp; "&gt;" &amp; TEXT(B1878,0) &amp; "&lt;/" &amp; A1878 &amp; "&gt;"</f>
        <v>&lt;Nozzle_Type&gt;0&lt;/Nozzle_Type&gt;</v>
      </c>
      <c r="F1878" s="6"/>
      <c r="G1878" s="6"/>
      <c r="H1878" s="6"/>
      <c r="I1878" s="6"/>
      <c r="J1878" s="6"/>
      <c r="K1878" s="6"/>
      <c r="L1878" s="6"/>
      <c r="M1878" s="6"/>
      <c r="N1878" s="6"/>
      <c r="O1878" s="6"/>
      <c r="P1878" s="6"/>
      <c r="Q1878" s="6"/>
      <c r="R1878" s="6"/>
      <c r="S1878" s="6"/>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c r="BU1878" s="6"/>
      <c r="BV1878" s="6"/>
      <c r="BW1878" s="6"/>
      <c r="BX1878" s="6"/>
      <c r="BY1878" s="6"/>
      <c r="BZ1878" s="6"/>
      <c r="CA1878" s="6"/>
      <c r="CB1878" s="6"/>
      <c r="CC1878" s="6"/>
      <c r="CD1878" s="6"/>
      <c r="CE1878" s="6"/>
      <c r="CF1878" s="6"/>
      <c r="CG1878" s="6"/>
      <c r="CH1878" s="6"/>
      <c r="CI1878" s="6"/>
      <c r="CJ1878" s="6"/>
      <c r="CK1878" s="6"/>
      <c r="CL1878" s="6"/>
      <c r="CM1878" s="6"/>
      <c r="CN1878" s="6"/>
      <c r="CO1878" s="6"/>
      <c r="CP1878" s="6"/>
      <c r="CQ1878" s="6"/>
      <c r="CR1878" s="6"/>
      <c r="CS1878" s="6"/>
      <c r="CT1878" s="6"/>
      <c r="CU1878" s="6"/>
      <c r="CV1878" s="6"/>
      <c r="CW1878" s="6"/>
      <c r="CX1878" s="6"/>
      <c r="CY1878" s="6"/>
      <c r="CZ1878" s="6"/>
      <c r="DA1878" s="6"/>
      <c r="DB1878" s="6"/>
      <c r="DC1878" s="6"/>
      <c r="DD1878" s="6"/>
    </row>
    <row r="1879" spans="1:108" ht="12.75" hidden="1" customHeight="1" outlineLevel="5">
      <c r="A1879" s="104" t="s">
        <v>255</v>
      </c>
      <c r="B1879" s="94">
        <f t="shared" si="97"/>
        <v>7.2987836711348555</v>
      </c>
      <c r="C1879" s="11"/>
      <c r="D1879" s="18" t="str">
        <f>"&lt;" &amp; A1879 &amp; "&gt;" &amp; TEXT(B1879,"0.000000") &amp; "&lt;/" &amp; A1879 &amp; "&gt;"</f>
        <v>&lt;Nozzle_Length&gt;7.298784&lt;/Nozzle_Length&gt;</v>
      </c>
      <c r="F1879" s="6"/>
      <c r="G1879" s="6"/>
      <c r="H1879" s="6"/>
      <c r="I1879" s="6"/>
      <c r="J1879" s="6"/>
      <c r="K1879" s="6"/>
      <c r="L1879" s="6"/>
      <c r="M1879" s="6"/>
      <c r="N1879" s="6"/>
      <c r="O1879" s="6"/>
      <c r="P1879" s="6"/>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c r="BU1879" s="6"/>
      <c r="BV1879" s="6"/>
      <c r="BW1879" s="6"/>
      <c r="BX1879" s="6"/>
      <c r="BY1879" s="6"/>
      <c r="BZ1879" s="6"/>
      <c r="CA1879" s="6"/>
      <c r="CB1879" s="6"/>
      <c r="CC1879" s="6"/>
      <c r="CD1879" s="6"/>
      <c r="CE1879" s="6"/>
      <c r="CF1879" s="6"/>
      <c r="CG1879" s="6"/>
      <c r="CH1879" s="6"/>
      <c r="CI1879" s="6"/>
      <c r="CJ1879" s="6"/>
      <c r="CK1879" s="6"/>
      <c r="CL1879" s="6"/>
      <c r="CM1879" s="6"/>
      <c r="CN1879" s="6"/>
      <c r="CO1879" s="6"/>
      <c r="CP1879" s="6"/>
      <c r="CQ1879" s="6"/>
      <c r="CR1879" s="6"/>
      <c r="CS1879" s="6"/>
      <c r="CT1879" s="6"/>
      <c r="CU1879" s="6"/>
      <c r="CV1879" s="6"/>
      <c r="CW1879" s="6"/>
      <c r="CX1879" s="6"/>
      <c r="CY1879" s="6"/>
      <c r="CZ1879" s="6"/>
      <c r="DA1879" s="6"/>
      <c r="DB1879" s="6"/>
      <c r="DC1879" s="6"/>
      <c r="DD1879" s="6"/>
    </row>
    <row r="1880" spans="1:108" ht="12.75" hidden="1" customHeight="1" outlineLevel="5">
      <c r="A1880" s="104" t="s">
        <v>256</v>
      </c>
      <c r="B1880" s="28">
        <f t="shared" si="97"/>
        <v>3</v>
      </c>
      <c r="C1880" s="11"/>
      <c r="D1880" s="18" t="str">
        <f>"&lt;" &amp; A1880 &amp; "&gt;" &amp; TEXT(B1880,"0.000000") &amp; "&lt;/" &amp; A1880 &amp; "&gt;"</f>
        <v>&lt;Exit_Area_Ratio&gt;3.000000&lt;/Exit_Area_Ratio&gt;</v>
      </c>
      <c r="F1880" s="6"/>
      <c r="G1880" s="6"/>
      <c r="H1880" s="6"/>
      <c r="I1880" s="6"/>
      <c r="J1880" s="6"/>
      <c r="K1880" s="6"/>
      <c r="L1880" s="6"/>
      <c r="M1880" s="6"/>
      <c r="N1880" s="6"/>
      <c r="O1880" s="6"/>
      <c r="P1880" s="6"/>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c r="BU1880" s="6"/>
      <c r="BV1880" s="6"/>
      <c r="BW1880" s="6"/>
      <c r="BX1880" s="6"/>
      <c r="BY1880" s="6"/>
      <c r="BZ1880" s="6"/>
      <c r="CA1880" s="6"/>
      <c r="CB1880" s="6"/>
      <c r="CC1880" s="6"/>
      <c r="CD1880" s="6"/>
      <c r="CE1880" s="6"/>
      <c r="CF1880" s="6"/>
      <c r="CG1880" s="6"/>
      <c r="CH1880" s="6"/>
      <c r="CI1880" s="6"/>
      <c r="CJ1880" s="6"/>
      <c r="CK1880" s="6"/>
      <c r="CL1880" s="6"/>
      <c r="CM1880" s="6"/>
      <c r="CN1880" s="6"/>
      <c r="CO1880" s="6"/>
      <c r="CP1880" s="6"/>
      <c r="CQ1880" s="6"/>
      <c r="CR1880" s="6"/>
      <c r="CS1880" s="6"/>
      <c r="CT1880" s="6"/>
      <c r="CU1880" s="6"/>
      <c r="CV1880" s="6"/>
      <c r="CW1880" s="6"/>
      <c r="CX1880" s="6"/>
      <c r="CY1880" s="6"/>
      <c r="CZ1880" s="6"/>
      <c r="DA1880" s="6"/>
      <c r="DB1880" s="6"/>
      <c r="DC1880" s="6"/>
      <c r="DD1880" s="6"/>
    </row>
    <row r="1881" spans="1:108" ht="12.75" hidden="1" customHeight="1" outlineLevel="5">
      <c r="A1881" s="104" t="s">
        <v>257</v>
      </c>
      <c r="B1881" s="28">
        <f t="shared" si="97"/>
        <v>1</v>
      </c>
      <c r="C1881" s="11"/>
      <c r="D1881" s="18" t="str">
        <f>"&lt;" &amp; A1881 &amp; "&gt;" &amp; TEXT(B1881,"0.000000") &amp; "&lt;/" &amp; A1881 &amp; "&gt;"</f>
        <v>&lt;Nozzle_Height_Width_Ratio&gt;1.000000&lt;/Nozzle_Height_Width_Ratio&gt;</v>
      </c>
      <c r="F1881" s="6"/>
      <c r="G1881" s="6"/>
      <c r="H1881" s="6"/>
      <c r="I1881" s="6"/>
      <c r="J1881" s="6"/>
      <c r="K1881" s="6"/>
      <c r="L1881" s="6"/>
      <c r="M1881" s="6"/>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c r="BU1881" s="6"/>
      <c r="BV1881" s="6"/>
      <c r="BW1881" s="6"/>
      <c r="BX1881" s="6"/>
      <c r="BY1881" s="6"/>
      <c r="BZ1881" s="6"/>
      <c r="CA1881" s="6"/>
      <c r="CB1881" s="6"/>
      <c r="CC1881" s="6"/>
      <c r="CD1881" s="6"/>
      <c r="CE1881" s="6"/>
      <c r="CF1881" s="6"/>
      <c r="CG1881" s="6"/>
      <c r="CH1881" s="6"/>
      <c r="CI1881" s="6"/>
      <c r="CJ1881" s="6"/>
      <c r="CK1881" s="6"/>
      <c r="CL1881" s="6"/>
      <c r="CM1881" s="6"/>
      <c r="CN1881" s="6"/>
      <c r="CO1881" s="6"/>
      <c r="CP1881" s="6"/>
      <c r="CQ1881" s="6"/>
      <c r="CR1881" s="6"/>
      <c r="CS1881" s="6"/>
      <c r="CT1881" s="6"/>
      <c r="CU1881" s="6"/>
      <c r="CV1881" s="6"/>
      <c r="CW1881" s="6"/>
      <c r="CX1881" s="6"/>
      <c r="CY1881" s="6"/>
      <c r="CZ1881" s="6"/>
      <c r="DA1881" s="6"/>
      <c r="DB1881" s="6"/>
      <c r="DC1881" s="6"/>
      <c r="DD1881" s="6"/>
    </row>
    <row r="1882" spans="1:108" ht="12.75" hidden="1" customHeight="1" outlineLevel="5">
      <c r="A1882" s="104" t="s">
        <v>258</v>
      </c>
      <c r="B1882" s="28">
        <f t="shared" si="97"/>
        <v>1.5</v>
      </c>
      <c r="C1882" s="11"/>
      <c r="D1882" s="18" t="str">
        <f>"&lt;" &amp; A1882 &amp; "&gt;" &amp; TEXT(B1882,"0.000000") &amp; "&lt;/" &amp; A1882 &amp; "&gt;"</f>
        <v>&lt;Exit_Throat_Ratio&gt;1.500000&lt;/Exit_Throat_Ratio&gt;</v>
      </c>
      <c r="F1882" s="6"/>
      <c r="G1882" s="6"/>
      <c r="H1882" s="6"/>
      <c r="I1882" s="6"/>
      <c r="J1882" s="6"/>
      <c r="K1882" s="6"/>
      <c r="L1882" s="6"/>
      <c r="M1882" s="6"/>
      <c r="N1882" s="6"/>
      <c r="O1882" s="6"/>
      <c r="P1882" s="6"/>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c r="BU1882" s="6"/>
      <c r="BV1882" s="6"/>
      <c r="BW1882" s="6"/>
      <c r="BX1882" s="6"/>
      <c r="BY1882" s="6"/>
      <c r="BZ1882" s="6"/>
      <c r="CA1882" s="6"/>
      <c r="CB1882" s="6"/>
      <c r="CC1882" s="6"/>
      <c r="CD1882" s="6"/>
      <c r="CE1882" s="6"/>
      <c r="CF1882" s="6"/>
      <c r="CG1882" s="6"/>
      <c r="CH1882" s="6"/>
      <c r="CI1882" s="6"/>
      <c r="CJ1882" s="6"/>
      <c r="CK1882" s="6"/>
      <c r="CL1882" s="6"/>
      <c r="CM1882" s="6"/>
      <c r="CN1882" s="6"/>
      <c r="CO1882" s="6"/>
      <c r="CP1882" s="6"/>
      <c r="CQ1882" s="6"/>
      <c r="CR1882" s="6"/>
      <c r="CS1882" s="6"/>
      <c r="CT1882" s="6"/>
      <c r="CU1882" s="6"/>
      <c r="CV1882" s="6"/>
      <c r="CW1882" s="6"/>
      <c r="CX1882" s="6"/>
      <c r="CY1882" s="6"/>
      <c r="CZ1882" s="6"/>
      <c r="DA1882" s="6"/>
      <c r="DB1882" s="6"/>
      <c r="DC1882" s="6"/>
      <c r="DD1882" s="6"/>
    </row>
    <row r="1883" spans="1:108" ht="12.75" hidden="1" customHeight="1" outlineLevel="5">
      <c r="A1883" s="104" t="s">
        <v>259</v>
      </c>
      <c r="B1883" s="28">
        <f t="shared" si="97"/>
        <v>1</v>
      </c>
      <c r="C1883" s="11"/>
      <c r="D1883" s="18" t="str">
        <f>"&lt;" &amp; A1883 &amp; "&gt;" &amp; TEXT(B1883,"0.000000") &amp; "&lt;/" &amp; A1883 &amp; "&gt;"</f>
        <v>&lt;Dive_Flap_Ratio&gt;1.000000&lt;/Dive_Flap_Ratio&gt;</v>
      </c>
      <c r="F1883" s="6"/>
      <c r="G1883" s="6"/>
      <c r="H1883" s="6"/>
      <c r="I1883" s="6"/>
      <c r="J1883" s="6"/>
      <c r="K1883" s="6"/>
      <c r="L1883" s="6"/>
      <c r="M1883" s="6"/>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c r="BU1883" s="6"/>
      <c r="BV1883" s="6"/>
      <c r="BW1883" s="6"/>
      <c r="BX1883" s="6"/>
      <c r="BY1883" s="6"/>
      <c r="BZ1883" s="6"/>
      <c r="CA1883" s="6"/>
      <c r="CB1883" s="6"/>
      <c r="CC1883" s="6"/>
      <c r="CD1883" s="6"/>
      <c r="CE1883" s="6"/>
      <c r="CF1883" s="6"/>
      <c r="CG1883" s="6"/>
      <c r="CH1883" s="6"/>
      <c r="CI1883" s="6"/>
      <c r="CJ1883" s="6"/>
      <c r="CK1883" s="6"/>
      <c r="CL1883" s="6"/>
      <c r="CM1883" s="6"/>
      <c r="CN1883" s="6"/>
      <c r="CO1883" s="6"/>
      <c r="CP1883" s="6"/>
      <c r="CQ1883" s="6"/>
      <c r="CR1883" s="6"/>
      <c r="CS1883" s="6"/>
      <c r="CT1883" s="6"/>
      <c r="CU1883" s="6"/>
      <c r="CV1883" s="6"/>
      <c r="CW1883" s="6"/>
      <c r="CX1883" s="6"/>
      <c r="CY1883" s="6"/>
      <c r="CZ1883" s="6"/>
      <c r="DA1883" s="6"/>
      <c r="DB1883" s="6"/>
      <c r="DC1883" s="6"/>
      <c r="DD1883" s="6"/>
    </row>
    <row r="1884" spans="1:108" ht="12.75" hidden="1" customHeight="1" outlineLevel="5">
      <c r="A1884" s="104" t="s">
        <v>260</v>
      </c>
      <c r="B1884" s="28">
        <f t="shared" si="97"/>
        <v>0</v>
      </c>
      <c r="C1884" s="11"/>
      <c r="D1884" s="18" t="str">
        <f>"&lt;" &amp; A1884 &amp; "&gt;" &amp; TEXT(B1884,0) &amp; "&lt;/" &amp; A1884 &amp; "&gt;"</f>
        <v>&lt;Nozzle_Duct_On_Off&gt;0&lt;/Nozzle_Duct_On_Off&gt;</v>
      </c>
      <c r="F1884" s="6"/>
      <c r="G1884" s="6"/>
      <c r="H1884" s="6"/>
      <c r="I1884" s="6"/>
      <c r="J1884" s="6"/>
      <c r="K1884" s="6"/>
      <c r="L1884" s="6"/>
      <c r="M1884" s="6"/>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c r="BU1884" s="6"/>
      <c r="BV1884" s="6"/>
      <c r="BW1884" s="6"/>
      <c r="BX1884" s="6"/>
      <c r="BY1884" s="6"/>
      <c r="BZ1884" s="6"/>
      <c r="CA1884" s="6"/>
      <c r="CB1884" s="6"/>
      <c r="CC1884" s="6"/>
      <c r="CD1884" s="6"/>
      <c r="CE1884" s="6"/>
      <c r="CF1884" s="6"/>
      <c r="CG1884" s="6"/>
      <c r="CH1884" s="6"/>
      <c r="CI1884" s="6"/>
      <c r="CJ1884" s="6"/>
      <c r="CK1884" s="6"/>
      <c r="CL1884" s="6"/>
      <c r="CM1884" s="6"/>
      <c r="CN1884" s="6"/>
      <c r="CO1884" s="6"/>
      <c r="CP1884" s="6"/>
      <c r="CQ1884" s="6"/>
      <c r="CR1884" s="6"/>
      <c r="CS1884" s="6"/>
      <c r="CT1884" s="6"/>
      <c r="CU1884" s="6"/>
      <c r="CV1884" s="6"/>
      <c r="CW1884" s="6"/>
      <c r="CX1884" s="6"/>
      <c r="CY1884" s="6"/>
      <c r="CZ1884" s="6"/>
      <c r="DA1884" s="6"/>
      <c r="DB1884" s="6"/>
      <c r="DC1884" s="6"/>
      <c r="DD1884" s="6"/>
    </row>
    <row r="1885" spans="1:108" ht="12.75" hidden="1" customHeight="1" outlineLevel="5">
      <c r="A1885" s="104" t="s">
        <v>261</v>
      </c>
      <c r="B1885" s="28">
        <f t="shared" si="97"/>
        <v>1</v>
      </c>
      <c r="C1885" s="11"/>
      <c r="D1885" s="18" t="str">
        <f>"&lt;" &amp; A1885 &amp; "&gt;" &amp; TEXT(B1885,"0.000000") &amp; "&lt;/" &amp; A1885 &amp; "&gt;"</f>
        <v>&lt;Nozzle_Duct_X_Offset&gt;1.000000&lt;/Nozzle_Duct_X_Offset&gt;</v>
      </c>
      <c r="F1885" s="6"/>
      <c r="G1885" s="6"/>
      <c r="H1885" s="6"/>
      <c r="I1885" s="6"/>
      <c r="J1885" s="6"/>
      <c r="K1885" s="6"/>
      <c r="L1885" s="6"/>
      <c r="M1885" s="6"/>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c r="BU1885" s="6"/>
      <c r="BV1885" s="6"/>
      <c r="BW1885" s="6"/>
      <c r="BX1885" s="6"/>
      <c r="BY1885" s="6"/>
      <c r="BZ1885" s="6"/>
      <c r="CA1885" s="6"/>
      <c r="CB1885" s="6"/>
      <c r="CC1885" s="6"/>
      <c r="CD1885" s="6"/>
      <c r="CE1885" s="6"/>
      <c r="CF1885" s="6"/>
      <c r="CG1885" s="6"/>
      <c r="CH1885" s="6"/>
      <c r="CI1885" s="6"/>
      <c r="CJ1885" s="6"/>
      <c r="CK1885" s="6"/>
      <c r="CL1885" s="6"/>
      <c r="CM1885" s="6"/>
      <c r="CN1885" s="6"/>
      <c r="CO1885" s="6"/>
      <c r="CP1885" s="6"/>
      <c r="CQ1885" s="6"/>
      <c r="CR1885" s="6"/>
      <c r="CS1885" s="6"/>
      <c r="CT1885" s="6"/>
      <c r="CU1885" s="6"/>
      <c r="CV1885" s="6"/>
      <c r="CW1885" s="6"/>
      <c r="CX1885" s="6"/>
      <c r="CY1885" s="6"/>
      <c r="CZ1885" s="6"/>
      <c r="DA1885" s="6"/>
      <c r="DB1885" s="6"/>
      <c r="DC1885" s="6"/>
      <c r="DD1885" s="6"/>
    </row>
    <row r="1886" spans="1:108" ht="12.75" hidden="1" customHeight="1" outlineLevel="5">
      <c r="A1886" s="104" t="s">
        <v>262</v>
      </c>
      <c r="B1886" s="28">
        <f t="shared" si="97"/>
        <v>0</v>
      </c>
      <c r="C1886" s="11"/>
      <c r="D1886" s="18" t="str">
        <f>"&lt;" &amp; A1886 &amp; "&gt;" &amp; TEXT(B1886,"0.000000") &amp; "&lt;/" &amp; A1886 &amp; "&gt;"</f>
        <v>&lt;Nozzle_Duct_Y_Offset&gt;0.000000&lt;/Nozzle_Duct_Y_Offset&gt;</v>
      </c>
      <c r="F1886" s="6"/>
      <c r="G1886" s="6"/>
      <c r="H1886" s="6"/>
      <c r="I1886" s="6"/>
      <c r="J1886" s="6"/>
      <c r="K1886" s="6"/>
      <c r="L1886" s="6"/>
      <c r="M1886" s="6"/>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c r="BU1886" s="6"/>
      <c r="BV1886" s="6"/>
      <c r="BW1886" s="6"/>
      <c r="BX1886" s="6"/>
      <c r="BY1886" s="6"/>
      <c r="BZ1886" s="6"/>
      <c r="CA1886" s="6"/>
      <c r="CB1886" s="6"/>
      <c r="CC1886" s="6"/>
      <c r="CD1886" s="6"/>
      <c r="CE1886" s="6"/>
      <c r="CF1886" s="6"/>
      <c r="CG1886" s="6"/>
      <c r="CH1886" s="6"/>
      <c r="CI1886" s="6"/>
      <c r="CJ1886" s="6"/>
      <c r="CK1886" s="6"/>
      <c r="CL1886" s="6"/>
      <c r="CM1886" s="6"/>
      <c r="CN1886" s="6"/>
      <c r="CO1886" s="6"/>
      <c r="CP1886" s="6"/>
      <c r="CQ1886" s="6"/>
      <c r="CR1886" s="6"/>
      <c r="CS1886" s="6"/>
      <c r="CT1886" s="6"/>
      <c r="CU1886" s="6"/>
      <c r="CV1886" s="6"/>
      <c r="CW1886" s="6"/>
      <c r="CX1886" s="6"/>
      <c r="CY1886" s="6"/>
      <c r="CZ1886" s="6"/>
      <c r="DA1886" s="6"/>
      <c r="DB1886" s="6"/>
      <c r="DC1886" s="6"/>
      <c r="DD1886" s="6"/>
    </row>
    <row r="1887" spans="1:108" ht="12.75" hidden="1" customHeight="1" outlineLevel="5">
      <c r="A1887" s="104" t="s">
        <v>263</v>
      </c>
      <c r="B1887" s="28">
        <f t="shared" si="97"/>
        <v>0</v>
      </c>
      <c r="C1887" s="11"/>
      <c r="D1887" s="18" t="str">
        <f>"&lt;" &amp; A1887 &amp; "&gt;" &amp; TEXT(B1887,"0.000000") &amp; "&lt;/" &amp; A1887 &amp; "&gt;"</f>
        <v>&lt;Nozzle_Duct_Shape_Factor&gt;0.000000&lt;/Nozzle_Duct_Shape_Factor&gt;</v>
      </c>
      <c r="F1887" s="6"/>
      <c r="G1887" s="6"/>
      <c r="H1887" s="6"/>
      <c r="I1887" s="6"/>
      <c r="J1887" s="6"/>
      <c r="K1887" s="6"/>
      <c r="L1887" s="6"/>
      <c r="M1887" s="6"/>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c r="BU1887" s="6"/>
      <c r="BV1887" s="6"/>
      <c r="BW1887" s="6"/>
      <c r="BX1887" s="6"/>
      <c r="BY1887" s="6"/>
      <c r="BZ1887" s="6"/>
      <c r="CA1887" s="6"/>
      <c r="CB1887" s="6"/>
      <c r="CC1887" s="6"/>
      <c r="CD1887" s="6"/>
      <c r="CE1887" s="6"/>
      <c r="CF1887" s="6"/>
      <c r="CG1887" s="6"/>
      <c r="CH1887" s="6"/>
      <c r="CI1887" s="6"/>
      <c r="CJ1887" s="6"/>
      <c r="CK1887" s="6"/>
      <c r="CL1887" s="6"/>
      <c r="CM1887" s="6"/>
      <c r="CN1887" s="6"/>
      <c r="CO1887" s="6"/>
      <c r="CP1887" s="6"/>
      <c r="CQ1887" s="6"/>
      <c r="CR1887" s="6"/>
      <c r="CS1887" s="6"/>
      <c r="CT1887" s="6"/>
      <c r="CU1887" s="6"/>
      <c r="CV1887" s="6"/>
      <c r="CW1887" s="6"/>
      <c r="CX1887" s="6"/>
      <c r="CY1887" s="6"/>
      <c r="CZ1887" s="6"/>
      <c r="DA1887" s="6"/>
      <c r="DB1887" s="6"/>
      <c r="DC1887" s="6"/>
      <c r="DD1887" s="6"/>
    </row>
    <row r="1888" spans="1:108" ht="12.75" hidden="1" customHeight="1" outlineLevel="5">
      <c r="A1888" s="104" t="s">
        <v>264</v>
      </c>
      <c r="B1888" s="100"/>
      <c r="C1888" s="11"/>
      <c r="D1888" s="6" t="str">
        <f>"&lt;" &amp; A1888 &amp; "&gt;"</f>
        <v>&lt;/Engine_Parms&gt;</v>
      </c>
      <c r="F1888" s="6"/>
      <c r="G1888" s="6"/>
      <c r="H1888" s="6"/>
      <c r="I1888" s="6"/>
      <c r="J1888" s="6"/>
      <c r="K1888" s="6"/>
      <c r="L1888" s="6"/>
      <c r="M1888" s="6"/>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c r="BU1888" s="6"/>
      <c r="BV1888" s="6"/>
      <c r="BW1888" s="6"/>
      <c r="BX1888" s="6"/>
      <c r="BY1888" s="6"/>
      <c r="BZ1888" s="6"/>
      <c r="CA1888" s="6"/>
      <c r="CB1888" s="6"/>
      <c r="CC1888" s="6"/>
      <c r="CD1888" s="6"/>
      <c r="CE1888" s="6"/>
      <c r="CF1888" s="6"/>
      <c r="CG1888" s="6"/>
      <c r="CH1888" s="6"/>
      <c r="CI1888" s="6"/>
      <c r="CJ1888" s="6"/>
      <c r="CK1888" s="6"/>
      <c r="CL1888" s="6"/>
      <c r="CM1888" s="6"/>
      <c r="CN1888" s="6"/>
      <c r="CO1888" s="6"/>
      <c r="CP1888" s="6"/>
      <c r="CQ1888" s="6"/>
      <c r="CR1888" s="6"/>
      <c r="CS1888" s="6"/>
      <c r="CT1888" s="6"/>
      <c r="CU1888" s="6"/>
      <c r="CV1888" s="6"/>
      <c r="CW1888" s="6"/>
      <c r="CX1888" s="6"/>
      <c r="CY1888" s="6"/>
      <c r="CZ1888" s="6"/>
      <c r="DA1888" s="6"/>
      <c r="DB1888" s="6"/>
      <c r="DC1888" s="6"/>
      <c r="DD1888" s="6"/>
    </row>
    <row r="1889" spans="1:108" ht="12.75" hidden="1" customHeight="1" outlineLevel="4">
      <c r="A1889" s="104" t="s">
        <v>138</v>
      </c>
      <c r="B1889" s="100"/>
      <c r="C1889" s="11"/>
      <c r="D1889" s="6" t="str">
        <f>"&lt;" &amp; A1889 &amp; "&gt;"</f>
        <v>&lt;/Component&gt;</v>
      </c>
      <c r="F1889" s="6"/>
      <c r="G1889" s="6"/>
      <c r="H1889" s="6"/>
      <c r="I1889" s="6"/>
      <c r="J1889" s="6"/>
      <c r="K1889" s="6"/>
      <c r="L1889" s="6"/>
      <c r="M1889" s="6"/>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c r="BU1889" s="6"/>
      <c r="BV1889" s="6"/>
      <c r="BW1889" s="6"/>
      <c r="BX1889" s="6"/>
      <c r="BY1889" s="6"/>
      <c r="BZ1889" s="6"/>
      <c r="CA1889" s="6"/>
      <c r="CB1889" s="6"/>
      <c r="CC1889" s="6"/>
      <c r="CD1889" s="6"/>
      <c r="CE1889" s="6"/>
      <c r="CF1889" s="6"/>
      <c r="CG1889" s="6"/>
      <c r="CH1889" s="6"/>
      <c r="CI1889" s="6"/>
      <c r="CJ1889" s="6"/>
      <c r="CK1889" s="6"/>
      <c r="CL1889" s="6"/>
      <c r="CM1889" s="6"/>
      <c r="CN1889" s="6"/>
      <c r="CO1889" s="6"/>
      <c r="CP1889" s="6"/>
      <c r="CQ1889" s="6"/>
      <c r="CR1889" s="6"/>
      <c r="CS1889" s="6"/>
      <c r="CT1889" s="6"/>
      <c r="CU1889" s="6"/>
      <c r="CV1889" s="6"/>
      <c r="CW1889" s="6"/>
      <c r="CX1889" s="6"/>
      <c r="CY1889" s="6"/>
      <c r="CZ1889" s="6"/>
      <c r="DA1889" s="6"/>
      <c r="DB1889" s="6"/>
      <c r="DC1889" s="6"/>
      <c r="DD1889" s="6"/>
    </row>
    <row r="1890" spans="1:108" ht="12.75" hidden="1" customHeight="1" outlineLevel="3" collapsed="1">
      <c r="A1890" s="104" t="s">
        <v>40</v>
      </c>
      <c r="B1890" s="110" t="s">
        <v>367</v>
      </c>
      <c r="C1890" s="27" t="str">
        <f>IF(Input!D27&gt;=2,IF(Input!$D$26="Jet","No","Yes"),"Yes")</f>
        <v>No</v>
      </c>
      <c r="D1890" s="6" t="str">
        <f>IF(C1890="Yes",("&lt;"&amp;A1890&amp;"&gt;"),("&lt;!--"&amp;A1890&amp;"&gt;"))</f>
        <v>&lt;!--Component&gt;</v>
      </c>
      <c r="F1890" s="6"/>
      <c r="G1890" s="6"/>
      <c r="H1890" s="6"/>
      <c r="I1890" s="6"/>
      <c r="J1890" s="6"/>
      <c r="K1890" s="6"/>
      <c r="L1890" s="6"/>
      <c r="M1890" s="6"/>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c r="BU1890" s="6"/>
      <c r="BV1890" s="6"/>
      <c r="BW1890" s="6"/>
      <c r="BX1890" s="6"/>
      <c r="BY1890" s="6"/>
      <c r="BZ1890" s="6"/>
      <c r="CA1890" s="6"/>
      <c r="CB1890" s="6"/>
      <c r="CC1890" s="6"/>
      <c r="CD1890" s="6"/>
      <c r="CE1890" s="6"/>
      <c r="CF1890" s="6"/>
      <c r="CG1890" s="6"/>
      <c r="CH1890" s="6"/>
      <c r="CI1890" s="6"/>
      <c r="CJ1890" s="6"/>
      <c r="CK1890" s="6"/>
      <c r="CL1890" s="6"/>
      <c r="CM1890" s="6"/>
      <c r="CN1890" s="6"/>
      <c r="CO1890" s="6"/>
      <c r="CP1890" s="6"/>
      <c r="CQ1890" s="6"/>
      <c r="CR1890" s="6"/>
      <c r="CS1890" s="6"/>
      <c r="CT1890" s="6"/>
      <c r="CU1890" s="6"/>
      <c r="CV1890" s="6"/>
      <c r="CW1890" s="6"/>
      <c r="CX1890" s="6"/>
      <c r="CY1890" s="6"/>
      <c r="CZ1890" s="6"/>
      <c r="DA1890" s="6"/>
      <c r="DB1890" s="6"/>
      <c r="DC1890" s="6"/>
      <c r="DD1890" s="6"/>
    </row>
    <row r="1891" spans="1:108" ht="12.75" hidden="1" customHeight="1" outlineLevel="4">
      <c r="A1891" s="104" t="s">
        <v>14</v>
      </c>
      <c r="B1891" s="100" t="s">
        <v>294</v>
      </c>
      <c r="C1891" s="11"/>
      <c r="D1891" s="18" t="str">
        <f>"&lt;" &amp; A1891 &amp; "&gt;" &amp; TEXT(B1891,"0.000000") &amp; "&lt;/" &amp; A1891 &amp; "&gt;"</f>
        <v>&lt;Type&gt;Prop&lt;/Type&gt;</v>
      </c>
      <c r="F1891" s="6"/>
      <c r="G1891" s="6"/>
      <c r="H1891" s="6"/>
      <c r="I1891" s="6"/>
      <c r="J1891" s="6"/>
      <c r="K1891" s="6"/>
      <c r="L1891" s="6"/>
      <c r="M1891" s="6"/>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c r="BU1891" s="6"/>
      <c r="BV1891" s="6"/>
      <c r="BW1891" s="6"/>
      <c r="BX1891" s="6"/>
      <c r="BY1891" s="6"/>
      <c r="BZ1891" s="6"/>
      <c r="CA1891" s="6"/>
      <c r="CB1891" s="6"/>
      <c r="CC1891" s="6"/>
      <c r="CD1891" s="6"/>
      <c r="CE1891" s="6"/>
      <c r="CF1891" s="6"/>
      <c r="CG1891" s="6"/>
      <c r="CH1891" s="6"/>
      <c r="CI1891" s="6"/>
      <c r="CJ1891" s="6"/>
      <c r="CK1891" s="6"/>
      <c r="CL1891" s="6"/>
      <c r="CM1891" s="6"/>
      <c r="CN1891" s="6"/>
      <c r="CO1891" s="6"/>
      <c r="CP1891" s="6"/>
      <c r="CQ1891" s="6"/>
      <c r="CR1891" s="6"/>
      <c r="CS1891" s="6"/>
      <c r="CT1891" s="6"/>
      <c r="CU1891" s="6"/>
      <c r="CV1891" s="6"/>
      <c r="CW1891" s="6"/>
      <c r="CX1891" s="6"/>
      <c r="CY1891" s="6"/>
      <c r="CZ1891" s="6"/>
      <c r="DA1891" s="6"/>
      <c r="DB1891" s="6"/>
      <c r="DC1891" s="6"/>
      <c r="DD1891" s="6"/>
    </row>
    <row r="1892" spans="1:108" ht="12.75" hidden="1" customHeight="1" outlineLevel="4" collapsed="1">
      <c r="A1892" s="104" t="s">
        <v>42</v>
      </c>
      <c r="B1892" s="100"/>
      <c r="C1892" s="11"/>
      <c r="D1892" s="6" t="str">
        <f>"&lt;" &amp; A1892 &amp; "&gt;"</f>
        <v>&lt;General_Parms&gt;</v>
      </c>
      <c r="F1892" s="6"/>
      <c r="G1892" s="6"/>
      <c r="H1892" s="6"/>
      <c r="I1892" s="6"/>
      <c r="J1892" s="6"/>
      <c r="K1892" s="6"/>
      <c r="L1892" s="6"/>
      <c r="M1892" s="6"/>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c r="BU1892" s="6"/>
      <c r="BV1892" s="6"/>
      <c r="BW1892" s="6"/>
      <c r="BX1892" s="6"/>
      <c r="BY1892" s="6"/>
      <c r="BZ1892" s="6"/>
      <c r="CA1892" s="6"/>
      <c r="CB1892" s="6"/>
      <c r="CC1892" s="6"/>
      <c r="CD1892" s="6"/>
      <c r="CE1892" s="6"/>
      <c r="CF1892" s="6"/>
      <c r="CG1892" s="6"/>
      <c r="CH1892" s="6"/>
      <c r="CI1892" s="6"/>
      <c r="CJ1892" s="6"/>
      <c r="CK1892" s="6"/>
      <c r="CL1892" s="6"/>
      <c r="CM1892" s="6"/>
      <c r="CN1892" s="6"/>
      <c r="CO1892" s="6"/>
      <c r="CP1892" s="6"/>
      <c r="CQ1892" s="6"/>
      <c r="CR1892" s="6"/>
      <c r="CS1892" s="6"/>
      <c r="CT1892" s="6"/>
      <c r="CU1892" s="6"/>
      <c r="CV1892" s="6"/>
      <c r="CW1892" s="6"/>
      <c r="CX1892" s="6"/>
      <c r="CY1892" s="6"/>
      <c r="CZ1892" s="6"/>
      <c r="DA1892" s="6"/>
      <c r="DB1892" s="6"/>
      <c r="DC1892" s="6"/>
      <c r="DD1892" s="6"/>
    </row>
    <row r="1893" spans="1:108" ht="12.75" hidden="1" customHeight="1" outlineLevel="5">
      <c r="A1893" s="104" t="s">
        <v>1</v>
      </c>
      <c r="B1893" s="28" t="str">
        <f t="shared" ref="B1893:B1936" si="99">B1360</f>
        <v>Rotor</v>
      </c>
      <c r="C1893" s="11"/>
      <c r="D1893" s="18" t="str">
        <f>"&lt;" &amp; A1893 &amp; "&gt;" &amp; TEXT(B1893,"0.000000") &amp; "&lt;/" &amp; A1893 &amp; "&gt;"</f>
        <v>&lt;Name&gt;Rotor&lt;/Name&gt;</v>
      </c>
      <c r="F1893" s="6"/>
      <c r="G1893" s="6"/>
      <c r="H1893" s="6"/>
      <c r="I1893" s="6"/>
      <c r="J1893" s="6"/>
      <c r="K1893" s="6"/>
      <c r="L1893" s="6"/>
      <c r="M1893" s="6"/>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c r="BU1893" s="6"/>
      <c r="BV1893" s="6"/>
      <c r="BW1893" s="6"/>
      <c r="BX1893" s="6"/>
      <c r="BY1893" s="6"/>
      <c r="BZ1893" s="6"/>
      <c r="CA1893" s="6"/>
      <c r="CB1893" s="6"/>
      <c r="CC1893" s="6"/>
      <c r="CD1893" s="6"/>
      <c r="CE1893" s="6"/>
      <c r="CF1893" s="6"/>
      <c r="CG1893" s="6"/>
      <c r="CH1893" s="6"/>
      <c r="CI1893" s="6"/>
      <c r="CJ1893" s="6"/>
      <c r="CK1893" s="6"/>
      <c r="CL1893" s="6"/>
      <c r="CM1893" s="6"/>
      <c r="CN1893" s="6"/>
      <c r="CO1893" s="6"/>
      <c r="CP1893" s="6"/>
      <c r="CQ1893" s="6"/>
      <c r="CR1893" s="6"/>
      <c r="CS1893" s="6"/>
      <c r="CT1893" s="6"/>
      <c r="CU1893" s="6"/>
      <c r="CV1893" s="6"/>
      <c r="CW1893" s="6"/>
      <c r="CX1893" s="6"/>
      <c r="CY1893" s="6"/>
      <c r="CZ1893" s="6"/>
      <c r="DA1893" s="6"/>
      <c r="DB1893" s="6"/>
      <c r="DC1893" s="6"/>
      <c r="DD1893" s="6"/>
    </row>
    <row r="1894" spans="1:108" ht="12.75" hidden="1" customHeight="1" outlineLevel="5">
      <c r="A1894" s="104" t="s">
        <v>43</v>
      </c>
      <c r="B1894" s="28">
        <f t="shared" si="99"/>
        <v>127</v>
      </c>
      <c r="C1894" s="11"/>
      <c r="D1894" s="18" t="str">
        <f>"&lt;" &amp; A1894 &amp; "&gt;" &amp; TEXT(B1894,"0.000000") &amp; "&lt;/" &amp; A1894 &amp; "&gt;"</f>
        <v>&lt;ColorR&gt;127.000000&lt;/ColorR&gt;</v>
      </c>
      <c r="F1894" s="6"/>
      <c r="G1894" s="6"/>
      <c r="H1894" s="6"/>
      <c r="I1894" s="6"/>
      <c r="J1894" s="6"/>
      <c r="K1894" s="6"/>
      <c r="L1894" s="6"/>
      <c r="M1894" s="6"/>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c r="BU1894" s="6"/>
      <c r="BV1894" s="6"/>
      <c r="BW1894" s="6"/>
      <c r="BX1894" s="6"/>
      <c r="BY1894" s="6"/>
      <c r="BZ1894" s="6"/>
      <c r="CA1894" s="6"/>
      <c r="CB1894" s="6"/>
      <c r="CC1894" s="6"/>
      <c r="CD1894" s="6"/>
      <c r="CE1894" s="6"/>
      <c r="CF1894" s="6"/>
      <c r="CG1894" s="6"/>
      <c r="CH1894" s="6"/>
      <c r="CI1894" s="6"/>
      <c r="CJ1894" s="6"/>
      <c r="CK1894" s="6"/>
      <c r="CL1894" s="6"/>
      <c r="CM1894" s="6"/>
      <c r="CN1894" s="6"/>
      <c r="CO1894" s="6"/>
      <c r="CP1894" s="6"/>
      <c r="CQ1894" s="6"/>
      <c r="CR1894" s="6"/>
      <c r="CS1894" s="6"/>
      <c r="CT1894" s="6"/>
      <c r="CU1894" s="6"/>
      <c r="CV1894" s="6"/>
      <c r="CW1894" s="6"/>
      <c r="CX1894" s="6"/>
      <c r="CY1894" s="6"/>
      <c r="CZ1894" s="6"/>
      <c r="DA1894" s="6"/>
      <c r="DB1894" s="6"/>
      <c r="DC1894" s="6"/>
      <c r="DD1894" s="6"/>
    </row>
    <row r="1895" spans="1:108" ht="12.75" hidden="1" customHeight="1" outlineLevel="5">
      <c r="A1895" s="104" t="s">
        <v>44</v>
      </c>
      <c r="B1895" s="28">
        <f t="shared" si="99"/>
        <v>127</v>
      </c>
      <c r="C1895" s="11"/>
      <c r="D1895" s="18" t="str">
        <f>"&lt;" &amp; A1895 &amp; "&gt;" &amp; TEXT(B1895,"0.000000") &amp; "&lt;/" &amp; A1895 &amp; "&gt;"</f>
        <v>&lt;ColorG&gt;127.000000&lt;/ColorG&gt;</v>
      </c>
      <c r="F1895" s="6"/>
      <c r="G1895" s="6"/>
      <c r="H1895" s="6"/>
      <c r="I1895" s="6"/>
      <c r="J1895" s="6"/>
      <c r="K1895" s="6"/>
      <c r="L1895" s="6"/>
      <c r="M1895" s="6"/>
      <c r="N1895" s="6" t="s">
        <v>295</v>
      </c>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c r="BU1895" s="6"/>
      <c r="BV1895" s="6"/>
      <c r="BW1895" s="6"/>
      <c r="BX1895" s="6"/>
      <c r="BY1895" s="6"/>
      <c r="BZ1895" s="6"/>
      <c r="CA1895" s="6"/>
      <c r="CB1895" s="6"/>
      <c r="CC1895" s="6"/>
      <c r="CD1895" s="6"/>
      <c r="CE1895" s="6"/>
      <c r="CF1895" s="6"/>
      <c r="CG1895" s="6"/>
      <c r="CH1895" s="6"/>
      <c r="CI1895" s="6"/>
      <c r="CJ1895" s="6"/>
      <c r="CK1895" s="6"/>
      <c r="CL1895" s="6"/>
      <c r="CM1895" s="6"/>
      <c r="CN1895" s="6"/>
      <c r="CO1895" s="6"/>
      <c r="CP1895" s="6"/>
      <c r="CQ1895" s="6"/>
      <c r="CR1895" s="6"/>
      <c r="CS1895" s="6"/>
      <c r="CT1895" s="6"/>
      <c r="CU1895" s="6"/>
      <c r="CV1895" s="6"/>
      <c r="CW1895" s="6"/>
      <c r="CX1895" s="6"/>
      <c r="CY1895" s="6"/>
      <c r="CZ1895" s="6"/>
      <c r="DA1895" s="6"/>
      <c r="DB1895" s="6"/>
      <c r="DC1895" s="6"/>
      <c r="DD1895" s="6"/>
    </row>
    <row r="1896" spans="1:108" ht="12.75" hidden="1" customHeight="1" outlineLevel="5">
      <c r="A1896" s="104" t="s">
        <v>45</v>
      </c>
      <c r="B1896" s="28">
        <f t="shared" si="99"/>
        <v>127</v>
      </c>
      <c r="C1896" s="11"/>
      <c r="D1896" s="18" t="str">
        <f>"&lt;" &amp; A1896 &amp; "&gt;" &amp; TEXT(B1896,"0.000000") &amp; "&lt;/" &amp; A1896 &amp; "&gt;"</f>
        <v>&lt;ColorB&gt;127.000000&lt;/ColorB&gt;</v>
      </c>
      <c r="F1896" s="6"/>
      <c r="G1896" s="6"/>
      <c r="H1896" s="6"/>
      <c r="I1896" s="6"/>
      <c r="J1896" s="6"/>
      <c r="K1896" s="6"/>
      <c r="L1896" s="6"/>
      <c r="M1896" s="6"/>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c r="BU1896" s="6"/>
      <c r="BV1896" s="6"/>
      <c r="BW1896" s="6"/>
      <c r="BX1896" s="6"/>
      <c r="BY1896" s="6"/>
      <c r="BZ1896" s="6"/>
      <c r="CA1896" s="6"/>
      <c r="CB1896" s="6"/>
      <c r="CC1896" s="6"/>
      <c r="CD1896" s="6"/>
      <c r="CE1896" s="6"/>
      <c r="CF1896" s="6"/>
      <c r="CG1896" s="6"/>
      <c r="CH1896" s="6"/>
      <c r="CI1896" s="6"/>
      <c r="CJ1896" s="6"/>
      <c r="CK1896" s="6"/>
      <c r="CL1896" s="6"/>
      <c r="CM1896" s="6"/>
      <c r="CN1896" s="6"/>
      <c r="CO1896" s="6"/>
      <c r="CP1896" s="6"/>
      <c r="CQ1896" s="6"/>
      <c r="CR1896" s="6"/>
      <c r="CS1896" s="6"/>
      <c r="CT1896" s="6"/>
      <c r="CU1896" s="6"/>
      <c r="CV1896" s="6"/>
      <c r="CW1896" s="6"/>
      <c r="CX1896" s="6"/>
      <c r="CY1896" s="6"/>
      <c r="CZ1896" s="6"/>
      <c r="DA1896" s="6"/>
      <c r="DB1896" s="6"/>
      <c r="DC1896" s="6"/>
      <c r="DD1896" s="6"/>
    </row>
    <row r="1897" spans="1:108" ht="12.75" hidden="1" customHeight="1" outlineLevel="5">
      <c r="A1897" s="104" t="s">
        <v>46</v>
      </c>
      <c r="B1897" s="28">
        <f t="shared" si="99"/>
        <v>0</v>
      </c>
      <c r="C1897" s="11"/>
      <c r="D1897" s="18" t="str">
        <f t="shared" ref="D1897:D1906" si="100">"&lt;" &amp; A1897 &amp; "&gt;" &amp; TEXT(B1897,0) &amp; "&lt;/" &amp; A1897 &amp; "&gt;"</f>
        <v>&lt;Symmetry&gt;0&lt;/Symmetry&gt;</v>
      </c>
      <c r="F1897" s="6"/>
      <c r="G1897" s="6"/>
      <c r="H1897" s="6"/>
      <c r="I1897" s="6"/>
      <c r="J1897" s="6"/>
      <c r="K1897" s="6"/>
      <c r="L1897" s="6"/>
      <c r="M1897" s="6"/>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c r="BU1897" s="6"/>
      <c r="BV1897" s="6"/>
      <c r="BW1897" s="6"/>
      <c r="BX1897" s="6"/>
      <c r="BY1897" s="6"/>
      <c r="BZ1897" s="6"/>
      <c r="CA1897" s="6"/>
      <c r="CB1897" s="6"/>
      <c r="CC1897" s="6"/>
      <c r="CD1897" s="6"/>
      <c r="CE1897" s="6"/>
      <c r="CF1897" s="6"/>
      <c r="CG1897" s="6"/>
      <c r="CH1897" s="6"/>
      <c r="CI1897" s="6"/>
      <c r="CJ1897" s="6"/>
      <c r="CK1897" s="6"/>
      <c r="CL1897" s="6"/>
      <c r="CM1897" s="6"/>
      <c r="CN1897" s="6"/>
      <c r="CO1897" s="6"/>
      <c r="CP1897" s="6"/>
      <c r="CQ1897" s="6"/>
      <c r="CR1897" s="6"/>
      <c r="CS1897" s="6"/>
      <c r="CT1897" s="6"/>
      <c r="CU1897" s="6"/>
      <c r="CV1897" s="6"/>
      <c r="CW1897" s="6"/>
      <c r="CX1897" s="6"/>
      <c r="CY1897" s="6"/>
      <c r="CZ1897" s="6"/>
      <c r="DA1897" s="6"/>
      <c r="DB1897" s="6"/>
      <c r="DC1897" s="6"/>
      <c r="DD1897" s="6"/>
    </row>
    <row r="1898" spans="1:108" ht="12.75" hidden="1" customHeight="1" outlineLevel="5">
      <c r="A1898" s="104" t="s">
        <v>47</v>
      </c>
      <c r="B1898" s="28">
        <f t="shared" si="99"/>
        <v>0</v>
      </c>
      <c r="C1898" s="11"/>
      <c r="D1898" s="18" t="str">
        <f t="shared" si="100"/>
        <v>&lt;RelXFormFlag&gt;0&lt;/RelXFormFlag&gt;</v>
      </c>
      <c r="F1898" s="6"/>
      <c r="G1898" s="6"/>
      <c r="H1898" s="6"/>
      <c r="I1898" s="6"/>
      <c r="J1898" s="6"/>
      <c r="K1898" s="6"/>
      <c r="L1898" s="6"/>
      <c r="M1898" s="6"/>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c r="BU1898" s="6"/>
      <c r="BV1898" s="6"/>
      <c r="BW1898" s="6"/>
      <c r="BX1898" s="6"/>
      <c r="BY1898" s="6"/>
      <c r="BZ1898" s="6"/>
      <c r="CA1898" s="6"/>
      <c r="CB1898" s="6"/>
      <c r="CC1898" s="6"/>
      <c r="CD1898" s="6"/>
      <c r="CE1898" s="6"/>
      <c r="CF1898" s="6"/>
      <c r="CG1898" s="6"/>
      <c r="CH1898" s="6"/>
      <c r="CI1898" s="6"/>
      <c r="CJ1898" s="6"/>
      <c r="CK1898" s="6"/>
      <c r="CL1898" s="6"/>
      <c r="CM1898" s="6"/>
      <c r="CN1898" s="6"/>
      <c r="CO1898" s="6"/>
      <c r="CP1898" s="6"/>
      <c r="CQ1898" s="6"/>
      <c r="CR1898" s="6"/>
      <c r="CS1898" s="6"/>
      <c r="CT1898" s="6"/>
      <c r="CU1898" s="6"/>
      <c r="CV1898" s="6"/>
      <c r="CW1898" s="6"/>
      <c r="CX1898" s="6"/>
      <c r="CY1898" s="6"/>
      <c r="CZ1898" s="6"/>
      <c r="DA1898" s="6"/>
      <c r="DB1898" s="6"/>
      <c r="DC1898" s="6"/>
      <c r="DD1898" s="6"/>
    </row>
    <row r="1899" spans="1:108" ht="12.75" hidden="1" customHeight="1" outlineLevel="5">
      <c r="A1899" s="104" t="s">
        <v>48</v>
      </c>
      <c r="B1899" s="28">
        <f t="shared" si="99"/>
        <v>0</v>
      </c>
      <c r="C1899" s="11"/>
      <c r="D1899" s="18" t="str">
        <f t="shared" si="100"/>
        <v>&lt;MaterialID&gt;0&lt;/MaterialID&gt;</v>
      </c>
      <c r="F1899" s="6"/>
      <c r="G1899" s="6"/>
      <c r="H1899" s="6"/>
      <c r="I1899" s="6"/>
      <c r="J1899" s="6"/>
      <c r="K1899" s="6"/>
      <c r="L1899" s="6"/>
      <c r="M1899" s="6"/>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c r="BU1899" s="6"/>
      <c r="BV1899" s="6"/>
      <c r="BW1899" s="6"/>
      <c r="BX1899" s="6"/>
      <c r="BY1899" s="6"/>
      <c r="BZ1899" s="6"/>
      <c r="CA1899" s="6"/>
      <c r="CB1899" s="6"/>
      <c r="CC1899" s="6"/>
      <c r="CD1899" s="6"/>
      <c r="CE1899" s="6"/>
      <c r="CF1899" s="6"/>
      <c r="CG1899" s="6"/>
      <c r="CH1899" s="6"/>
      <c r="CI1899" s="6"/>
      <c r="CJ1899" s="6"/>
      <c r="CK1899" s="6"/>
      <c r="CL1899" s="6"/>
      <c r="CM1899" s="6"/>
      <c r="CN1899" s="6"/>
      <c r="CO1899" s="6"/>
      <c r="CP1899" s="6"/>
      <c r="CQ1899" s="6"/>
      <c r="CR1899" s="6"/>
      <c r="CS1899" s="6"/>
      <c r="CT1899" s="6"/>
      <c r="CU1899" s="6"/>
      <c r="CV1899" s="6"/>
      <c r="CW1899" s="6"/>
      <c r="CX1899" s="6"/>
      <c r="CY1899" s="6"/>
      <c r="CZ1899" s="6"/>
      <c r="DA1899" s="6"/>
      <c r="DB1899" s="6"/>
      <c r="DC1899" s="6"/>
      <c r="DD1899" s="6"/>
    </row>
    <row r="1900" spans="1:108" ht="12.75" hidden="1" customHeight="1" outlineLevel="5">
      <c r="A1900" s="104" t="s">
        <v>49</v>
      </c>
      <c r="B1900" s="28">
        <f t="shared" si="99"/>
        <v>1</v>
      </c>
      <c r="C1900" s="11"/>
      <c r="D1900" s="18" t="str">
        <f t="shared" si="100"/>
        <v>&lt;OutputFlag&gt;1&lt;/OutputFlag&gt;</v>
      </c>
      <c r="F1900" s="6"/>
      <c r="G1900" s="6"/>
      <c r="H1900" s="6"/>
      <c r="I1900" s="6"/>
      <c r="J1900" s="6"/>
      <c r="K1900" s="6"/>
      <c r="L1900" s="6"/>
      <c r="M1900" s="6"/>
      <c r="N1900" s="6"/>
      <c r="O1900" s="6"/>
      <c r="P1900" s="6"/>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c r="BU1900" s="6"/>
      <c r="BV1900" s="6"/>
      <c r="BW1900" s="6"/>
      <c r="BX1900" s="6"/>
      <c r="BY1900" s="6"/>
      <c r="BZ1900" s="6"/>
      <c r="CA1900" s="6"/>
      <c r="CB1900" s="6"/>
      <c r="CC1900" s="6"/>
      <c r="CD1900" s="6"/>
      <c r="CE1900" s="6"/>
      <c r="CF1900" s="6"/>
      <c r="CG1900" s="6"/>
      <c r="CH1900" s="6"/>
      <c r="CI1900" s="6"/>
      <c r="CJ1900" s="6"/>
      <c r="CK1900" s="6"/>
      <c r="CL1900" s="6"/>
      <c r="CM1900" s="6"/>
      <c r="CN1900" s="6"/>
      <c r="CO1900" s="6"/>
      <c r="CP1900" s="6"/>
      <c r="CQ1900" s="6"/>
      <c r="CR1900" s="6"/>
      <c r="CS1900" s="6"/>
      <c r="CT1900" s="6"/>
      <c r="CU1900" s="6"/>
      <c r="CV1900" s="6"/>
      <c r="CW1900" s="6"/>
      <c r="CX1900" s="6"/>
      <c r="CY1900" s="6"/>
      <c r="CZ1900" s="6"/>
      <c r="DA1900" s="6"/>
      <c r="DB1900" s="6"/>
      <c r="DC1900" s="6"/>
      <c r="DD1900" s="6"/>
    </row>
    <row r="1901" spans="1:108" ht="12.75" hidden="1" customHeight="1" outlineLevel="5">
      <c r="A1901" s="104" t="s">
        <v>50</v>
      </c>
      <c r="B1901" s="28">
        <f t="shared" si="99"/>
        <v>0</v>
      </c>
      <c r="C1901" s="11"/>
      <c r="D1901" s="18" t="str">
        <f t="shared" si="100"/>
        <v>&lt;OutputNameID&gt;0&lt;/OutputNameID&gt;</v>
      </c>
      <c r="F1901" s="6"/>
      <c r="G1901" s="6"/>
      <c r="H1901" s="6"/>
      <c r="I1901" s="6"/>
      <c r="J1901" s="6"/>
      <c r="K1901" s="6"/>
      <c r="L1901" s="6"/>
      <c r="M1901" s="6"/>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c r="BU1901" s="6"/>
      <c r="BV1901" s="6"/>
      <c r="BW1901" s="6"/>
      <c r="BX1901" s="6"/>
      <c r="BY1901" s="6"/>
      <c r="BZ1901" s="6"/>
      <c r="CA1901" s="6"/>
      <c r="CB1901" s="6"/>
      <c r="CC1901" s="6"/>
      <c r="CD1901" s="6"/>
      <c r="CE1901" s="6"/>
      <c r="CF1901" s="6"/>
      <c r="CG1901" s="6"/>
      <c r="CH1901" s="6"/>
      <c r="CI1901" s="6"/>
      <c r="CJ1901" s="6"/>
      <c r="CK1901" s="6"/>
      <c r="CL1901" s="6"/>
      <c r="CM1901" s="6"/>
      <c r="CN1901" s="6"/>
      <c r="CO1901" s="6"/>
      <c r="CP1901" s="6"/>
      <c r="CQ1901" s="6"/>
      <c r="CR1901" s="6"/>
      <c r="CS1901" s="6"/>
      <c r="CT1901" s="6"/>
      <c r="CU1901" s="6"/>
      <c r="CV1901" s="6"/>
      <c r="CW1901" s="6"/>
      <c r="CX1901" s="6"/>
      <c r="CY1901" s="6"/>
      <c r="CZ1901" s="6"/>
      <c r="DA1901" s="6"/>
      <c r="DB1901" s="6"/>
      <c r="DC1901" s="6"/>
      <c r="DD1901" s="6"/>
    </row>
    <row r="1902" spans="1:108" ht="12.75" hidden="1" customHeight="1" outlineLevel="5">
      <c r="A1902" s="104" t="s">
        <v>51</v>
      </c>
      <c r="B1902" s="28">
        <f t="shared" si="99"/>
        <v>1</v>
      </c>
      <c r="C1902" s="11"/>
      <c r="D1902" s="18" t="str">
        <f t="shared" si="100"/>
        <v>&lt;DisplayChildrenFlag&gt;1&lt;/DisplayChildrenFlag&gt;</v>
      </c>
      <c r="F1902" s="6"/>
      <c r="G1902" s="6"/>
      <c r="H1902" s="6"/>
      <c r="I1902" s="6"/>
      <c r="J1902" s="6"/>
      <c r="K1902" s="6"/>
      <c r="L1902" s="6"/>
      <c r="M1902" s="6"/>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c r="BU1902" s="6"/>
      <c r="BV1902" s="6"/>
      <c r="BW1902" s="6"/>
      <c r="BX1902" s="6"/>
      <c r="BY1902" s="6"/>
      <c r="BZ1902" s="6"/>
      <c r="CA1902" s="6"/>
      <c r="CB1902" s="6"/>
      <c r="CC1902" s="6"/>
      <c r="CD1902" s="6"/>
      <c r="CE1902" s="6"/>
      <c r="CF1902" s="6"/>
      <c r="CG1902" s="6"/>
      <c r="CH1902" s="6"/>
      <c r="CI1902" s="6"/>
      <c r="CJ1902" s="6"/>
      <c r="CK1902" s="6"/>
      <c r="CL1902" s="6"/>
      <c r="CM1902" s="6"/>
      <c r="CN1902" s="6"/>
      <c r="CO1902" s="6"/>
      <c r="CP1902" s="6"/>
      <c r="CQ1902" s="6"/>
      <c r="CR1902" s="6"/>
      <c r="CS1902" s="6"/>
      <c r="CT1902" s="6"/>
      <c r="CU1902" s="6"/>
      <c r="CV1902" s="6"/>
      <c r="CW1902" s="6"/>
      <c r="CX1902" s="6"/>
      <c r="CY1902" s="6"/>
      <c r="CZ1902" s="6"/>
      <c r="DA1902" s="6"/>
      <c r="DB1902" s="6"/>
      <c r="DC1902" s="6"/>
      <c r="DD1902" s="6"/>
    </row>
    <row r="1903" spans="1:108" ht="12.75" hidden="1" customHeight="1" outlineLevel="5">
      <c r="A1903" s="104" t="s">
        <v>52</v>
      </c>
      <c r="B1903" s="28">
        <f t="shared" si="99"/>
        <v>21</v>
      </c>
      <c r="C1903" s="11"/>
      <c r="D1903" s="18" t="str">
        <f t="shared" si="100"/>
        <v>&lt;NumPnts&gt;21&lt;/NumPnts&gt;</v>
      </c>
      <c r="F1903" s="6"/>
      <c r="G1903" s="6"/>
      <c r="H1903" s="6"/>
      <c r="I1903" s="6"/>
      <c r="J1903" s="6"/>
      <c r="K1903" s="6"/>
      <c r="L1903" s="6"/>
      <c r="M1903" s="6"/>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c r="BU1903" s="6"/>
      <c r="BV1903" s="6"/>
      <c r="BW1903" s="6"/>
      <c r="BX1903" s="6"/>
      <c r="BY1903" s="6"/>
      <c r="BZ1903" s="6"/>
      <c r="CA1903" s="6"/>
      <c r="CB1903" s="6"/>
      <c r="CC1903" s="6"/>
      <c r="CD1903" s="6"/>
      <c r="CE1903" s="6"/>
      <c r="CF1903" s="6"/>
      <c r="CG1903" s="6"/>
      <c r="CH1903" s="6"/>
      <c r="CI1903" s="6"/>
      <c r="CJ1903" s="6"/>
      <c r="CK1903" s="6"/>
      <c r="CL1903" s="6"/>
      <c r="CM1903" s="6"/>
      <c r="CN1903" s="6"/>
      <c r="CO1903" s="6"/>
      <c r="CP1903" s="6"/>
      <c r="CQ1903" s="6"/>
      <c r="CR1903" s="6"/>
      <c r="CS1903" s="6"/>
      <c r="CT1903" s="6"/>
      <c r="CU1903" s="6"/>
      <c r="CV1903" s="6"/>
      <c r="CW1903" s="6"/>
      <c r="CX1903" s="6"/>
      <c r="CY1903" s="6"/>
      <c r="CZ1903" s="6"/>
      <c r="DA1903" s="6"/>
      <c r="DB1903" s="6"/>
      <c r="DC1903" s="6"/>
      <c r="DD1903" s="6"/>
    </row>
    <row r="1904" spans="1:108" ht="12.75" hidden="1" customHeight="1" outlineLevel="5">
      <c r="A1904" s="104" t="s">
        <v>53</v>
      </c>
      <c r="B1904" s="28">
        <f t="shared" si="99"/>
        <v>11</v>
      </c>
      <c r="C1904" s="11"/>
      <c r="D1904" s="18" t="str">
        <f t="shared" si="100"/>
        <v>&lt;NumXsecs&gt;11&lt;/NumXsecs&gt;</v>
      </c>
      <c r="F1904" s="6"/>
      <c r="G1904" s="6"/>
      <c r="H1904" s="6"/>
      <c r="I1904" s="6"/>
      <c r="J1904" s="6"/>
      <c r="K1904" s="6"/>
      <c r="L1904" s="6"/>
      <c r="M1904" s="6"/>
      <c r="N1904" s="6"/>
      <c r="O1904" s="6"/>
      <c r="P1904" s="6"/>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c r="BU1904" s="6"/>
      <c r="BV1904" s="6"/>
      <c r="BW1904" s="6"/>
      <c r="BX1904" s="6"/>
      <c r="BY1904" s="6"/>
      <c r="BZ1904" s="6"/>
      <c r="CA1904" s="6"/>
      <c r="CB1904" s="6"/>
      <c r="CC1904" s="6"/>
      <c r="CD1904" s="6"/>
      <c r="CE1904" s="6"/>
      <c r="CF1904" s="6"/>
      <c r="CG1904" s="6"/>
      <c r="CH1904" s="6"/>
      <c r="CI1904" s="6"/>
      <c r="CJ1904" s="6"/>
      <c r="CK1904" s="6"/>
      <c r="CL1904" s="6"/>
      <c r="CM1904" s="6"/>
      <c r="CN1904" s="6"/>
      <c r="CO1904" s="6"/>
      <c r="CP1904" s="6"/>
      <c r="CQ1904" s="6"/>
      <c r="CR1904" s="6"/>
      <c r="CS1904" s="6"/>
      <c r="CT1904" s="6"/>
      <c r="CU1904" s="6"/>
      <c r="CV1904" s="6"/>
      <c r="CW1904" s="6"/>
      <c r="CX1904" s="6"/>
      <c r="CY1904" s="6"/>
      <c r="CZ1904" s="6"/>
      <c r="DA1904" s="6"/>
      <c r="DB1904" s="6"/>
      <c r="DC1904" s="6"/>
      <c r="DD1904" s="6"/>
    </row>
    <row r="1905" spans="1:108" ht="12.75" hidden="1" customHeight="1" outlineLevel="5">
      <c r="A1905" s="104" t="s">
        <v>54</v>
      </c>
      <c r="B1905" s="28">
        <f t="shared" si="99"/>
        <v>0</v>
      </c>
      <c r="C1905" s="11"/>
      <c r="D1905" s="18" t="str">
        <f t="shared" si="100"/>
        <v>&lt;MassPrior&gt;0&lt;/MassPrior&gt;</v>
      </c>
      <c r="F1905" s="6"/>
      <c r="G1905" s="6"/>
      <c r="H1905" s="6"/>
      <c r="I1905" s="6"/>
      <c r="J1905" s="6"/>
      <c r="K1905" s="6"/>
      <c r="L1905" s="6"/>
      <c r="M1905" s="6"/>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c r="BU1905" s="6"/>
      <c r="BV1905" s="6"/>
      <c r="BW1905" s="6"/>
      <c r="BX1905" s="6"/>
      <c r="BY1905" s="6"/>
      <c r="BZ1905" s="6"/>
      <c r="CA1905" s="6"/>
      <c r="CB1905" s="6"/>
      <c r="CC1905" s="6"/>
      <c r="CD1905" s="6"/>
      <c r="CE1905" s="6"/>
      <c r="CF1905" s="6"/>
      <c r="CG1905" s="6"/>
      <c r="CH1905" s="6"/>
      <c r="CI1905" s="6"/>
      <c r="CJ1905" s="6"/>
      <c r="CK1905" s="6"/>
      <c r="CL1905" s="6"/>
      <c r="CM1905" s="6"/>
      <c r="CN1905" s="6"/>
      <c r="CO1905" s="6"/>
      <c r="CP1905" s="6"/>
      <c r="CQ1905" s="6"/>
      <c r="CR1905" s="6"/>
      <c r="CS1905" s="6"/>
      <c r="CT1905" s="6"/>
      <c r="CU1905" s="6"/>
      <c r="CV1905" s="6"/>
      <c r="CW1905" s="6"/>
      <c r="CX1905" s="6"/>
      <c r="CY1905" s="6"/>
      <c r="CZ1905" s="6"/>
      <c r="DA1905" s="6"/>
      <c r="DB1905" s="6"/>
      <c r="DC1905" s="6"/>
      <c r="DD1905" s="6"/>
    </row>
    <row r="1906" spans="1:108" ht="12.75" hidden="1" customHeight="1" outlineLevel="5">
      <c r="A1906" s="104" t="s">
        <v>55</v>
      </c>
      <c r="B1906" s="28">
        <f t="shared" si="99"/>
        <v>0</v>
      </c>
      <c r="C1906" s="11"/>
      <c r="D1906" s="18" t="str">
        <f t="shared" si="100"/>
        <v>&lt;ShellFlag&gt;0&lt;/ShellFlag&gt;</v>
      </c>
      <c r="F1906" s="6"/>
      <c r="G1906" s="6"/>
      <c r="H1906" s="6"/>
      <c r="I1906" s="6"/>
      <c r="J1906" s="6"/>
      <c r="K1906" s="6"/>
      <c r="L1906" s="6"/>
      <c r="M1906" s="6"/>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c r="BU1906" s="6"/>
      <c r="BV1906" s="6"/>
      <c r="BW1906" s="6"/>
      <c r="BX1906" s="6"/>
      <c r="BY1906" s="6"/>
      <c r="BZ1906" s="6"/>
      <c r="CA1906" s="6"/>
      <c r="CB1906" s="6"/>
      <c r="CC1906" s="6"/>
      <c r="CD1906" s="6"/>
      <c r="CE1906" s="6"/>
      <c r="CF1906" s="6"/>
      <c r="CG1906" s="6"/>
      <c r="CH1906" s="6"/>
      <c r="CI1906" s="6"/>
      <c r="CJ1906" s="6"/>
      <c r="CK1906" s="6"/>
      <c r="CL1906" s="6"/>
      <c r="CM1906" s="6"/>
      <c r="CN1906" s="6"/>
      <c r="CO1906" s="6"/>
      <c r="CP1906" s="6"/>
      <c r="CQ1906" s="6"/>
      <c r="CR1906" s="6"/>
      <c r="CS1906" s="6"/>
      <c r="CT1906" s="6"/>
      <c r="CU1906" s="6"/>
      <c r="CV1906" s="6"/>
      <c r="CW1906" s="6"/>
      <c r="CX1906" s="6"/>
      <c r="CY1906" s="6"/>
      <c r="CZ1906" s="6"/>
      <c r="DA1906" s="6"/>
      <c r="DB1906" s="6"/>
      <c r="DC1906" s="6"/>
      <c r="DD1906" s="6"/>
    </row>
    <row r="1907" spans="1:108" ht="12.75" hidden="1" customHeight="1" outlineLevel="5">
      <c r="A1907" s="104" t="s">
        <v>56</v>
      </c>
      <c r="B1907" s="28">
        <f t="shared" si="99"/>
        <v>0</v>
      </c>
      <c r="C1907" s="11"/>
      <c r="D1907" s="18" t="str">
        <f t="shared" ref="D1907:D1921" si="101">"&lt;" &amp; A1907 &amp; "&gt;" &amp; TEXT(B1907,"0.000000") &amp; "&lt;/" &amp; A1907 &amp; "&gt;"</f>
        <v>&lt;Tran_X&gt;0.000000&lt;/Tran_X&gt;</v>
      </c>
      <c r="F1907" s="6"/>
      <c r="G1907" s="6"/>
      <c r="H1907" s="6"/>
      <c r="I1907" s="6"/>
      <c r="J1907" s="6"/>
      <c r="K1907" s="6"/>
      <c r="L1907" s="6"/>
      <c r="M1907" s="6"/>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c r="BU1907" s="6"/>
      <c r="BV1907" s="6"/>
      <c r="BW1907" s="6"/>
      <c r="BX1907" s="6"/>
      <c r="BY1907" s="6"/>
      <c r="BZ1907" s="6"/>
      <c r="CA1907" s="6"/>
      <c r="CB1907" s="6"/>
      <c r="CC1907" s="6"/>
      <c r="CD1907" s="6"/>
      <c r="CE1907" s="6"/>
      <c r="CF1907" s="6"/>
      <c r="CG1907" s="6"/>
      <c r="CH1907" s="6"/>
      <c r="CI1907" s="6"/>
      <c r="CJ1907" s="6"/>
      <c r="CK1907" s="6"/>
      <c r="CL1907" s="6"/>
      <c r="CM1907" s="6"/>
      <c r="CN1907" s="6"/>
      <c r="CO1907" s="6"/>
      <c r="CP1907" s="6"/>
      <c r="CQ1907" s="6"/>
      <c r="CR1907" s="6"/>
      <c r="CS1907" s="6"/>
      <c r="CT1907" s="6"/>
      <c r="CU1907" s="6"/>
      <c r="CV1907" s="6"/>
      <c r="CW1907" s="6"/>
      <c r="CX1907" s="6"/>
      <c r="CY1907" s="6"/>
      <c r="CZ1907" s="6"/>
      <c r="DA1907" s="6"/>
      <c r="DB1907" s="6"/>
      <c r="DC1907" s="6"/>
      <c r="DD1907" s="6"/>
    </row>
    <row r="1908" spans="1:108" ht="12.75" hidden="1" customHeight="1" outlineLevel="5">
      <c r="A1908" s="104" t="s">
        <v>57</v>
      </c>
      <c r="B1908" s="28">
        <f t="shared" si="99"/>
        <v>0</v>
      </c>
      <c r="C1908" s="11"/>
      <c r="D1908" s="18" t="str">
        <f t="shared" si="101"/>
        <v>&lt;Tran_Y&gt;0.000000&lt;/Tran_Y&gt;</v>
      </c>
      <c r="F1908" s="6"/>
      <c r="G1908" s="6"/>
      <c r="H1908" s="6"/>
      <c r="I1908" s="6"/>
      <c r="J1908" s="6"/>
      <c r="K1908" s="6"/>
      <c r="L1908" s="6"/>
      <c r="M1908" s="6"/>
      <c r="N1908" s="6"/>
      <c r="O1908" s="6"/>
      <c r="P1908" s="6"/>
      <c r="Q1908" s="6"/>
      <c r="R1908" s="6"/>
      <c r="S1908" s="6"/>
      <c r="T1908" s="6"/>
      <c r="U1908" s="6"/>
      <c r="V1908" s="6"/>
      <c r="W1908" s="6"/>
      <c r="X1908" s="6"/>
      <c r="Y1908" s="6"/>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c r="BU1908" s="6"/>
      <c r="BV1908" s="6"/>
      <c r="BW1908" s="6"/>
      <c r="BX1908" s="6"/>
      <c r="BY1908" s="6"/>
      <c r="BZ1908" s="6"/>
      <c r="CA1908" s="6"/>
      <c r="CB1908" s="6"/>
      <c r="CC1908" s="6"/>
      <c r="CD1908" s="6"/>
      <c r="CE1908" s="6"/>
      <c r="CF1908" s="6"/>
      <c r="CG1908" s="6"/>
      <c r="CH1908" s="6"/>
      <c r="CI1908" s="6"/>
      <c r="CJ1908" s="6"/>
      <c r="CK1908" s="6"/>
      <c r="CL1908" s="6"/>
      <c r="CM1908" s="6"/>
      <c r="CN1908" s="6"/>
      <c r="CO1908" s="6"/>
      <c r="CP1908" s="6"/>
      <c r="CQ1908" s="6"/>
      <c r="CR1908" s="6"/>
      <c r="CS1908" s="6"/>
      <c r="CT1908" s="6"/>
      <c r="CU1908" s="6"/>
      <c r="CV1908" s="6"/>
      <c r="CW1908" s="6"/>
      <c r="CX1908" s="6"/>
      <c r="CY1908" s="6"/>
      <c r="CZ1908" s="6"/>
      <c r="DA1908" s="6"/>
      <c r="DB1908" s="6"/>
      <c r="DC1908" s="6"/>
      <c r="DD1908" s="6"/>
    </row>
    <row r="1909" spans="1:108" ht="12.75" hidden="1" customHeight="1" outlineLevel="5">
      <c r="A1909" s="104" t="s">
        <v>58</v>
      </c>
      <c r="B1909" s="28">
        <f t="shared" si="99"/>
        <v>0</v>
      </c>
      <c r="C1909" s="11"/>
      <c r="D1909" s="18" t="str">
        <f t="shared" si="101"/>
        <v>&lt;Tran_Z&gt;0.000000&lt;/Tran_Z&gt;</v>
      </c>
      <c r="F1909" s="6"/>
      <c r="G1909" s="6"/>
      <c r="H1909" s="6"/>
      <c r="I1909" s="6"/>
      <c r="J1909" s="6"/>
      <c r="K1909" s="6"/>
      <c r="L1909" s="6"/>
      <c r="M1909" s="6"/>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c r="BU1909" s="6"/>
      <c r="BV1909" s="6"/>
      <c r="BW1909" s="6"/>
      <c r="BX1909" s="6"/>
      <c r="BY1909" s="6"/>
      <c r="BZ1909" s="6"/>
      <c r="CA1909" s="6"/>
      <c r="CB1909" s="6"/>
      <c r="CC1909" s="6"/>
      <c r="CD1909" s="6"/>
      <c r="CE1909" s="6"/>
      <c r="CF1909" s="6"/>
      <c r="CG1909" s="6"/>
      <c r="CH1909" s="6"/>
      <c r="CI1909" s="6"/>
      <c r="CJ1909" s="6"/>
      <c r="CK1909" s="6"/>
      <c r="CL1909" s="6"/>
      <c r="CM1909" s="6"/>
      <c r="CN1909" s="6"/>
      <c r="CO1909" s="6"/>
      <c r="CP1909" s="6"/>
      <c r="CQ1909" s="6"/>
      <c r="CR1909" s="6"/>
      <c r="CS1909" s="6"/>
      <c r="CT1909" s="6"/>
      <c r="CU1909" s="6"/>
      <c r="CV1909" s="6"/>
      <c r="CW1909" s="6"/>
      <c r="CX1909" s="6"/>
      <c r="CY1909" s="6"/>
      <c r="CZ1909" s="6"/>
      <c r="DA1909" s="6"/>
      <c r="DB1909" s="6"/>
      <c r="DC1909" s="6"/>
      <c r="DD1909" s="6"/>
    </row>
    <row r="1910" spans="1:108" ht="12.75" hidden="1" customHeight="1" outlineLevel="5">
      <c r="A1910" s="104" t="s">
        <v>59</v>
      </c>
      <c r="B1910" s="28">
        <f t="shared" si="99"/>
        <v>0</v>
      </c>
      <c r="C1910" s="11"/>
      <c r="D1910" s="18" t="str">
        <f t="shared" si="101"/>
        <v>&lt;TranRel_X&gt;0.000000&lt;/TranRel_X&gt;</v>
      </c>
      <c r="F1910" s="6"/>
      <c r="G1910" s="6"/>
      <c r="H1910" s="6"/>
      <c r="I1910" s="6"/>
      <c r="J1910" s="6"/>
      <c r="K1910" s="6"/>
      <c r="L1910" s="6"/>
      <c r="M1910" s="6"/>
      <c r="N1910" s="6"/>
      <c r="O1910" s="6"/>
      <c r="P1910" s="6"/>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c r="BU1910" s="6"/>
      <c r="BV1910" s="6"/>
      <c r="BW1910" s="6"/>
      <c r="BX1910" s="6"/>
      <c r="BY1910" s="6"/>
      <c r="BZ1910" s="6"/>
      <c r="CA1910" s="6"/>
      <c r="CB1910" s="6"/>
      <c r="CC1910" s="6"/>
      <c r="CD1910" s="6"/>
      <c r="CE1910" s="6"/>
      <c r="CF1910" s="6"/>
      <c r="CG1910" s="6"/>
      <c r="CH1910" s="6"/>
      <c r="CI1910" s="6"/>
      <c r="CJ1910" s="6"/>
      <c r="CK1910" s="6"/>
      <c r="CL1910" s="6"/>
      <c r="CM1910" s="6"/>
      <c r="CN1910" s="6"/>
      <c r="CO1910" s="6"/>
      <c r="CP1910" s="6"/>
      <c r="CQ1910" s="6"/>
      <c r="CR1910" s="6"/>
      <c r="CS1910" s="6"/>
      <c r="CT1910" s="6"/>
      <c r="CU1910" s="6"/>
      <c r="CV1910" s="6"/>
      <c r="CW1910" s="6"/>
      <c r="CX1910" s="6"/>
      <c r="CY1910" s="6"/>
      <c r="CZ1910" s="6"/>
      <c r="DA1910" s="6"/>
      <c r="DB1910" s="6"/>
      <c r="DC1910" s="6"/>
      <c r="DD1910" s="6"/>
    </row>
    <row r="1911" spans="1:108" ht="12.75" hidden="1" customHeight="1" outlineLevel="5">
      <c r="A1911" s="104" t="s">
        <v>60</v>
      </c>
      <c r="B1911" s="28">
        <f t="shared" si="99"/>
        <v>0</v>
      </c>
      <c r="C1911" s="11"/>
      <c r="D1911" s="18" t="str">
        <f t="shared" si="101"/>
        <v>&lt;TranRel_Y&gt;0.000000&lt;/TranRel_Y&gt;</v>
      </c>
      <c r="F1911" s="6"/>
      <c r="G1911" s="6"/>
      <c r="H1911" s="6"/>
      <c r="I1911" s="6"/>
      <c r="J1911" s="6"/>
      <c r="K1911" s="6"/>
      <c r="L1911" s="6"/>
      <c r="M1911" s="6"/>
      <c r="N1911" s="6"/>
      <c r="O1911" s="6"/>
      <c r="P1911" s="6"/>
      <c r="Q1911" s="6"/>
      <c r="R1911" s="6"/>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c r="BU1911" s="6"/>
      <c r="BV1911" s="6"/>
      <c r="BW1911" s="6"/>
      <c r="BX1911" s="6"/>
      <c r="BY1911" s="6"/>
      <c r="BZ1911" s="6"/>
      <c r="CA1911" s="6"/>
      <c r="CB1911" s="6"/>
      <c r="CC1911" s="6"/>
      <c r="CD1911" s="6"/>
      <c r="CE1911" s="6"/>
      <c r="CF1911" s="6"/>
      <c r="CG1911" s="6"/>
      <c r="CH1911" s="6"/>
      <c r="CI1911" s="6"/>
      <c r="CJ1911" s="6"/>
      <c r="CK1911" s="6"/>
      <c r="CL1911" s="6"/>
      <c r="CM1911" s="6"/>
      <c r="CN1911" s="6"/>
      <c r="CO1911" s="6"/>
      <c r="CP1911" s="6"/>
      <c r="CQ1911" s="6"/>
      <c r="CR1911" s="6"/>
      <c r="CS1911" s="6"/>
      <c r="CT1911" s="6"/>
      <c r="CU1911" s="6"/>
      <c r="CV1911" s="6"/>
      <c r="CW1911" s="6"/>
      <c r="CX1911" s="6"/>
      <c r="CY1911" s="6"/>
      <c r="CZ1911" s="6"/>
      <c r="DA1911" s="6"/>
      <c r="DB1911" s="6"/>
      <c r="DC1911" s="6"/>
      <c r="DD1911" s="6"/>
    </row>
    <row r="1912" spans="1:108" ht="12.75" hidden="1" customHeight="1" outlineLevel="5">
      <c r="A1912" s="104" t="s">
        <v>61</v>
      </c>
      <c r="B1912" s="28">
        <f t="shared" si="99"/>
        <v>0</v>
      </c>
      <c r="C1912" s="11"/>
      <c r="D1912" s="18" t="str">
        <f t="shared" si="101"/>
        <v>&lt;TranRel_Z&gt;0.000000&lt;/TranRel_Z&gt;</v>
      </c>
      <c r="F1912" s="6"/>
      <c r="G1912" s="6"/>
      <c r="H1912" s="6"/>
      <c r="I1912" s="6"/>
      <c r="J1912" s="6"/>
      <c r="K1912" s="6"/>
      <c r="L1912" s="6"/>
      <c r="M1912" s="6"/>
      <c r="N1912" s="6"/>
      <c r="O1912" s="6"/>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c r="BU1912" s="6"/>
      <c r="BV1912" s="6"/>
      <c r="BW1912" s="6"/>
      <c r="BX1912" s="6"/>
      <c r="BY1912" s="6"/>
      <c r="BZ1912" s="6"/>
      <c r="CA1912" s="6"/>
      <c r="CB1912" s="6"/>
      <c r="CC1912" s="6"/>
      <c r="CD1912" s="6"/>
      <c r="CE1912" s="6"/>
      <c r="CF1912" s="6"/>
      <c r="CG1912" s="6"/>
      <c r="CH1912" s="6"/>
      <c r="CI1912" s="6"/>
      <c r="CJ1912" s="6"/>
      <c r="CK1912" s="6"/>
      <c r="CL1912" s="6"/>
      <c r="CM1912" s="6"/>
      <c r="CN1912" s="6"/>
      <c r="CO1912" s="6"/>
      <c r="CP1912" s="6"/>
      <c r="CQ1912" s="6"/>
      <c r="CR1912" s="6"/>
      <c r="CS1912" s="6"/>
      <c r="CT1912" s="6"/>
      <c r="CU1912" s="6"/>
      <c r="CV1912" s="6"/>
      <c r="CW1912" s="6"/>
      <c r="CX1912" s="6"/>
      <c r="CY1912" s="6"/>
      <c r="CZ1912" s="6"/>
      <c r="DA1912" s="6"/>
      <c r="DB1912" s="6"/>
      <c r="DC1912" s="6"/>
      <c r="DD1912" s="6"/>
    </row>
    <row r="1913" spans="1:108" ht="12.75" hidden="1" customHeight="1" outlineLevel="5">
      <c r="A1913" s="104" t="s">
        <v>62</v>
      </c>
      <c r="B1913" s="28">
        <f t="shared" si="99"/>
        <v>0</v>
      </c>
      <c r="C1913" s="11"/>
      <c r="D1913" s="18" t="str">
        <f t="shared" si="101"/>
        <v>&lt;Rot_X&gt;0.000000&lt;/Rot_X&gt;</v>
      </c>
      <c r="F1913" s="6"/>
      <c r="G1913" s="6"/>
      <c r="H1913" s="6"/>
      <c r="I1913" s="6"/>
      <c r="J1913" s="6"/>
      <c r="K1913" s="6"/>
      <c r="L1913" s="6"/>
      <c r="M1913" s="6"/>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c r="BU1913" s="6"/>
      <c r="BV1913" s="6"/>
      <c r="BW1913" s="6"/>
      <c r="BX1913" s="6"/>
      <c r="BY1913" s="6"/>
      <c r="BZ1913" s="6"/>
      <c r="CA1913" s="6"/>
      <c r="CB1913" s="6"/>
      <c r="CC1913" s="6"/>
      <c r="CD1913" s="6"/>
      <c r="CE1913" s="6"/>
      <c r="CF1913" s="6"/>
      <c r="CG1913" s="6"/>
      <c r="CH1913" s="6"/>
      <c r="CI1913" s="6"/>
      <c r="CJ1913" s="6"/>
      <c r="CK1913" s="6"/>
      <c r="CL1913" s="6"/>
      <c r="CM1913" s="6"/>
      <c r="CN1913" s="6"/>
      <c r="CO1913" s="6"/>
      <c r="CP1913" s="6"/>
      <c r="CQ1913" s="6"/>
      <c r="CR1913" s="6"/>
      <c r="CS1913" s="6"/>
      <c r="CT1913" s="6"/>
      <c r="CU1913" s="6"/>
      <c r="CV1913" s="6"/>
      <c r="CW1913" s="6"/>
      <c r="CX1913" s="6"/>
      <c r="CY1913" s="6"/>
      <c r="CZ1913" s="6"/>
      <c r="DA1913" s="6"/>
      <c r="DB1913" s="6"/>
      <c r="DC1913" s="6"/>
      <c r="DD1913" s="6"/>
    </row>
    <row r="1914" spans="1:108" ht="12.75" hidden="1" customHeight="1" outlineLevel="5">
      <c r="A1914" s="104" t="s">
        <v>63</v>
      </c>
      <c r="B1914" s="28">
        <f t="shared" si="99"/>
        <v>0</v>
      </c>
      <c r="C1914" s="11"/>
      <c r="D1914" s="18" t="str">
        <f t="shared" si="101"/>
        <v>&lt;Rot_Y&gt;0.000000&lt;/Rot_Y&gt;</v>
      </c>
      <c r="F1914" s="6"/>
      <c r="G1914" s="6"/>
      <c r="H1914" s="6"/>
      <c r="I1914" s="6"/>
      <c r="J1914" s="6"/>
      <c r="K1914" s="6"/>
      <c r="L1914" s="6"/>
      <c r="M1914" s="6"/>
      <c r="N1914" s="6"/>
      <c r="O1914" s="6"/>
      <c r="P1914" s="6"/>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c r="BU1914" s="6"/>
      <c r="BV1914" s="6"/>
      <c r="BW1914" s="6"/>
      <c r="BX1914" s="6"/>
      <c r="BY1914" s="6"/>
      <c r="BZ1914" s="6"/>
      <c r="CA1914" s="6"/>
      <c r="CB1914" s="6"/>
      <c r="CC1914" s="6"/>
      <c r="CD1914" s="6"/>
      <c r="CE1914" s="6"/>
      <c r="CF1914" s="6"/>
      <c r="CG1914" s="6"/>
      <c r="CH1914" s="6"/>
      <c r="CI1914" s="6"/>
      <c r="CJ1914" s="6"/>
      <c r="CK1914" s="6"/>
      <c r="CL1914" s="6"/>
      <c r="CM1914" s="6"/>
      <c r="CN1914" s="6"/>
      <c r="CO1914" s="6"/>
      <c r="CP1914" s="6"/>
      <c r="CQ1914" s="6"/>
      <c r="CR1914" s="6"/>
      <c r="CS1914" s="6"/>
      <c r="CT1914" s="6"/>
      <c r="CU1914" s="6"/>
      <c r="CV1914" s="6"/>
      <c r="CW1914" s="6"/>
      <c r="CX1914" s="6"/>
      <c r="CY1914" s="6"/>
      <c r="CZ1914" s="6"/>
      <c r="DA1914" s="6"/>
      <c r="DB1914" s="6"/>
      <c r="DC1914" s="6"/>
      <c r="DD1914" s="6"/>
    </row>
    <row r="1915" spans="1:108" ht="12.75" hidden="1" customHeight="1" outlineLevel="5">
      <c r="A1915" s="104" t="s">
        <v>64</v>
      </c>
      <c r="B1915" s="28">
        <f t="shared" si="99"/>
        <v>0</v>
      </c>
      <c r="C1915" s="11"/>
      <c r="D1915" s="18" t="str">
        <f t="shared" si="101"/>
        <v>&lt;Rot_Z&gt;0.000000&lt;/Rot_Z&gt;</v>
      </c>
      <c r="F1915" s="6"/>
      <c r="G1915" s="6"/>
      <c r="H1915" s="6"/>
      <c r="I1915" s="6"/>
      <c r="J1915" s="6"/>
      <c r="K1915" s="6"/>
      <c r="L1915" s="6"/>
      <c r="M1915" s="6"/>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c r="BU1915" s="6"/>
      <c r="BV1915" s="6"/>
      <c r="BW1915" s="6"/>
      <c r="BX1915" s="6"/>
      <c r="BY1915" s="6"/>
      <c r="BZ1915" s="6"/>
      <c r="CA1915" s="6"/>
      <c r="CB1915" s="6"/>
      <c r="CC1915" s="6"/>
      <c r="CD1915" s="6"/>
      <c r="CE1915" s="6"/>
      <c r="CF1915" s="6"/>
      <c r="CG1915" s="6"/>
      <c r="CH1915" s="6"/>
      <c r="CI1915" s="6"/>
      <c r="CJ1915" s="6"/>
      <c r="CK1915" s="6"/>
      <c r="CL1915" s="6"/>
      <c r="CM1915" s="6"/>
      <c r="CN1915" s="6"/>
      <c r="CO1915" s="6"/>
      <c r="CP1915" s="6"/>
      <c r="CQ1915" s="6"/>
      <c r="CR1915" s="6"/>
      <c r="CS1915" s="6"/>
      <c r="CT1915" s="6"/>
      <c r="CU1915" s="6"/>
      <c r="CV1915" s="6"/>
      <c r="CW1915" s="6"/>
      <c r="CX1915" s="6"/>
      <c r="CY1915" s="6"/>
      <c r="CZ1915" s="6"/>
      <c r="DA1915" s="6"/>
      <c r="DB1915" s="6"/>
      <c r="DC1915" s="6"/>
      <c r="DD1915" s="6"/>
    </row>
    <row r="1916" spans="1:108" ht="12.75" hidden="1" customHeight="1" outlineLevel="5">
      <c r="A1916" s="104" t="s">
        <v>65</v>
      </c>
      <c r="B1916" s="28">
        <f t="shared" si="99"/>
        <v>0</v>
      </c>
      <c r="C1916" s="11"/>
      <c r="D1916" s="18" t="str">
        <f t="shared" si="101"/>
        <v>&lt;RotRel_X&gt;0.000000&lt;/RotRel_X&gt;</v>
      </c>
      <c r="F1916" s="6"/>
      <c r="G1916" s="6"/>
      <c r="H1916" s="6"/>
      <c r="I1916" s="6"/>
      <c r="J1916" s="6"/>
      <c r="K1916" s="6"/>
      <c r="L1916" s="6"/>
      <c r="M1916" s="6"/>
      <c r="N1916" s="6"/>
      <c r="O1916" s="6"/>
      <c r="P1916" s="6"/>
      <c r="Q1916" s="6"/>
      <c r="R1916" s="6"/>
      <c r="S1916" s="6"/>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c r="BU1916" s="6"/>
      <c r="BV1916" s="6"/>
      <c r="BW1916" s="6"/>
      <c r="BX1916" s="6"/>
      <c r="BY1916" s="6"/>
      <c r="BZ1916" s="6"/>
      <c r="CA1916" s="6"/>
      <c r="CB1916" s="6"/>
      <c r="CC1916" s="6"/>
      <c r="CD1916" s="6"/>
      <c r="CE1916" s="6"/>
      <c r="CF1916" s="6"/>
      <c r="CG1916" s="6"/>
      <c r="CH1916" s="6"/>
      <c r="CI1916" s="6"/>
      <c r="CJ1916" s="6"/>
      <c r="CK1916" s="6"/>
      <c r="CL1916" s="6"/>
      <c r="CM1916" s="6"/>
      <c r="CN1916" s="6"/>
      <c r="CO1916" s="6"/>
      <c r="CP1916" s="6"/>
      <c r="CQ1916" s="6"/>
      <c r="CR1916" s="6"/>
      <c r="CS1916" s="6"/>
      <c r="CT1916" s="6"/>
      <c r="CU1916" s="6"/>
      <c r="CV1916" s="6"/>
      <c r="CW1916" s="6"/>
      <c r="CX1916" s="6"/>
      <c r="CY1916" s="6"/>
      <c r="CZ1916" s="6"/>
      <c r="DA1916" s="6"/>
      <c r="DB1916" s="6"/>
      <c r="DC1916" s="6"/>
      <c r="DD1916" s="6"/>
    </row>
    <row r="1917" spans="1:108" ht="12.75" hidden="1" customHeight="1" outlineLevel="5">
      <c r="A1917" s="104" t="s">
        <v>66</v>
      </c>
      <c r="B1917" s="28">
        <f t="shared" si="99"/>
        <v>0</v>
      </c>
      <c r="C1917" s="11"/>
      <c r="D1917" s="18" t="str">
        <f t="shared" si="101"/>
        <v>&lt;RotRel_Y&gt;0.000000&lt;/RotRel_Y&gt;</v>
      </c>
      <c r="F1917" s="6"/>
      <c r="G1917" s="6"/>
      <c r="H1917" s="6"/>
      <c r="I1917" s="6"/>
      <c r="J1917" s="6"/>
      <c r="K1917" s="6"/>
      <c r="L1917" s="6"/>
      <c r="M1917" s="6"/>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c r="BU1917" s="6"/>
      <c r="BV1917" s="6"/>
      <c r="BW1917" s="6"/>
      <c r="BX1917" s="6"/>
      <c r="BY1917" s="6"/>
      <c r="BZ1917" s="6"/>
      <c r="CA1917" s="6"/>
      <c r="CB1917" s="6"/>
      <c r="CC1917" s="6"/>
      <c r="CD1917" s="6"/>
      <c r="CE1917" s="6"/>
      <c r="CF1917" s="6"/>
      <c r="CG1917" s="6"/>
      <c r="CH1917" s="6"/>
      <c r="CI1917" s="6"/>
      <c r="CJ1917" s="6"/>
      <c r="CK1917" s="6"/>
      <c r="CL1917" s="6"/>
      <c r="CM1917" s="6"/>
      <c r="CN1917" s="6"/>
      <c r="CO1917" s="6"/>
      <c r="CP1917" s="6"/>
      <c r="CQ1917" s="6"/>
      <c r="CR1917" s="6"/>
      <c r="CS1917" s="6"/>
      <c r="CT1917" s="6"/>
      <c r="CU1917" s="6"/>
      <c r="CV1917" s="6"/>
      <c r="CW1917" s="6"/>
      <c r="CX1917" s="6"/>
      <c r="CY1917" s="6"/>
      <c r="CZ1917" s="6"/>
      <c r="DA1917" s="6"/>
      <c r="DB1917" s="6"/>
      <c r="DC1917" s="6"/>
      <c r="DD1917" s="6"/>
    </row>
    <row r="1918" spans="1:108" ht="12.75" hidden="1" customHeight="1" outlineLevel="5">
      <c r="A1918" s="104" t="s">
        <v>67</v>
      </c>
      <c r="B1918" s="28">
        <f t="shared" si="99"/>
        <v>0</v>
      </c>
      <c r="C1918" s="11"/>
      <c r="D1918" s="18" t="str">
        <f t="shared" si="101"/>
        <v>&lt;RotRel_Z&gt;0.000000&lt;/RotRel_Z&gt;</v>
      </c>
      <c r="F1918" s="6"/>
      <c r="G1918" s="6"/>
      <c r="H1918" s="6"/>
      <c r="I1918" s="6"/>
      <c r="J1918" s="6"/>
      <c r="K1918" s="6"/>
      <c r="L1918" s="6"/>
      <c r="M1918" s="6"/>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c r="BU1918" s="6"/>
      <c r="BV1918" s="6"/>
      <c r="BW1918" s="6"/>
      <c r="BX1918" s="6"/>
      <c r="BY1918" s="6"/>
      <c r="BZ1918" s="6"/>
      <c r="CA1918" s="6"/>
      <c r="CB1918" s="6"/>
      <c r="CC1918" s="6"/>
      <c r="CD1918" s="6"/>
      <c r="CE1918" s="6"/>
      <c r="CF1918" s="6"/>
      <c r="CG1918" s="6"/>
      <c r="CH1918" s="6"/>
      <c r="CI1918" s="6"/>
      <c r="CJ1918" s="6"/>
      <c r="CK1918" s="6"/>
      <c r="CL1918" s="6"/>
      <c r="CM1918" s="6"/>
      <c r="CN1918" s="6"/>
      <c r="CO1918" s="6"/>
      <c r="CP1918" s="6"/>
      <c r="CQ1918" s="6"/>
      <c r="CR1918" s="6"/>
      <c r="CS1918" s="6"/>
      <c r="CT1918" s="6"/>
      <c r="CU1918" s="6"/>
      <c r="CV1918" s="6"/>
      <c r="CW1918" s="6"/>
      <c r="CX1918" s="6"/>
      <c r="CY1918" s="6"/>
      <c r="CZ1918" s="6"/>
      <c r="DA1918" s="6"/>
      <c r="DB1918" s="6"/>
      <c r="DC1918" s="6"/>
      <c r="DD1918" s="6"/>
    </row>
    <row r="1919" spans="1:108" ht="12.75" hidden="1" customHeight="1" outlineLevel="5">
      <c r="A1919" s="104" t="s">
        <v>68</v>
      </c>
      <c r="B1919" s="28">
        <f t="shared" si="99"/>
        <v>0</v>
      </c>
      <c r="C1919" s="11"/>
      <c r="D1919" s="18" t="str">
        <f t="shared" si="101"/>
        <v>&lt;Origin&gt;0.000000&lt;/Origin&gt;</v>
      </c>
      <c r="F1919" s="6"/>
      <c r="G1919" s="6"/>
      <c r="H1919" s="6"/>
      <c r="I1919" s="6"/>
      <c r="J1919" s="6"/>
      <c r="K1919" s="6"/>
      <c r="L1919" s="6"/>
      <c r="M1919" s="6"/>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c r="BU1919" s="6"/>
      <c r="BV1919" s="6"/>
      <c r="BW1919" s="6"/>
      <c r="BX1919" s="6"/>
      <c r="BY1919" s="6"/>
      <c r="BZ1919" s="6"/>
      <c r="CA1919" s="6"/>
      <c r="CB1919" s="6"/>
      <c r="CC1919" s="6"/>
      <c r="CD1919" s="6"/>
      <c r="CE1919" s="6"/>
      <c r="CF1919" s="6"/>
      <c r="CG1919" s="6"/>
      <c r="CH1919" s="6"/>
      <c r="CI1919" s="6"/>
      <c r="CJ1919" s="6"/>
      <c r="CK1919" s="6"/>
      <c r="CL1919" s="6"/>
      <c r="CM1919" s="6"/>
      <c r="CN1919" s="6"/>
      <c r="CO1919" s="6"/>
      <c r="CP1919" s="6"/>
      <c r="CQ1919" s="6"/>
      <c r="CR1919" s="6"/>
      <c r="CS1919" s="6"/>
      <c r="CT1919" s="6"/>
      <c r="CU1919" s="6"/>
      <c r="CV1919" s="6"/>
      <c r="CW1919" s="6"/>
      <c r="CX1919" s="6"/>
      <c r="CY1919" s="6"/>
      <c r="CZ1919" s="6"/>
      <c r="DA1919" s="6"/>
      <c r="DB1919" s="6"/>
      <c r="DC1919" s="6"/>
      <c r="DD1919" s="6"/>
    </row>
    <row r="1920" spans="1:108" ht="12.75" hidden="1" customHeight="1" outlineLevel="5">
      <c r="A1920" s="104" t="s">
        <v>69</v>
      </c>
      <c r="B1920" s="28">
        <f t="shared" si="99"/>
        <v>1</v>
      </c>
      <c r="C1920" s="11"/>
      <c r="D1920" s="18" t="str">
        <f t="shared" si="101"/>
        <v>&lt;Density&gt;1.000000&lt;/Density&gt;</v>
      </c>
      <c r="F1920" s="6"/>
      <c r="G1920" s="6"/>
      <c r="H1920" s="6"/>
      <c r="I1920" s="6"/>
      <c r="J1920" s="6"/>
      <c r="K1920" s="6"/>
      <c r="L1920" s="6"/>
      <c r="M1920" s="6"/>
      <c r="N1920" s="6"/>
      <c r="O1920" s="6"/>
      <c r="P1920" s="6"/>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c r="BU1920" s="6"/>
      <c r="BV1920" s="6"/>
      <c r="BW1920" s="6"/>
      <c r="BX1920" s="6"/>
      <c r="BY1920" s="6"/>
      <c r="BZ1920" s="6"/>
      <c r="CA1920" s="6"/>
      <c r="CB1920" s="6"/>
      <c r="CC1920" s="6"/>
      <c r="CD1920" s="6"/>
      <c r="CE1920" s="6"/>
      <c r="CF1920" s="6"/>
      <c r="CG1920" s="6"/>
      <c r="CH1920" s="6"/>
      <c r="CI1920" s="6"/>
      <c r="CJ1920" s="6"/>
      <c r="CK1920" s="6"/>
      <c r="CL1920" s="6"/>
      <c r="CM1920" s="6"/>
      <c r="CN1920" s="6"/>
      <c r="CO1920" s="6"/>
      <c r="CP1920" s="6"/>
      <c r="CQ1920" s="6"/>
      <c r="CR1920" s="6"/>
      <c r="CS1920" s="6"/>
      <c r="CT1920" s="6"/>
      <c r="CU1920" s="6"/>
      <c r="CV1920" s="6"/>
      <c r="CW1920" s="6"/>
      <c r="CX1920" s="6"/>
      <c r="CY1920" s="6"/>
      <c r="CZ1920" s="6"/>
      <c r="DA1920" s="6"/>
      <c r="DB1920" s="6"/>
      <c r="DC1920" s="6"/>
      <c r="DD1920" s="6"/>
    </row>
    <row r="1921" spans="1:108" ht="12.75" hidden="1" customHeight="1" outlineLevel="5">
      <c r="A1921" s="104" t="s">
        <v>70</v>
      </c>
      <c r="B1921" s="28">
        <f t="shared" si="99"/>
        <v>1</v>
      </c>
      <c r="C1921" s="11"/>
      <c r="D1921" s="18" t="str">
        <f t="shared" si="101"/>
        <v>&lt;ShellMassArea&gt;1.000000&lt;/ShellMassArea&gt;</v>
      </c>
      <c r="F1921" s="6"/>
      <c r="G1921" s="6"/>
      <c r="H1921" s="6"/>
      <c r="I1921" s="6"/>
      <c r="J1921" s="6"/>
      <c r="K1921" s="6"/>
      <c r="L1921" s="6"/>
      <c r="M1921" s="6"/>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c r="BU1921" s="6"/>
      <c r="BV1921" s="6"/>
      <c r="BW1921" s="6"/>
      <c r="BX1921" s="6"/>
      <c r="BY1921" s="6"/>
      <c r="BZ1921" s="6"/>
      <c r="CA1921" s="6"/>
      <c r="CB1921" s="6"/>
      <c r="CC1921" s="6"/>
      <c r="CD1921" s="6"/>
      <c r="CE1921" s="6"/>
      <c r="CF1921" s="6"/>
      <c r="CG1921" s="6"/>
      <c r="CH1921" s="6"/>
      <c r="CI1921" s="6"/>
      <c r="CJ1921" s="6"/>
      <c r="CK1921" s="6"/>
      <c r="CL1921" s="6"/>
      <c r="CM1921" s="6"/>
      <c r="CN1921" s="6"/>
      <c r="CO1921" s="6"/>
      <c r="CP1921" s="6"/>
      <c r="CQ1921" s="6"/>
      <c r="CR1921" s="6"/>
      <c r="CS1921" s="6"/>
      <c r="CT1921" s="6"/>
      <c r="CU1921" s="6"/>
      <c r="CV1921" s="6"/>
      <c r="CW1921" s="6"/>
      <c r="CX1921" s="6"/>
      <c r="CY1921" s="6"/>
      <c r="CZ1921" s="6"/>
      <c r="DA1921" s="6"/>
      <c r="DB1921" s="6"/>
      <c r="DC1921" s="6"/>
      <c r="DD1921" s="6"/>
    </row>
    <row r="1922" spans="1:108" ht="12.75" hidden="1" customHeight="1" outlineLevel="5">
      <c r="A1922" s="104" t="s">
        <v>71</v>
      </c>
      <c r="B1922" s="28">
        <f t="shared" si="99"/>
        <v>0</v>
      </c>
      <c r="C1922" s="11"/>
      <c r="D1922" s="18" t="str">
        <f>"&lt;" &amp; A1922 &amp; "&gt;" &amp; TEXT(B1922,0) &amp; "&lt;/" &amp; A1922 &amp; "&gt;"</f>
        <v>&lt;RefFlag&gt;0&lt;/RefFlag&gt;</v>
      </c>
      <c r="F1922" s="6"/>
      <c r="G1922" s="6"/>
      <c r="H1922" s="6"/>
      <c r="I1922" s="6"/>
      <c r="J1922" s="6"/>
      <c r="K1922" s="6"/>
      <c r="L1922" s="6"/>
      <c r="M1922" s="6"/>
      <c r="N1922" s="6"/>
      <c r="O1922" s="6"/>
      <c r="P1922" s="6"/>
      <c r="Q1922" s="6"/>
      <c r="R1922" s="6"/>
      <c r="S1922" s="6"/>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c r="BU1922" s="6"/>
      <c r="BV1922" s="6"/>
      <c r="BW1922" s="6"/>
      <c r="BX1922" s="6"/>
      <c r="BY1922" s="6"/>
      <c r="BZ1922" s="6"/>
      <c r="CA1922" s="6"/>
      <c r="CB1922" s="6"/>
      <c r="CC1922" s="6"/>
      <c r="CD1922" s="6"/>
      <c r="CE1922" s="6"/>
      <c r="CF1922" s="6"/>
      <c r="CG1922" s="6"/>
      <c r="CH1922" s="6"/>
      <c r="CI1922" s="6"/>
      <c r="CJ1922" s="6"/>
      <c r="CK1922" s="6"/>
      <c r="CL1922" s="6"/>
      <c r="CM1922" s="6"/>
      <c r="CN1922" s="6"/>
      <c r="CO1922" s="6"/>
      <c r="CP1922" s="6"/>
      <c r="CQ1922" s="6"/>
      <c r="CR1922" s="6"/>
      <c r="CS1922" s="6"/>
      <c r="CT1922" s="6"/>
      <c r="CU1922" s="6"/>
      <c r="CV1922" s="6"/>
      <c r="CW1922" s="6"/>
      <c r="CX1922" s="6"/>
      <c r="CY1922" s="6"/>
      <c r="CZ1922" s="6"/>
      <c r="DA1922" s="6"/>
      <c r="DB1922" s="6"/>
      <c r="DC1922" s="6"/>
      <c r="DD1922" s="6"/>
    </row>
    <row r="1923" spans="1:108" ht="12.75" hidden="1" customHeight="1" outlineLevel="5">
      <c r="A1923" s="104" t="s">
        <v>72</v>
      </c>
      <c r="B1923" s="28">
        <f t="shared" si="99"/>
        <v>100</v>
      </c>
      <c r="C1923" s="11"/>
      <c r="D1923" s="18" t="str">
        <f>"&lt;" &amp; A1923 &amp; "&gt;" &amp; TEXT(B1923,"0.000000") &amp; "&lt;/" &amp; A1923 &amp; "&gt;"</f>
        <v>&lt;RefArea&gt;100.000000&lt;/RefArea&gt;</v>
      </c>
      <c r="F1923" s="6"/>
      <c r="G1923" s="6"/>
      <c r="H1923" s="6"/>
      <c r="I1923" s="6"/>
      <c r="J1923" s="6"/>
      <c r="K1923" s="6"/>
      <c r="L1923" s="6"/>
      <c r="M1923" s="6"/>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c r="BU1923" s="6"/>
      <c r="BV1923" s="6"/>
      <c r="BW1923" s="6"/>
      <c r="BX1923" s="6"/>
      <c r="BY1923" s="6"/>
      <c r="BZ1923" s="6"/>
      <c r="CA1923" s="6"/>
      <c r="CB1923" s="6"/>
      <c r="CC1923" s="6"/>
      <c r="CD1923" s="6"/>
      <c r="CE1923" s="6"/>
      <c r="CF1923" s="6"/>
      <c r="CG1923" s="6"/>
      <c r="CH1923" s="6"/>
      <c r="CI1923" s="6"/>
      <c r="CJ1923" s="6"/>
      <c r="CK1923" s="6"/>
      <c r="CL1923" s="6"/>
      <c r="CM1923" s="6"/>
      <c r="CN1923" s="6"/>
      <c r="CO1923" s="6"/>
      <c r="CP1923" s="6"/>
      <c r="CQ1923" s="6"/>
      <c r="CR1923" s="6"/>
      <c r="CS1923" s="6"/>
      <c r="CT1923" s="6"/>
      <c r="CU1923" s="6"/>
      <c r="CV1923" s="6"/>
      <c r="CW1923" s="6"/>
      <c r="CX1923" s="6"/>
      <c r="CY1923" s="6"/>
      <c r="CZ1923" s="6"/>
      <c r="DA1923" s="6"/>
      <c r="DB1923" s="6"/>
      <c r="DC1923" s="6"/>
      <c r="DD1923" s="6"/>
    </row>
    <row r="1924" spans="1:108" ht="12.75" hidden="1" customHeight="1" outlineLevel="5">
      <c r="A1924" s="104" t="s">
        <v>73</v>
      </c>
      <c r="B1924" s="28">
        <f t="shared" si="99"/>
        <v>10</v>
      </c>
      <c r="C1924" s="11"/>
      <c r="D1924" s="18" t="str">
        <f>"&lt;" &amp; A1924 &amp; "&gt;" &amp; TEXT(B1924,"0.000000") &amp; "&lt;/" &amp; A1924 &amp; "&gt;"</f>
        <v>&lt;RefSpan&gt;10.000000&lt;/RefSpan&gt;</v>
      </c>
      <c r="F1924" s="6"/>
      <c r="G1924" s="6"/>
      <c r="H1924" s="6"/>
      <c r="I1924" s="6"/>
      <c r="J1924" s="6"/>
      <c r="K1924" s="6"/>
      <c r="L1924" s="6"/>
      <c r="M1924" s="6"/>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c r="BU1924" s="6"/>
      <c r="BV1924" s="6"/>
      <c r="BW1924" s="6"/>
      <c r="BX1924" s="6"/>
      <c r="BY1924" s="6"/>
      <c r="BZ1924" s="6"/>
      <c r="CA1924" s="6"/>
      <c r="CB1924" s="6"/>
      <c r="CC1924" s="6"/>
      <c r="CD1924" s="6"/>
      <c r="CE1924" s="6"/>
      <c r="CF1924" s="6"/>
      <c r="CG1924" s="6"/>
      <c r="CH1924" s="6"/>
      <c r="CI1924" s="6"/>
      <c r="CJ1924" s="6"/>
      <c r="CK1924" s="6"/>
      <c r="CL1924" s="6"/>
      <c r="CM1924" s="6"/>
      <c r="CN1924" s="6"/>
      <c r="CO1924" s="6"/>
      <c r="CP1924" s="6"/>
      <c r="CQ1924" s="6"/>
      <c r="CR1924" s="6"/>
      <c r="CS1924" s="6"/>
      <c r="CT1924" s="6"/>
      <c r="CU1924" s="6"/>
      <c r="CV1924" s="6"/>
      <c r="CW1924" s="6"/>
      <c r="CX1924" s="6"/>
      <c r="CY1924" s="6"/>
      <c r="CZ1924" s="6"/>
      <c r="DA1924" s="6"/>
      <c r="DB1924" s="6"/>
      <c r="DC1924" s="6"/>
      <c r="DD1924" s="6"/>
    </row>
    <row r="1925" spans="1:108" ht="12.75" hidden="1" customHeight="1" outlineLevel="5">
      <c r="A1925" s="104" t="s">
        <v>74</v>
      </c>
      <c r="B1925" s="28">
        <f t="shared" si="99"/>
        <v>1</v>
      </c>
      <c r="C1925" s="11"/>
      <c r="D1925" s="18" t="str">
        <f>"&lt;" &amp; A1925 &amp; "&gt;" &amp; TEXT(B1925,"0.000000") &amp; "&lt;/" &amp; A1925 &amp; "&gt;"</f>
        <v>&lt;RefCbar&gt;1.000000&lt;/RefCbar&gt;</v>
      </c>
      <c r="F1925" s="6"/>
      <c r="G1925" s="6"/>
      <c r="H1925" s="6"/>
      <c r="I1925" s="6"/>
      <c r="J1925" s="6"/>
      <c r="K1925" s="6"/>
      <c r="L1925" s="6"/>
      <c r="M1925" s="6"/>
      <c r="N1925" s="6"/>
      <c r="O1925" s="6"/>
      <c r="P1925" s="6"/>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c r="BU1925" s="6"/>
      <c r="BV1925" s="6"/>
      <c r="BW1925" s="6"/>
      <c r="BX1925" s="6"/>
      <c r="BY1925" s="6"/>
      <c r="BZ1925" s="6"/>
      <c r="CA1925" s="6"/>
      <c r="CB1925" s="6"/>
      <c r="CC1925" s="6"/>
      <c r="CD1925" s="6"/>
      <c r="CE1925" s="6"/>
      <c r="CF1925" s="6"/>
      <c r="CG1925" s="6"/>
      <c r="CH1925" s="6"/>
      <c r="CI1925" s="6"/>
      <c r="CJ1925" s="6"/>
      <c r="CK1925" s="6"/>
      <c r="CL1925" s="6"/>
      <c r="CM1925" s="6"/>
      <c r="CN1925" s="6"/>
      <c r="CO1925" s="6"/>
      <c r="CP1925" s="6"/>
      <c r="CQ1925" s="6"/>
      <c r="CR1925" s="6"/>
      <c r="CS1925" s="6"/>
      <c r="CT1925" s="6"/>
      <c r="CU1925" s="6"/>
      <c r="CV1925" s="6"/>
      <c r="CW1925" s="6"/>
      <c r="CX1925" s="6"/>
      <c r="CY1925" s="6"/>
      <c r="CZ1925" s="6"/>
      <c r="DA1925" s="6"/>
      <c r="DB1925" s="6"/>
      <c r="DC1925" s="6"/>
      <c r="DD1925" s="6"/>
    </row>
    <row r="1926" spans="1:108" ht="12.75" hidden="1" customHeight="1" outlineLevel="5">
      <c r="A1926" s="104" t="s">
        <v>75</v>
      </c>
      <c r="B1926" s="28">
        <f t="shared" si="99"/>
        <v>1</v>
      </c>
      <c r="C1926" s="11"/>
      <c r="D1926" s="18" t="str">
        <f>"&lt;" &amp; A1926 &amp; "&gt;" &amp; TEXT(B1926,0) &amp; "&lt;/" &amp; A1926 &amp; "&gt;"</f>
        <v>&lt;AutoRefAreaFlag&gt;1&lt;/AutoRefAreaFlag&gt;</v>
      </c>
      <c r="F1926" s="6"/>
      <c r="G1926" s="6"/>
      <c r="H1926" s="6"/>
      <c r="I1926" s="6"/>
      <c r="J1926" s="6"/>
      <c r="K1926" s="6"/>
      <c r="L1926" s="6"/>
      <c r="M1926" s="6"/>
      <c r="N1926" s="6"/>
      <c r="O1926" s="6"/>
      <c r="P1926" s="6"/>
      <c r="Q1926" s="6"/>
      <c r="R1926" s="6"/>
      <c r="S1926" s="6"/>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c r="BU1926" s="6"/>
      <c r="BV1926" s="6"/>
      <c r="BW1926" s="6"/>
      <c r="BX1926" s="6"/>
      <c r="BY1926" s="6"/>
      <c r="BZ1926" s="6"/>
      <c r="CA1926" s="6"/>
      <c r="CB1926" s="6"/>
      <c r="CC1926" s="6"/>
      <c r="CD1926" s="6"/>
      <c r="CE1926" s="6"/>
      <c r="CF1926" s="6"/>
      <c r="CG1926" s="6"/>
      <c r="CH1926" s="6"/>
      <c r="CI1926" s="6"/>
      <c r="CJ1926" s="6"/>
      <c r="CK1926" s="6"/>
      <c r="CL1926" s="6"/>
      <c r="CM1926" s="6"/>
      <c r="CN1926" s="6"/>
      <c r="CO1926" s="6"/>
      <c r="CP1926" s="6"/>
      <c r="CQ1926" s="6"/>
      <c r="CR1926" s="6"/>
      <c r="CS1926" s="6"/>
      <c r="CT1926" s="6"/>
      <c r="CU1926" s="6"/>
      <c r="CV1926" s="6"/>
      <c r="CW1926" s="6"/>
      <c r="CX1926" s="6"/>
      <c r="CY1926" s="6"/>
      <c r="CZ1926" s="6"/>
      <c r="DA1926" s="6"/>
      <c r="DB1926" s="6"/>
      <c r="DC1926" s="6"/>
      <c r="DD1926" s="6"/>
    </row>
    <row r="1927" spans="1:108" ht="12.75" hidden="1" customHeight="1" outlineLevel="5">
      <c r="A1927" s="104" t="s">
        <v>76</v>
      </c>
      <c r="B1927" s="28">
        <f t="shared" si="99"/>
        <v>1</v>
      </c>
      <c r="C1927" s="11"/>
      <c r="D1927" s="18" t="str">
        <f>"&lt;" &amp; A1927 &amp; "&gt;" &amp; TEXT(B1927,0) &amp; "&lt;/" &amp; A1927 &amp; "&gt;"</f>
        <v>&lt;AutoRefSpanFlag&gt;1&lt;/AutoRefSpanFlag&gt;</v>
      </c>
      <c r="F1927" s="6"/>
      <c r="G1927" s="6"/>
      <c r="H1927" s="6"/>
      <c r="I1927" s="6"/>
      <c r="J1927" s="6"/>
      <c r="K1927" s="6"/>
      <c r="L1927" s="6"/>
      <c r="M1927" s="6"/>
      <c r="N1927" s="6"/>
      <c r="O1927" s="6"/>
      <c r="P1927" s="6"/>
      <c r="Q1927" s="6"/>
      <c r="R1927" s="6"/>
      <c r="S1927" s="6"/>
      <c r="T1927" s="6"/>
      <c r="U1927" s="6"/>
      <c r="V1927" s="6"/>
      <c r="W1927" s="6"/>
      <c r="X1927" s="6"/>
      <c r="Y1927" s="6"/>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c r="BU1927" s="6"/>
      <c r="BV1927" s="6"/>
      <c r="BW1927" s="6"/>
      <c r="BX1927" s="6"/>
      <c r="BY1927" s="6"/>
      <c r="BZ1927" s="6"/>
      <c r="CA1927" s="6"/>
      <c r="CB1927" s="6"/>
      <c r="CC1927" s="6"/>
      <c r="CD1927" s="6"/>
      <c r="CE1927" s="6"/>
      <c r="CF1927" s="6"/>
      <c r="CG1927" s="6"/>
      <c r="CH1927" s="6"/>
      <c r="CI1927" s="6"/>
      <c r="CJ1927" s="6"/>
      <c r="CK1927" s="6"/>
      <c r="CL1927" s="6"/>
      <c r="CM1927" s="6"/>
      <c r="CN1927" s="6"/>
      <c r="CO1927" s="6"/>
      <c r="CP1927" s="6"/>
      <c r="CQ1927" s="6"/>
      <c r="CR1927" s="6"/>
      <c r="CS1927" s="6"/>
      <c r="CT1927" s="6"/>
      <c r="CU1927" s="6"/>
      <c r="CV1927" s="6"/>
      <c r="CW1927" s="6"/>
      <c r="CX1927" s="6"/>
      <c r="CY1927" s="6"/>
      <c r="CZ1927" s="6"/>
      <c r="DA1927" s="6"/>
      <c r="DB1927" s="6"/>
      <c r="DC1927" s="6"/>
      <c r="DD1927" s="6"/>
    </row>
    <row r="1928" spans="1:108" ht="12.75" hidden="1" customHeight="1" outlineLevel="5">
      <c r="A1928" s="104" t="s">
        <v>77</v>
      </c>
      <c r="B1928" s="28">
        <f t="shared" si="99"/>
        <v>1</v>
      </c>
      <c r="C1928" s="11"/>
      <c r="D1928" s="18" t="str">
        <f>"&lt;" &amp; A1928 &amp; "&gt;" &amp; TEXT(B1928,0) &amp; "&lt;/" &amp; A1928 &amp; "&gt;"</f>
        <v>&lt;AutoRefCbarFlag&gt;1&lt;/AutoRefCbarFlag&gt;</v>
      </c>
      <c r="F1928" s="6"/>
      <c r="G1928" s="6"/>
      <c r="H1928" s="6"/>
      <c r="I1928" s="6"/>
      <c r="J1928" s="6"/>
      <c r="K1928" s="6"/>
      <c r="L1928" s="6"/>
      <c r="M1928" s="6"/>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c r="BU1928" s="6"/>
      <c r="BV1928" s="6"/>
      <c r="BW1928" s="6"/>
      <c r="BX1928" s="6"/>
      <c r="BY1928" s="6"/>
      <c r="BZ1928" s="6"/>
      <c r="CA1928" s="6"/>
      <c r="CB1928" s="6"/>
      <c r="CC1928" s="6"/>
      <c r="CD1928" s="6"/>
      <c r="CE1928" s="6"/>
      <c r="CF1928" s="6"/>
      <c r="CG1928" s="6"/>
      <c r="CH1928" s="6"/>
      <c r="CI1928" s="6"/>
      <c r="CJ1928" s="6"/>
      <c r="CK1928" s="6"/>
      <c r="CL1928" s="6"/>
      <c r="CM1928" s="6"/>
      <c r="CN1928" s="6"/>
      <c r="CO1928" s="6"/>
      <c r="CP1928" s="6"/>
      <c r="CQ1928" s="6"/>
      <c r="CR1928" s="6"/>
      <c r="CS1928" s="6"/>
      <c r="CT1928" s="6"/>
      <c r="CU1928" s="6"/>
      <c r="CV1928" s="6"/>
      <c r="CW1928" s="6"/>
      <c r="CX1928" s="6"/>
      <c r="CY1928" s="6"/>
      <c r="CZ1928" s="6"/>
      <c r="DA1928" s="6"/>
      <c r="DB1928" s="6"/>
      <c r="DC1928" s="6"/>
      <c r="DD1928" s="6"/>
    </row>
    <row r="1929" spans="1:108" ht="12.75" hidden="1" customHeight="1" outlineLevel="5">
      <c r="A1929" s="104" t="s">
        <v>78</v>
      </c>
      <c r="B1929" s="28">
        <f t="shared" si="99"/>
        <v>0</v>
      </c>
      <c r="C1929" s="11"/>
      <c r="D1929" s="18" t="str">
        <f>"&lt;" &amp; A1929 &amp; "&gt;" &amp; TEXT(B1929,"0.000000") &amp; "&lt;/" &amp; A1929 &amp; "&gt;"</f>
        <v>&lt;AeroCenter_X&gt;0.000000&lt;/AeroCenter_X&gt;</v>
      </c>
      <c r="F1929" s="6"/>
      <c r="G1929" s="6"/>
      <c r="H1929" s="6"/>
      <c r="I1929" s="6"/>
      <c r="J1929" s="6"/>
      <c r="K1929" s="6"/>
      <c r="L1929" s="6"/>
      <c r="M1929" s="6"/>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c r="BU1929" s="6"/>
      <c r="BV1929" s="6"/>
      <c r="BW1929" s="6"/>
      <c r="BX1929" s="6"/>
      <c r="BY1929" s="6"/>
      <c r="BZ1929" s="6"/>
      <c r="CA1929" s="6"/>
      <c r="CB1929" s="6"/>
      <c r="CC1929" s="6"/>
      <c r="CD1929" s="6"/>
      <c r="CE1929" s="6"/>
      <c r="CF1929" s="6"/>
      <c r="CG1929" s="6"/>
      <c r="CH1929" s="6"/>
      <c r="CI1929" s="6"/>
      <c r="CJ1929" s="6"/>
      <c r="CK1929" s="6"/>
      <c r="CL1929" s="6"/>
      <c r="CM1929" s="6"/>
      <c r="CN1929" s="6"/>
      <c r="CO1929" s="6"/>
      <c r="CP1929" s="6"/>
      <c r="CQ1929" s="6"/>
      <c r="CR1929" s="6"/>
      <c r="CS1929" s="6"/>
      <c r="CT1929" s="6"/>
      <c r="CU1929" s="6"/>
      <c r="CV1929" s="6"/>
      <c r="CW1929" s="6"/>
      <c r="CX1929" s="6"/>
      <c r="CY1929" s="6"/>
      <c r="CZ1929" s="6"/>
      <c r="DA1929" s="6"/>
      <c r="DB1929" s="6"/>
      <c r="DC1929" s="6"/>
      <c r="DD1929" s="6"/>
    </row>
    <row r="1930" spans="1:108" ht="12.75" hidden="1" customHeight="1" outlineLevel="5">
      <c r="A1930" s="104" t="s">
        <v>79</v>
      </c>
      <c r="B1930" s="28">
        <f t="shared" si="99"/>
        <v>0</v>
      </c>
      <c r="C1930" s="11"/>
      <c r="D1930" s="18" t="str">
        <f>"&lt;" &amp; A1930 &amp; "&gt;" &amp; TEXT(B1930,"0.000000") &amp; "&lt;/" &amp; A1930 &amp; "&gt;"</f>
        <v>&lt;AeroCenter_Y&gt;0.000000&lt;/AeroCenter_Y&gt;</v>
      </c>
      <c r="F1930" s="6"/>
      <c r="G1930" s="6"/>
      <c r="H1930" s="6"/>
      <c r="I1930" s="6"/>
      <c r="J1930" s="6"/>
      <c r="K1930" s="6"/>
      <c r="L1930" s="6"/>
      <c r="M1930" s="6"/>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c r="BU1930" s="6"/>
      <c r="BV1930" s="6"/>
      <c r="BW1930" s="6"/>
      <c r="BX1930" s="6"/>
      <c r="BY1930" s="6"/>
      <c r="BZ1930" s="6"/>
      <c r="CA1930" s="6"/>
      <c r="CB1930" s="6"/>
      <c r="CC1930" s="6"/>
      <c r="CD1930" s="6"/>
      <c r="CE1930" s="6"/>
      <c r="CF1930" s="6"/>
      <c r="CG1930" s="6"/>
      <c r="CH1930" s="6"/>
      <c r="CI1930" s="6"/>
      <c r="CJ1930" s="6"/>
      <c r="CK1930" s="6"/>
      <c r="CL1930" s="6"/>
      <c r="CM1930" s="6"/>
      <c r="CN1930" s="6"/>
      <c r="CO1930" s="6"/>
      <c r="CP1930" s="6"/>
      <c r="CQ1930" s="6"/>
      <c r="CR1930" s="6"/>
      <c r="CS1930" s="6"/>
      <c r="CT1930" s="6"/>
      <c r="CU1930" s="6"/>
      <c r="CV1930" s="6"/>
      <c r="CW1930" s="6"/>
      <c r="CX1930" s="6"/>
      <c r="CY1930" s="6"/>
      <c r="CZ1930" s="6"/>
      <c r="DA1930" s="6"/>
      <c r="DB1930" s="6"/>
      <c r="DC1930" s="6"/>
      <c r="DD1930" s="6"/>
    </row>
    <row r="1931" spans="1:108" ht="12.75" hidden="1" customHeight="1" outlineLevel="5">
      <c r="A1931" s="104" t="s">
        <v>80</v>
      </c>
      <c r="B1931" s="28">
        <f t="shared" si="99"/>
        <v>0</v>
      </c>
      <c r="C1931" s="11"/>
      <c r="D1931" s="18" t="str">
        <f>"&lt;" &amp; A1931 &amp; "&gt;" &amp; TEXT(B1931,"0.000000") &amp; "&lt;/" &amp; A1931 &amp; "&gt;"</f>
        <v>&lt;AeroCenter_Z&gt;0.000000&lt;/AeroCenter_Z&gt;</v>
      </c>
      <c r="F1931" s="6"/>
      <c r="G1931" s="6"/>
      <c r="H1931" s="6"/>
      <c r="I1931" s="6"/>
      <c r="J1931" s="6"/>
      <c r="K1931" s="6"/>
      <c r="L1931" s="6"/>
      <c r="M1931" s="6"/>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c r="BU1931" s="6"/>
      <c r="BV1931" s="6"/>
      <c r="BW1931" s="6"/>
      <c r="BX1931" s="6"/>
      <c r="BY1931" s="6"/>
      <c r="BZ1931" s="6"/>
      <c r="CA1931" s="6"/>
      <c r="CB1931" s="6"/>
      <c r="CC1931" s="6"/>
      <c r="CD1931" s="6"/>
      <c r="CE1931" s="6"/>
      <c r="CF1931" s="6"/>
      <c r="CG1931" s="6"/>
      <c r="CH1931" s="6"/>
      <c r="CI1931" s="6"/>
      <c r="CJ1931" s="6"/>
      <c r="CK1931" s="6"/>
      <c r="CL1931" s="6"/>
      <c r="CM1931" s="6"/>
      <c r="CN1931" s="6"/>
      <c r="CO1931" s="6"/>
      <c r="CP1931" s="6"/>
      <c r="CQ1931" s="6"/>
      <c r="CR1931" s="6"/>
      <c r="CS1931" s="6"/>
      <c r="CT1931" s="6"/>
      <c r="CU1931" s="6"/>
      <c r="CV1931" s="6"/>
      <c r="CW1931" s="6"/>
      <c r="CX1931" s="6"/>
      <c r="CY1931" s="6"/>
      <c r="CZ1931" s="6"/>
      <c r="DA1931" s="6"/>
      <c r="DB1931" s="6"/>
      <c r="DC1931" s="6"/>
      <c r="DD1931" s="6"/>
    </row>
    <row r="1932" spans="1:108" ht="12.75" hidden="1" customHeight="1" outlineLevel="5">
      <c r="A1932" s="104" t="s">
        <v>81</v>
      </c>
      <c r="B1932" s="28">
        <f t="shared" si="99"/>
        <v>1</v>
      </c>
      <c r="C1932" s="11"/>
      <c r="D1932" s="18" t="str">
        <f>"&lt;" &amp; A1932 &amp; "&gt;" &amp; TEXT(B1932,0) &amp; "&lt;/" &amp; A1932 &amp; "&gt;"</f>
        <v>&lt;AutoAeroCenterFlag&gt;1&lt;/AutoAeroCenterFlag&gt;</v>
      </c>
      <c r="F1932" s="6"/>
      <c r="G1932" s="6"/>
      <c r="H1932" s="6"/>
      <c r="I1932" s="6"/>
      <c r="J1932" s="6"/>
      <c r="K1932" s="6"/>
      <c r="L1932" s="6"/>
      <c r="M1932" s="6"/>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c r="BU1932" s="6"/>
      <c r="BV1932" s="6"/>
      <c r="BW1932" s="6"/>
      <c r="BX1932" s="6"/>
      <c r="BY1932" s="6"/>
      <c r="BZ1932" s="6"/>
      <c r="CA1932" s="6"/>
      <c r="CB1932" s="6"/>
      <c r="CC1932" s="6"/>
      <c r="CD1932" s="6"/>
      <c r="CE1932" s="6"/>
      <c r="CF1932" s="6"/>
      <c r="CG1932" s="6"/>
      <c r="CH1932" s="6"/>
      <c r="CI1932" s="6"/>
      <c r="CJ1932" s="6"/>
      <c r="CK1932" s="6"/>
      <c r="CL1932" s="6"/>
      <c r="CM1932" s="6"/>
      <c r="CN1932" s="6"/>
      <c r="CO1932" s="6"/>
      <c r="CP1932" s="6"/>
      <c r="CQ1932" s="6"/>
      <c r="CR1932" s="6"/>
      <c r="CS1932" s="6"/>
      <c r="CT1932" s="6"/>
      <c r="CU1932" s="6"/>
      <c r="CV1932" s="6"/>
      <c r="CW1932" s="6"/>
      <c r="CX1932" s="6"/>
      <c r="CY1932" s="6"/>
      <c r="CZ1932" s="6"/>
      <c r="DA1932" s="6"/>
      <c r="DB1932" s="6"/>
      <c r="DC1932" s="6"/>
      <c r="DD1932" s="6"/>
    </row>
    <row r="1933" spans="1:108" ht="12.75" hidden="1" customHeight="1" outlineLevel="5">
      <c r="A1933" s="104" t="s">
        <v>82</v>
      </c>
      <c r="B1933" s="28">
        <f t="shared" si="99"/>
        <v>0</v>
      </c>
      <c r="C1933" s="11"/>
      <c r="D1933" s="18" t="str">
        <f>"&lt;" &amp; A1933 &amp; "&gt;" &amp; TEXT(B1933,0) &amp; "&lt;/" &amp; A1933 &amp; "&gt;"</f>
        <v>&lt;WakeActiveFlag&gt;0&lt;/WakeActiveFlag&gt;</v>
      </c>
      <c r="F1933" s="6"/>
      <c r="G1933" s="6"/>
      <c r="H1933" s="6"/>
      <c r="I1933" s="6"/>
      <c r="J1933" s="6"/>
      <c r="K1933" s="6"/>
      <c r="L1933" s="6"/>
      <c r="M1933" s="6"/>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c r="BU1933" s="6"/>
      <c r="BV1933" s="6"/>
      <c r="BW1933" s="6"/>
      <c r="BX1933" s="6"/>
      <c r="BY1933" s="6"/>
      <c r="BZ1933" s="6"/>
      <c r="CA1933" s="6"/>
      <c r="CB1933" s="6"/>
      <c r="CC1933" s="6"/>
      <c r="CD1933" s="6"/>
      <c r="CE1933" s="6"/>
      <c r="CF1933" s="6"/>
      <c r="CG1933" s="6"/>
      <c r="CH1933" s="6"/>
      <c r="CI1933" s="6"/>
      <c r="CJ1933" s="6"/>
      <c r="CK1933" s="6"/>
      <c r="CL1933" s="6"/>
      <c r="CM1933" s="6"/>
      <c r="CN1933" s="6"/>
      <c r="CO1933" s="6"/>
      <c r="CP1933" s="6"/>
      <c r="CQ1933" s="6"/>
      <c r="CR1933" s="6"/>
      <c r="CS1933" s="6"/>
      <c r="CT1933" s="6"/>
      <c r="CU1933" s="6"/>
      <c r="CV1933" s="6"/>
      <c r="CW1933" s="6"/>
      <c r="CX1933" s="6"/>
      <c r="CY1933" s="6"/>
      <c r="CZ1933" s="6"/>
      <c r="DA1933" s="6"/>
      <c r="DB1933" s="6"/>
      <c r="DC1933" s="6"/>
      <c r="DD1933" s="6"/>
    </row>
    <row r="1934" spans="1:108" ht="12.75" hidden="1" customHeight="1" outlineLevel="5">
      <c r="A1934" s="104" t="s">
        <v>83</v>
      </c>
      <c r="B1934" s="28">
        <f t="shared" si="99"/>
        <v>3</v>
      </c>
      <c r="C1934" s="11"/>
      <c r="D1934" s="18" t="str">
        <f>"&lt;" &amp; A1934 &amp; "&gt;" &amp; TEXT(B1934,0) &amp; "&lt;/" &amp; A1934 &amp; "&gt;"</f>
        <v>&lt;PosAttachFlag&gt;3&lt;/PosAttachFlag&gt;</v>
      </c>
      <c r="F1934" s="6"/>
      <c r="G1934" s="6"/>
      <c r="H1934" s="6"/>
      <c r="I1934" s="6"/>
      <c r="J1934" s="6"/>
      <c r="K1934" s="6"/>
      <c r="L1934" s="6"/>
      <c r="M1934" s="6"/>
      <c r="N1934" s="6"/>
      <c r="O1934" s="6"/>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c r="BU1934" s="6"/>
      <c r="BV1934" s="6"/>
      <c r="BW1934" s="6"/>
      <c r="BX1934" s="6"/>
      <c r="BY1934" s="6"/>
      <c r="BZ1934" s="6"/>
      <c r="CA1934" s="6"/>
      <c r="CB1934" s="6"/>
      <c r="CC1934" s="6"/>
      <c r="CD1934" s="6"/>
      <c r="CE1934" s="6"/>
      <c r="CF1934" s="6"/>
      <c r="CG1934" s="6"/>
      <c r="CH1934" s="6"/>
      <c r="CI1934" s="6"/>
      <c r="CJ1934" s="6"/>
      <c r="CK1934" s="6"/>
      <c r="CL1934" s="6"/>
      <c r="CM1934" s="6"/>
      <c r="CN1934" s="6"/>
      <c r="CO1934" s="6"/>
      <c r="CP1934" s="6"/>
      <c r="CQ1934" s="6"/>
      <c r="CR1934" s="6"/>
      <c r="CS1934" s="6"/>
      <c r="CT1934" s="6"/>
      <c r="CU1934" s="6"/>
      <c r="CV1934" s="6"/>
      <c r="CW1934" s="6"/>
      <c r="CX1934" s="6"/>
      <c r="CY1934" s="6"/>
      <c r="CZ1934" s="6"/>
      <c r="DA1934" s="6"/>
      <c r="DB1934" s="6"/>
      <c r="DC1934" s="6"/>
      <c r="DD1934" s="6"/>
    </row>
    <row r="1935" spans="1:108" ht="12.75" hidden="1" customHeight="1" outlineLevel="5">
      <c r="A1935" s="104" t="s">
        <v>84</v>
      </c>
      <c r="B1935" s="28">
        <f t="shared" si="99"/>
        <v>0</v>
      </c>
      <c r="C1935" s="11"/>
      <c r="D1935" s="18" t="str">
        <f>"&lt;" &amp; A1935 &amp; "&gt;" &amp; TEXT(B1935,"0.000000") &amp; "&lt;/" &amp; A1935 &amp; "&gt;"</f>
        <v>&lt;U_Attach&gt;0.000000&lt;/U_Attach&gt;</v>
      </c>
      <c r="F1935" s="6"/>
      <c r="G1935" s="6"/>
      <c r="H1935" s="6"/>
      <c r="I1935" s="6"/>
      <c r="J1935" s="6"/>
      <c r="K1935" s="6"/>
      <c r="L1935" s="6"/>
      <c r="M1935" s="6"/>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c r="BU1935" s="6"/>
      <c r="BV1935" s="6"/>
      <c r="BW1935" s="6"/>
      <c r="BX1935" s="6"/>
      <c r="BY1935" s="6"/>
      <c r="BZ1935" s="6"/>
      <c r="CA1935" s="6"/>
      <c r="CB1935" s="6"/>
      <c r="CC1935" s="6"/>
      <c r="CD1935" s="6"/>
      <c r="CE1935" s="6"/>
      <c r="CF1935" s="6"/>
      <c r="CG1935" s="6"/>
      <c r="CH1935" s="6"/>
      <c r="CI1935" s="6"/>
      <c r="CJ1935" s="6"/>
      <c r="CK1935" s="6"/>
      <c r="CL1935" s="6"/>
      <c r="CM1935" s="6"/>
      <c r="CN1935" s="6"/>
      <c r="CO1935" s="6"/>
      <c r="CP1935" s="6"/>
      <c r="CQ1935" s="6"/>
      <c r="CR1935" s="6"/>
      <c r="CS1935" s="6"/>
      <c r="CT1935" s="6"/>
      <c r="CU1935" s="6"/>
      <c r="CV1935" s="6"/>
      <c r="CW1935" s="6"/>
      <c r="CX1935" s="6"/>
      <c r="CY1935" s="6"/>
      <c r="CZ1935" s="6"/>
      <c r="DA1935" s="6"/>
      <c r="DB1935" s="6"/>
      <c r="DC1935" s="6"/>
      <c r="DD1935" s="6"/>
    </row>
    <row r="1936" spans="1:108" ht="12.75" hidden="1" customHeight="1" outlineLevel="5">
      <c r="A1936" s="104" t="s">
        <v>85</v>
      </c>
      <c r="B1936" s="28">
        <f t="shared" si="99"/>
        <v>0</v>
      </c>
      <c r="C1936" s="11"/>
      <c r="D1936" s="18" t="str">
        <f>"&lt;" &amp; A1936 &amp; "&gt;" &amp; TEXT(B1936,"0.000000") &amp; "&lt;/" &amp; A1936 &amp; "&gt;"</f>
        <v>&lt;V_Attach&gt;0.000000&lt;/V_Attach&gt;</v>
      </c>
      <c r="F1936" s="6"/>
      <c r="G1936" s="6"/>
      <c r="H1936" s="6"/>
      <c r="I1936" s="6"/>
      <c r="J1936" s="6"/>
      <c r="K1936" s="6"/>
      <c r="L1936" s="6"/>
      <c r="M1936" s="6"/>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c r="BU1936" s="6"/>
      <c r="BV1936" s="6"/>
      <c r="BW1936" s="6"/>
      <c r="BX1936" s="6"/>
      <c r="BY1936" s="6"/>
      <c r="BZ1936" s="6"/>
      <c r="CA1936" s="6"/>
      <c r="CB1936" s="6"/>
      <c r="CC1936" s="6"/>
      <c r="CD1936" s="6"/>
      <c r="CE1936" s="6"/>
      <c r="CF1936" s="6"/>
      <c r="CG1936" s="6"/>
      <c r="CH1936" s="6"/>
      <c r="CI1936" s="6"/>
      <c r="CJ1936" s="6"/>
      <c r="CK1936" s="6"/>
      <c r="CL1936" s="6"/>
      <c r="CM1936" s="6"/>
      <c r="CN1936" s="6"/>
      <c r="CO1936" s="6"/>
      <c r="CP1936" s="6"/>
      <c r="CQ1936" s="6"/>
      <c r="CR1936" s="6"/>
      <c r="CS1936" s="6"/>
      <c r="CT1936" s="6"/>
      <c r="CU1936" s="6"/>
      <c r="CV1936" s="6"/>
      <c r="CW1936" s="6"/>
      <c r="CX1936" s="6"/>
      <c r="CY1936" s="6"/>
      <c r="CZ1936" s="6"/>
      <c r="DA1936" s="6"/>
      <c r="DB1936" s="6"/>
      <c r="DC1936" s="6"/>
      <c r="DD1936" s="6"/>
    </row>
    <row r="1937" spans="1:108" ht="12.75" hidden="1" customHeight="1" outlineLevel="5">
      <c r="A1937" s="104" t="s">
        <v>86</v>
      </c>
      <c r="B1937" s="28">
        <v>426023</v>
      </c>
      <c r="C1937" s="11"/>
      <c r="D1937" s="18" t="str">
        <f>"&lt;" &amp; A1937 &amp; "&gt;" &amp; TEXT(B1937,0) &amp; "&lt;/" &amp; A1937 &amp; "&gt;"</f>
        <v>&lt;PtrID&gt;426023&lt;/PtrID&gt;</v>
      </c>
      <c r="F1937" s="6"/>
      <c r="G1937" s="6"/>
      <c r="H1937" s="6"/>
      <c r="I1937" s="6"/>
      <c r="J1937" s="6"/>
      <c r="K1937" s="6"/>
      <c r="L1937" s="6"/>
      <c r="M1937" s="6"/>
      <c r="N1937" s="6"/>
      <c r="O1937" s="6"/>
      <c r="P1937" s="6"/>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c r="BU1937" s="6"/>
      <c r="BV1937" s="6"/>
      <c r="BW1937" s="6"/>
      <c r="BX1937" s="6"/>
      <c r="BY1937" s="6"/>
      <c r="BZ1937" s="6"/>
      <c r="CA1937" s="6"/>
      <c r="CB1937" s="6"/>
      <c r="CC1937" s="6"/>
      <c r="CD1937" s="6"/>
      <c r="CE1937" s="6"/>
      <c r="CF1937" s="6"/>
      <c r="CG1937" s="6"/>
      <c r="CH1937" s="6"/>
      <c r="CI1937" s="6"/>
      <c r="CJ1937" s="6"/>
      <c r="CK1937" s="6"/>
      <c r="CL1937" s="6"/>
      <c r="CM1937" s="6"/>
      <c r="CN1937" s="6"/>
      <c r="CO1937" s="6"/>
      <c r="CP1937" s="6"/>
      <c r="CQ1937" s="6"/>
      <c r="CR1937" s="6"/>
      <c r="CS1937" s="6"/>
      <c r="CT1937" s="6"/>
      <c r="CU1937" s="6"/>
      <c r="CV1937" s="6"/>
      <c r="CW1937" s="6"/>
      <c r="CX1937" s="6"/>
      <c r="CY1937" s="6"/>
      <c r="CZ1937" s="6"/>
      <c r="DA1937" s="6"/>
      <c r="DB1937" s="6"/>
      <c r="DC1937" s="6"/>
      <c r="DD1937" s="6"/>
    </row>
    <row r="1938" spans="1:108" ht="12.75" hidden="1" customHeight="1" outlineLevel="5">
      <c r="A1938" s="104" t="s">
        <v>87</v>
      </c>
      <c r="B1938" s="28">
        <v>148674848</v>
      </c>
      <c r="C1938" s="11"/>
      <c r="D1938" s="18" t="str">
        <f>"&lt;" &amp; A1938 &amp; "&gt;" &amp; TEXT(B1938,0) &amp; "&lt;/" &amp; A1938 &amp; "&gt;"</f>
        <v>&lt;Parent_PtrID&gt;148674848&lt;/Parent_PtrID&gt;</v>
      </c>
      <c r="F1938" s="6"/>
      <c r="G1938" s="6"/>
      <c r="H1938" s="6"/>
      <c r="I1938" s="6"/>
      <c r="J1938" s="6"/>
      <c r="K1938" s="6"/>
      <c r="L1938" s="6"/>
      <c r="M1938" s="6"/>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c r="BU1938" s="6"/>
      <c r="BV1938" s="6"/>
      <c r="BW1938" s="6"/>
      <c r="BX1938" s="6"/>
      <c r="BY1938" s="6"/>
      <c r="BZ1938" s="6"/>
      <c r="CA1938" s="6"/>
      <c r="CB1938" s="6"/>
      <c r="CC1938" s="6"/>
      <c r="CD1938" s="6"/>
      <c r="CE1938" s="6"/>
      <c r="CF1938" s="6"/>
      <c r="CG1938" s="6"/>
      <c r="CH1938" s="6"/>
      <c r="CI1938" s="6"/>
      <c r="CJ1938" s="6"/>
      <c r="CK1938" s="6"/>
      <c r="CL1938" s="6"/>
      <c r="CM1938" s="6"/>
      <c r="CN1938" s="6"/>
      <c r="CO1938" s="6"/>
      <c r="CP1938" s="6"/>
      <c r="CQ1938" s="6"/>
      <c r="CR1938" s="6"/>
      <c r="CS1938" s="6"/>
      <c r="CT1938" s="6"/>
      <c r="CU1938" s="6"/>
      <c r="CV1938" s="6"/>
      <c r="CW1938" s="6"/>
      <c r="CX1938" s="6"/>
      <c r="CY1938" s="6"/>
      <c r="CZ1938" s="6"/>
      <c r="DA1938" s="6"/>
      <c r="DB1938" s="6"/>
      <c r="DC1938" s="6"/>
      <c r="DD1938" s="6"/>
    </row>
    <row r="1939" spans="1:108" ht="12.75" hidden="1" customHeight="1" outlineLevel="5">
      <c r="A1939" s="104" t="s">
        <v>88</v>
      </c>
      <c r="B1939" s="100"/>
      <c r="C1939" s="11"/>
      <c r="D1939" s="6" t="str">
        <f>"&lt;" &amp; A1939 &amp; "&gt;"</f>
        <v>&lt;/General_Parms&gt;</v>
      </c>
      <c r="F1939" s="6"/>
      <c r="G1939" s="6"/>
      <c r="H1939" s="6"/>
      <c r="I1939" s="6"/>
      <c r="J1939" s="6"/>
      <c r="K1939" s="6"/>
      <c r="L1939" s="6"/>
      <c r="M1939" s="6"/>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c r="BU1939" s="6"/>
      <c r="BV1939" s="6"/>
      <c r="BW1939" s="6"/>
      <c r="BX1939" s="6"/>
      <c r="BY1939" s="6"/>
      <c r="BZ1939" s="6"/>
      <c r="CA1939" s="6"/>
      <c r="CB1939" s="6"/>
      <c r="CC1939" s="6"/>
      <c r="CD1939" s="6"/>
      <c r="CE1939" s="6"/>
      <c r="CF1939" s="6"/>
      <c r="CG1939" s="6"/>
      <c r="CH1939" s="6"/>
      <c r="CI1939" s="6"/>
      <c r="CJ1939" s="6"/>
      <c r="CK1939" s="6"/>
      <c r="CL1939" s="6"/>
      <c r="CM1939" s="6"/>
      <c r="CN1939" s="6"/>
      <c r="CO1939" s="6"/>
      <c r="CP1939" s="6"/>
      <c r="CQ1939" s="6"/>
      <c r="CR1939" s="6"/>
      <c r="CS1939" s="6"/>
      <c r="CT1939" s="6"/>
      <c r="CU1939" s="6"/>
      <c r="CV1939" s="6"/>
      <c r="CW1939" s="6"/>
      <c r="CX1939" s="6"/>
      <c r="CY1939" s="6"/>
      <c r="CZ1939" s="6"/>
      <c r="DA1939" s="6"/>
      <c r="DB1939" s="6"/>
      <c r="DC1939" s="6"/>
      <c r="DD1939" s="6"/>
    </row>
    <row r="1940" spans="1:108" ht="12.75" hidden="1" customHeight="1" outlineLevel="4" collapsed="1">
      <c r="A1940" s="104" t="s">
        <v>297</v>
      </c>
      <c r="B1940" s="100"/>
      <c r="C1940" s="11"/>
      <c r="D1940" s="6" t="str">
        <f>"&lt;" &amp; A1940 &amp; "&gt;"</f>
        <v>&lt;Prop_Parms&gt;</v>
      </c>
      <c r="F1940" s="6"/>
      <c r="G1940" s="6"/>
      <c r="H1940" s="6"/>
      <c r="I1940" s="6"/>
      <c r="J1940" s="6"/>
      <c r="K1940" s="6"/>
      <c r="L1940" s="6"/>
      <c r="M1940" s="6"/>
      <c r="N1940" s="6"/>
      <c r="O1940" s="6"/>
      <c r="P1940" s="6"/>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c r="BU1940" s="6"/>
      <c r="BV1940" s="6"/>
      <c r="BW1940" s="6"/>
      <c r="BX1940" s="6"/>
      <c r="BY1940" s="6"/>
      <c r="BZ1940" s="6"/>
      <c r="CA1940" s="6"/>
      <c r="CB1940" s="6"/>
      <c r="CC1940" s="6"/>
      <c r="CD1940" s="6"/>
      <c r="CE1940" s="6"/>
      <c r="CF1940" s="6"/>
      <c r="CG1940" s="6"/>
      <c r="CH1940" s="6"/>
      <c r="CI1940" s="6"/>
      <c r="CJ1940" s="6"/>
      <c r="CK1940" s="6"/>
      <c r="CL1940" s="6"/>
      <c r="CM1940" s="6"/>
      <c r="CN1940" s="6"/>
      <c r="CO1940" s="6"/>
      <c r="CP1940" s="6"/>
      <c r="CQ1940" s="6"/>
      <c r="CR1940" s="6"/>
      <c r="CS1940" s="6"/>
      <c r="CT1940" s="6"/>
      <c r="CU1940" s="6"/>
      <c r="CV1940" s="6"/>
      <c r="CW1940" s="6"/>
      <c r="CX1940" s="6"/>
      <c r="CY1940" s="6"/>
      <c r="CZ1940" s="6"/>
      <c r="DA1940" s="6"/>
      <c r="DB1940" s="6"/>
      <c r="DC1940" s="6"/>
      <c r="DD1940" s="6"/>
    </row>
    <row r="1941" spans="1:108" ht="12.75" hidden="1" customHeight="1" outlineLevel="5">
      <c r="A1941" s="104" t="s">
        <v>298</v>
      </c>
      <c r="B1941" s="117">
        <f t="shared" ref="B1941:B1972" si="102">B1408</f>
        <v>6</v>
      </c>
      <c r="C1941" s="11"/>
      <c r="D1941" s="18" t="str">
        <f>"&lt;" &amp; A1941 &amp; "&gt;" &amp; TEXT(B1941,0) &amp; "&lt;/" &amp; A1941 &amp; "&gt;"</f>
        <v>&lt;NumBlades&gt;6&lt;/NumBlades&gt;</v>
      </c>
      <c r="F1941" s="6"/>
      <c r="G1941" s="6"/>
      <c r="H1941" s="6"/>
      <c r="I1941" s="6"/>
      <c r="J1941" s="6"/>
      <c r="K1941" s="6"/>
      <c r="L1941" s="6"/>
      <c r="M1941" s="6"/>
      <c r="N1941" s="6"/>
      <c r="O1941" s="6"/>
      <c r="P1941" s="6"/>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c r="BU1941" s="6"/>
      <c r="BV1941" s="6"/>
      <c r="BW1941" s="6"/>
      <c r="BX1941" s="6"/>
      <c r="BY1941" s="6"/>
      <c r="BZ1941" s="6"/>
      <c r="CA1941" s="6"/>
      <c r="CB1941" s="6"/>
      <c r="CC1941" s="6"/>
      <c r="CD1941" s="6"/>
      <c r="CE1941" s="6"/>
      <c r="CF1941" s="6"/>
      <c r="CG1941" s="6"/>
      <c r="CH1941" s="6"/>
      <c r="CI1941" s="6"/>
      <c r="CJ1941" s="6"/>
      <c r="CK1941" s="6"/>
      <c r="CL1941" s="6"/>
      <c r="CM1941" s="6"/>
      <c r="CN1941" s="6"/>
      <c r="CO1941" s="6"/>
      <c r="CP1941" s="6"/>
      <c r="CQ1941" s="6"/>
      <c r="CR1941" s="6"/>
      <c r="CS1941" s="6"/>
      <c r="CT1941" s="6"/>
      <c r="CU1941" s="6"/>
      <c r="CV1941" s="6"/>
      <c r="CW1941" s="6"/>
      <c r="CX1941" s="6"/>
      <c r="CY1941" s="6"/>
      <c r="CZ1941" s="6"/>
      <c r="DA1941" s="6"/>
      <c r="DB1941" s="6"/>
      <c r="DC1941" s="6"/>
      <c r="DD1941" s="6"/>
    </row>
    <row r="1942" spans="1:108" ht="12.75" hidden="1" customHeight="1" outlineLevel="5">
      <c r="A1942" s="104" t="s">
        <v>299</v>
      </c>
      <c r="B1942" s="28">
        <f t="shared" si="102"/>
        <v>1</v>
      </c>
      <c r="C1942" s="11"/>
      <c r="D1942" s="18" t="str">
        <f>"&lt;" &amp; A1942 &amp; "&gt;" &amp; TEXT(B1942,0) &amp; "&lt;/" &amp; A1942 &amp; "&gt;"</f>
        <v>&lt;SmoothFlag&gt;1&lt;/SmoothFlag&gt;</v>
      </c>
      <c r="F1942" s="6"/>
      <c r="G1942" s="6"/>
      <c r="H1942" s="6"/>
      <c r="I1942" s="6"/>
      <c r="J1942" s="6"/>
      <c r="K1942" s="6"/>
      <c r="L1942" s="6"/>
      <c r="M1942" s="6"/>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c r="BU1942" s="6"/>
      <c r="BV1942" s="6"/>
      <c r="BW1942" s="6"/>
      <c r="BX1942" s="6"/>
      <c r="BY1942" s="6"/>
      <c r="BZ1942" s="6"/>
      <c r="CA1942" s="6"/>
      <c r="CB1942" s="6"/>
      <c r="CC1942" s="6"/>
      <c r="CD1942" s="6"/>
      <c r="CE1942" s="6"/>
      <c r="CF1942" s="6"/>
      <c r="CG1942" s="6"/>
      <c r="CH1942" s="6"/>
      <c r="CI1942" s="6"/>
      <c r="CJ1942" s="6"/>
      <c r="CK1942" s="6"/>
      <c r="CL1942" s="6"/>
      <c r="CM1942" s="6"/>
      <c r="CN1942" s="6"/>
      <c r="CO1942" s="6"/>
      <c r="CP1942" s="6"/>
      <c r="CQ1942" s="6"/>
      <c r="CR1942" s="6"/>
      <c r="CS1942" s="6"/>
      <c r="CT1942" s="6"/>
      <c r="CU1942" s="6"/>
      <c r="CV1942" s="6"/>
      <c r="CW1942" s="6"/>
      <c r="CX1942" s="6"/>
      <c r="CY1942" s="6"/>
      <c r="CZ1942" s="6"/>
      <c r="DA1942" s="6"/>
      <c r="DB1942" s="6"/>
      <c r="DC1942" s="6"/>
      <c r="DD1942" s="6"/>
    </row>
    <row r="1943" spans="1:108" ht="12.75" hidden="1" customHeight="1" outlineLevel="5">
      <c r="A1943" s="104" t="s">
        <v>300</v>
      </c>
      <c r="B1943" s="28">
        <f t="shared" si="102"/>
        <v>3</v>
      </c>
      <c r="C1943" s="11"/>
      <c r="D1943" s="18" t="str">
        <f>"&lt;" &amp; A1943 &amp; "&gt;" &amp; TEXT(B1943,0) &amp; "&lt;/" &amp; A1943 &amp; "&gt;"</f>
        <v>&lt;NumU&gt;3&lt;/NumU&gt;</v>
      </c>
      <c r="F1943" s="6"/>
      <c r="G1943" s="6"/>
      <c r="H1943" s="6"/>
      <c r="I1943" s="6"/>
      <c r="J1943" s="6"/>
      <c r="K1943" s="6"/>
      <c r="L1943" s="6"/>
      <c r="M1943" s="6"/>
      <c r="N1943" s="6"/>
      <c r="O1943" s="6"/>
      <c r="P1943" s="6"/>
      <c r="Q1943" s="6"/>
      <c r="R1943" s="6"/>
      <c r="S1943" s="6"/>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c r="BU1943" s="6"/>
      <c r="BV1943" s="6"/>
      <c r="BW1943" s="6"/>
      <c r="BX1943" s="6"/>
      <c r="BY1943" s="6"/>
      <c r="BZ1943" s="6"/>
      <c r="CA1943" s="6"/>
      <c r="CB1943" s="6"/>
      <c r="CC1943" s="6"/>
      <c r="CD1943" s="6"/>
      <c r="CE1943" s="6"/>
      <c r="CF1943" s="6"/>
      <c r="CG1943" s="6"/>
      <c r="CH1943" s="6"/>
      <c r="CI1943" s="6"/>
      <c r="CJ1943" s="6"/>
      <c r="CK1943" s="6"/>
      <c r="CL1943" s="6"/>
      <c r="CM1943" s="6"/>
      <c r="CN1943" s="6"/>
      <c r="CO1943" s="6"/>
      <c r="CP1943" s="6"/>
      <c r="CQ1943" s="6"/>
      <c r="CR1943" s="6"/>
      <c r="CS1943" s="6"/>
      <c r="CT1943" s="6"/>
      <c r="CU1943" s="6"/>
      <c r="CV1943" s="6"/>
      <c r="CW1943" s="6"/>
      <c r="CX1943" s="6"/>
      <c r="CY1943" s="6"/>
      <c r="CZ1943" s="6"/>
      <c r="DA1943" s="6"/>
      <c r="DB1943" s="6"/>
      <c r="DC1943" s="6"/>
      <c r="DD1943" s="6"/>
    </row>
    <row r="1944" spans="1:108" ht="12.75" hidden="1" customHeight="1" outlineLevel="5">
      <c r="A1944" s="104" t="s">
        <v>301</v>
      </c>
      <c r="B1944" s="28">
        <f t="shared" si="102"/>
        <v>1</v>
      </c>
      <c r="C1944" s="11"/>
      <c r="D1944" s="18" t="str">
        <f>"&lt;" &amp; A1944 &amp; "&gt;" &amp; TEXT(B1944,0) &amp; "&lt;/" &amp; A1944 &amp; "&gt;"</f>
        <v>&lt;NumW&gt;1&lt;/NumW&gt;</v>
      </c>
      <c r="F1944" s="6"/>
      <c r="G1944" s="6"/>
      <c r="H1944" s="6"/>
      <c r="I1944" s="6"/>
      <c r="J1944" s="6"/>
      <c r="K1944" s="6"/>
      <c r="L1944" s="6"/>
      <c r="M1944" s="6"/>
      <c r="N1944" s="6"/>
      <c r="O1944" s="6"/>
      <c r="P1944" s="6"/>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c r="BU1944" s="6"/>
      <c r="BV1944" s="6"/>
      <c r="BW1944" s="6"/>
      <c r="BX1944" s="6"/>
      <c r="BY1944" s="6"/>
      <c r="BZ1944" s="6"/>
      <c r="CA1944" s="6"/>
      <c r="CB1944" s="6"/>
      <c r="CC1944" s="6"/>
      <c r="CD1944" s="6"/>
      <c r="CE1944" s="6"/>
      <c r="CF1944" s="6"/>
      <c r="CG1944" s="6"/>
      <c r="CH1944" s="6"/>
      <c r="CI1944" s="6"/>
      <c r="CJ1944" s="6"/>
      <c r="CK1944" s="6"/>
      <c r="CL1944" s="6"/>
      <c r="CM1944" s="6"/>
      <c r="CN1944" s="6"/>
      <c r="CO1944" s="6"/>
      <c r="CP1944" s="6"/>
      <c r="CQ1944" s="6"/>
      <c r="CR1944" s="6"/>
      <c r="CS1944" s="6"/>
      <c r="CT1944" s="6"/>
      <c r="CU1944" s="6"/>
      <c r="CV1944" s="6"/>
      <c r="CW1944" s="6"/>
      <c r="CX1944" s="6"/>
      <c r="CY1944" s="6"/>
      <c r="CZ1944" s="6"/>
      <c r="DA1944" s="6"/>
      <c r="DB1944" s="6"/>
      <c r="DC1944" s="6"/>
      <c r="DD1944" s="6"/>
    </row>
    <row r="1945" spans="1:108" ht="12.75" hidden="1" customHeight="1" outlineLevel="5">
      <c r="A1945" s="104" t="s">
        <v>302</v>
      </c>
      <c r="B1945" s="94">
        <f t="shared" si="102"/>
        <v>3.1715565509235231</v>
      </c>
      <c r="C1945" s="11"/>
      <c r="D1945" s="18" t="str">
        <f>"&lt;" &amp; A1945 &amp; "&gt;" &amp; TEXT(B1945,"0.000000") &amp; "&lt;/" &amp; A1945 &amp; "&gt;"</f>
        <v>&lt;Diameter&gt;3.171557&lt;/Diameter&gt;</v>
      </c>
      <c r="F1945" s="6"/>
      <c r="G1945" s="6"/>
      <c r="H1945" s="6"/>
      <c r="I1945" s="6"/>
      <c r="J1945" s="6"/>
      <c r="K1945" s="6"/>
      <c r="L1945" s="6"/>
      <c r="M1945" s="6"/>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c r="BU1945" s="6"/>
      <c r="BV1945" s="6"/>
      <c r="BW1945" s="6"/>
      <c r="BX1945" s="6"/>
      <c r="BY1945" s="6"/>
      <c r="BZ1945" s="6"/>
      <c r="CA1945" s="6"/>
      <c r="CB1945" s="6"/>
      <c r="CC1945" s="6"/>
      <c r="CD1945" s="6"/>
      <c r="CE1945" s="6"/>
      <c r="CF1945" s="6"/>
      <c r="CG1945" s="6"/>
      <c r="CH1945" s="6"/>
      <c r="CI1945" s="6"/>
      <c r="CJ1945" s="6"/>
      <c r="CK1945" s="6"/>
      <c r="CL1945" s="6"/>
      <c r="CM1945" s="6"/>
      <c r="CN1945" s="6"/>
      <c r="CO1945" s="6"/>
      <c r="CP1945" s="6"/>
      <c r="CQ1945" s="6"/>
      <c r="CR1945" s="6"/>
      <c r="CS1945" s="6"/>
      <c r="CT1945" s="6"/>
      <c r="CU1945" s="6"/>
      <c r="CV1945" s="6"/>
      <c r="CW1945" s="6"/>
      <c r="CX1945" s="6"/>
      <c r="CY1945" s="6"/>
      <c r="CZ1945" s="6"/>
      <c r="DA1945" s="6"/>
      <c r="DB1945" s="6"/>
      <c r="DC1945" s="6"/>
      <c r="DD1945" s="6"/>
    </row>
    <row r="1946" spans="1:108" ht="12.75" hidden="1" customHeight="1" outlineLevel="5">
      <c r="A1946" s="104" t="s">
        <v>303</v>
      </c>
      <c r="B1946" s="28">
        <f t="shared" si="102"/>
        <v>0</v>
      </c>
      <c r="C1946" s="11"/>
      <c r="D1946" s="18" t="str">
        <f>"&lt;" &amp; A1946 &amp; "&gt;" &amp; TEXT(B1946,"0.000000") &amp; "&lt;/" &amp; A1946 &amp; "&gt;"</f>
        <v>&lt;ConeAngle&gt;0.000000&lt;/ConeAngle&gt;</v>
      </c>
      <c r="F1946" s="6"/>
      <c r="G1946" s="6"/>
      <c r="H1946" s="6"/>
      <c r="I1946" s="6"/>
      <c r="J1946" s="6"/>
      <c r="K1946" s="6"/>
      <c r="L1946" s="6"/>
      <c r="M1946" s="6"/>
      <c r="N1946" s="6"/>
      <c r="O1946" s="6"/>
      <c r="P1946" s="6"/>
      <c r="Q1946" s="6"/>
      <c r="R1946" s="6"/>
      <c r="S1946" s="6"/>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c r="BU1946" s="6"/>
      <c r="BV1946" s="6"/>
      <c r="BW1946" s="6"/>
      <c r="BX1946" s="6"/>
      <c r="BY1946" s="6"/>
      <c r="BZ1946" s="6"/>
      <c r="CA1946" s="6"/>
      <c r="CB1946" s="6"/>
      <c r="CC1946" s="6"/>
      <c r="CD1946" s="6"/>
      <c r="CE1946" s="6"/>
      <c r="CF1946" s="6"/>
      <c r="CG1946" s="6"/>
      <c r="CH1946" s="6"/>
      <c r="CI1946" s="6"/>
      <c r="CJ1946" s="6"/>
      <c r="CK1946" s="6"/>
      <c r="CL1946" s="6"/>
      <c r="CM1946" s="6"/>
      <c r="CN1946" s="6"/>
      <c r="CO1946" s="6"/>
      <c r="CP1946" s="6"/>
      <c r="CQ1946" s="6"/>
      <c r="CR1946" s="6"/>
      <c r="CS1946" s="6"/>
      <c r="CT1946" s="6"/>
      <c r="CU1946" s="6"/>
      <c r="CV1946" s="6"/>
      <c r="CW1946" s="6"/>
      <c r="CX1946" s="6"/>
      <c r="CY1946" s="6"/>
      <c r="CZ1946" s="6"/>
      <c r="DA1946" s="6"/>
      <c r="DB1946" s="6"/>
      <c r="DC1946" s="6"/>
      <c r="DD1946" s="6"/>
    </row>
    <row r="1947" spans="1:108" ht="12.75" hidden="1" customHeight="1" outlineLevel="5">
      <c r="A1947" s="104" t="s">
        <v>304</v>
      </c>
      <c r="B1947" s="28">
        <f t="shared" si="102"/>
        <v>0</v>
      </c>
      <c r="C1947" s="11"/>
      <c r="D1947" s="18" t="str">
        <f>"&lt;" &amp; A1947 &amp; "&gt;" &amp; TEXT(B1947,"0.000000") &amp; "&lt;/" &amp; A1947 &amp; "&gt;"</f>
        <v>&lt;Pitch&gt;0.000000&lt;/Pitch&gt;</v>
      </c>
      <c r="F1947" s="6"/>
      <c r="G1947" s="6"/>
      <c r="H1947" s="6"/>
      <c r="I1947" s="6"/>
      <c r="J1947" s="6"/>
      <c r="K1947" s="6"/>
      <c r="L1947" s="6"/>
      <c r="M1947" s="6"/>
      <c r="N1947" s="6"/>
      <c r="O1947" s="6"/>
      <c r="P1947" s="6"/>
      <c r="Q1947" s="6"/>
      <c r="R1947" s="6"/>
      <c r="S1947" s="6"/>
      <c r="T1947" s="6"/>
      <c r="U1947" s="6"/>
      <c r="V1947" s="6"/>
      <c r="W1947" s="6"/>
      <c r="X1947" s="6"/>
      <c r="Y1947" s="6"/>
      <c r="Z1947" s="6"/>
      <c r="AA1947" s="6"/>
      <c r="AB1947" s="6"/>
      <c r="AC1947" s="6"/>
      <c r="AD1947" s="6"/>
      <c r="AE1947" s="6"/>
      <c r="AF1947" s="6"/>
      <c r="AG1947" s="6"/>
      <c r="AH1947" s="6"/>
      <c r="AI1947" s="6"/>
      <c r="AJ1947" s="6"/>
      <c r="AK1947" s="6"/>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c r="BU1947" s="6"/>
      <c r="BV1947" s="6"/>
      <c r="BW1947" s="6"/>
      <c r="BX1947" s="6"/>
      <c r="BY1947" s="6"/>
      <c r="BZ1947" s="6"/>
      <c r="CA1947" s="6"/>
      <c r="CB1947" s="6"/>
      <c r="CC1947" s="6"/>
      <c r="CD1947" s="6"/>
      <c r="CE1947" s="6"/>
      <c r="CF1947" s="6"/>
      <c r="CG1947" s="6"/>
      <c r="CH1947" s="6"/>
      <c r="CI1947" s="6"/>
      <c r="CJ1947" s="6"/>
      <c r="CK1947" s="6"/>
      <c r="CL1947" s="6"/>
      <c r="CM1947" s="6"/>
      <c r="CN1947" s="6"/>
      <c r="CO1947" s="6"/>
      <c r="CP1947" s="6"/>
      <c r="CQ1947" s="6"/>
      <c r="CR1947" s="6"/>
      <c r="CS1947" s="6"/>
      <c r="CT1947" s="6"/>
      <c r="CU1947" s="6"/>
      <c r="CV1947" s="6"/>
      <c r="CW1947" s="6"/>
      <c r="CX1947" s="6"/>
      <c r="CY1947" s="6"/>
      <c r="CZ1947" s="6"/>
      <c r="DA1947" s="6"/>
      <c r="DB1947" s="6"/>
      <c r="DC1947" s="6"/>
      <c r="DD1947" s="6"/>
    </row>
    <row r="1948" spans="1:108" ht="12.75" hidden="1" customHeight="1" outlineLevel="5">
      <c r="A1948" s="104" t="s">
        <v>305</v>
      </c>
      <c r="B1948" s="110" t="s">
        <v>400</v>
      </c>
      <c r="C1948" s="11"/>
      <c r="D1948" s="6" t="str">
        <f>"&lt;" &amp; A1948 &amp; "&gt;"</f>
        <v>&lt;Sect_Parms&gt;</v>
      </c>
      <c r="F1948" s="6"/>
      <c r="G1948" s="6"/>
      <c r="H1948" s="6"/>
      <c r="I1948" s="6"/>
      <c r="J1948" s="6"/>
      <c r="K1948" s="6"/>
      <c r="L1948" s="6"/>
      <c r="M1948" s="6"/>
      <c r="N1948" s="6"/>
      <c r="O1948" s="6"/>
      <c r="P1948" s="6"/>
      <c r="Q1948" s="6"/>
      <c r="R1948" s="6"/>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c r="BU1948" s="6"/>
      <c r="BV1948" s="6"/>
      <c r="BW1948" s="6"/>
      <c r="BX1948" s="6"/>
      <c r="BY1948" s="6"/>
      <c r="BZ1948" s="6"/>
      <c r="CA1948" s="6"/>
      <c r="CB1948" s="6"/>
      <c r="CC1948" s="6"/>
      <c r="CD1948" s="6"/>
      <c r="CE1948" s="6"/>
      <c r="CF1948" s="6"/>
      <c r="CG1948" s="6"/>
      <c r="CH1948" s="6"/>
      <c r="CI1948" s="6"/>
      <c r="CJ1948" s="6"/>
      <c r="CK1948" s="6"/>
      <c r="CL1948" s="6"/>
      <c r="CM1948" s="6"/>
      <c r="CN1948" s="6"/>
      <c r="CO1948" s="6"/>
      <c r="CP1948" s="6"/>
      <c r="CQ1948" s="6"/>
      <c r="CR1948" s="6"/>
      <c r="CS1948" s="6"/>
      <c r="CT1948" s="6"/>
      <c r="CU1948" s="6"/>
      <c r="CV1948" s="6"/>
      <c r="CW1948" s="6"/>
      <c r="CX1948" s="6"/>
      <c r="CY1948" s="6"/>
      <c r="CZ1948" s="6"/>
      <c r="DA1948" s="6"/>
      <c r="DB1948" s="6"/>
      <c r="DC1948" s="6"/>
      <c r="DD1948" s="6"/>
    </row>
    <row r="1949" spans="1:108" ht="12.75" hidden="1" customHeight="1" outlineLevel="6">
      <c r="A1949" s="104" t="s">
        <v>306</v>
      </c>
      <c r="B1949" s="28">
        <f t="shared" si="102"/>
        <v>0.05</v>
      </c>
      <c r="C1949" s="11"/>
      <c r="D1949" s="18" t="str">
        <f>"&lt;" &amp; A1949 &amp; "&gt;" &amp; TEXT(B1949,"0.000000") &amp; "&lt;/" &amp; A1949 &amp; "&gt;"</f>
        <v>&lt;X_Off&gt;0.050000&lt;/X_Off&gt;</v>
      </c>
      <c r="F1949" s="6"/>
      <c r="G1949" s="6"/>
      <c r="H1949" s="6"/>
      <c r="I1949" s="6"/>
      <c r="J1949" s="6"/>
      <c r="K1949" s="6"/>
      <c r="L1949" s="6"/>
      <c r="M1949" s="6"/>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c r="BU1949" s="6"/>
      <c r="BV1949" s="6"/>
      <c r="BW1949" s="6"/>
      <c r="BX1949" s="6"/>
      <c r="BY1949" s="6"/>
      <c r="BZ1949" s="6"/>
      <c r="CA1949" s="6"/>
      <c r="CB1949" s="6"/>
      <c r="CC1949" s="6"/>
      <c r="CD1949" s="6"/>
      <c r="CE1949" s="6"/>
      <c r="CF1949" s="6"/>
      <c r="CG1949" s="6"/>
      <c r="CH1949" s="6"/>
      <c r="CI1949" s="6"/>
      <c r="CJ1949" s="6"/>
      <c r="CK1949" s="6"/>
      <c r="CL1949" s="6"/>
      <c r="CM1949" s="6"/>
      <c r="CN1949" s="6"/>
      <c r="CO1949" s="6"/>
      <c r="CP1949" s="6"/>
      <c r="CQ1949" s="6"/>
      <c r="CR1949" s="6"/>
      <c r="CS1949" s="6"/>
      <c r="CT1949" s="6"/>
      <c r="CU1949" s="6"/>
      <c r="CV1949" s="6"/>
      <c r="CW1949" s="6"/>
      <c r="CX1949" s="6"/>
      <c r="CY1949" s="6"/>
      <c r="CZ1949" s="6"/>
      <c r="DA1949" s="6"/>
      <c r="DB1949" s="6"/>
      <c r="DC1949" s="6"/>
      <c r="DD1949" s="6"/>
    </row>
    <row r="1950" spans="1:108" ht="12.75" hidden="1" customHeight="1" outlineLevel="6">
      <c r="A1950" s="104" t="s">
        <v>307</v>
      </c>
      <c r="B1950" s="28">
        <f t="shared" si="102"/>
        <v>0</v>
      </c>
      <c r="C1950" s="11"/>
      <c r="D1950" s="18" t="str">
        <f>"&lt;" &amp; A1950 &amp; "&gt;" &amp; TEXT(B1950,"0.000000") &amp; "&lt;/" &amp; A1950 &amp; "&gt;"</f>
        <v>&lt;Y_Off&gt;0.000000&lt;/Y_Off&gt;</v>
      </c>
      <c r="F1950" s="6"/>
      <c r="G1950" s="6"/>
      <c r="H1950" s="6"/>
      <c r="I1950" s="6"/>
      <c r="J1950" s="6"/>
      <c r="K1950" s="6"/>
      <c r="L1950" s="6"/>
      <c r="M1950" s="6"/>
      <c r="N1950" s="6"/>
      <c r="O1950" s="6"/>
      <c r="P1950" s="6"/>
      <c r="Q1950" s="6"/>
      <c r="R1950" s="6"/>
      <c r="S1950" s="6"/>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c r="BU1950" s="6"/>
      <c r="BV1950" s="6"/>
      <c r="BW1950" s="6"/>
      <c r="BX1950" s="6"/>
      <c r="BY1950" s="6"/>
      <c r="BZ1950" s="6"/>
      <c r="CA1950" s="6"/>
      <c r="CB1950" s="6"/>
      <c r="CC1950" s="6"/>
      <c r="CD1950" s="6"/>
      <c r="CE1950" s="6"/>
      <c r="CF1950" s="6"/>
      <c r="CG1950" s="6"/>
      <c r="CH1950" s="6"/>
      <c r="CI1950" s="6"/>
      <c r="CJ1950" s="6"/>
      <c r="CK1950" s="6"/>
      <c r="CL1950" s="6"/>
      <c r="CM1950" s="6"/>
      <c r="CN1950" s="6"/>
      <c r="CO1950" s="6"/>
      <c r="CP1950" s="6"/>
      <c r="CQ1950" s="6"/>
      <c r="CR1950" s="6"/>
      <c r="CS1950" s="6"/>
      <c r="CT1950" s="6"/>
      <c r="CU1950" s="6"/>
      <c r="CV1950" s="6"/>
      <c r="CW1950" s="6"/>
      <c r="CX1950" s="6"/>
      <c r="CY1950" s="6"/>
      <c r="CZ1950" s="6"/>
      <c r="DA1950" s="6"/>
      <c r="DB1950" s="6"/>
      <c r="DC1950" s="6"/>
      <c r="DD1950" s="6"/>
    </row>
    <row r="1951" spans="1:108" ht="12.75" hidden="1" customHeight="1" outlineLevel="6">
      <c r="A1951" s="104" t="s">
        <v>287</v>
      </c>
      <c r="B1951" s="28">
        <f t="shared" si="102"/>
        <v>0.08</v>
      </c>
      <c r="C1951" s="11"/>
      <c r="D1951" s="18" t="str">
        <f>"&lt;" &amp; A1951 &amp; "&gt;" &amp; TEXT(B1951,"0.000000") &amp; "&lt;/" &amp; A1951 &amp; "&gt;"</f>
        <v>&lt;Chord&gt;0.080000&lt;/Chord&gt;</v>
      </c>
      <c r="F1951" s="6"/>
      <c r="G1951" s="6"/>
      <c r="H1951" s="6"/>
      <c r="I1951" s="6"/>
      <c r="J1951" s="6"/>
      <c r="K1951" s="6"/>
      <c r="L1951" s="6"/>
      <c r="M1951" s="6"/>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c r="BU1951" s="6"/>
      <c r="BV1951" s="6"/>
      <c r="BW1951" s="6"/>
      <c r="BX1951" s="6"/>
      <c r="BY1951" s="6"/>
      <c r="BZ1951" s="6"/>
      <c r="CA1951" s="6"/>
      <c r="CB1951" s="6"/>
      <c r="CC1951" s="6"/>
      <c r="CD1951" s="6"/>
      <c r="CE1951" s="6"/>
      <c r="CF1951" s="6"/>
      <c r="CG1951" s="6"/>
      <c r="CH1951" s="6"/>
      <c r="CI1951" s="6"/>
      <c r="CJ1951" s="6"/>
      <c r="CK1951" s="6"/>
      <c r="CL1951" s="6"/>
      <c r="CM1951" s="6"/>
      <c r="CN1951" s="6"/>
      <c r="CO1951" s="6"/>
      <c r="CP1951" s="6"/>
      <c r="CQ1951" s="6"/>
      <c r="CR1951" s="6"/>
      <c r="CS1951" s="6"/>
      <c r="CT1951" s="6"/>
      <c r="CU1951" s="6"/>
      <c r="CV1951" s="6"/>
      <c r="CW1951" s="6"/>
      <c r="CX1951" s="6"/>
      <c r="CY1951" s="6"/>
      <c r="CZ1951" s="6"/>
      <c r="DA1951" s="6"/>
      <c r="DB1951" s="6"/>
      <c r="DC1951" s="6"/>
      <c r="DD1951" s="6"/>
    </row>
    <row r="1952" spans="1:108" ht="12.75" hidden="1" customHeight="1" outlineLevel="6">
      <c r="A1952" s="104" t="s">
        <v>9</v>
      </c>
      <c r="B1952" s="28">
        <f t="shared" si="102"/>
        <v>45</v>
      </c>
      <c r="C1952" s="11"/>
      <c r="D1952" s="18" t="str">
        <f>"&lt;" &amp; A1952 &amp; "&gt;" &amp; TEXT(B1952,"0.000000") &amp; "&lt;/" &amp; A1952 &amp; "&gt;"</f>
        <v>&lt;Twist&gt;45.000000&lt;/Twist&gt;</v>
      </c>
      <c r="F1952" s="6"/>
      <c r="G1952" s="6"/>
      <c r="H1952" s="6"/>
      <c r="I1952" s="6"/>
      <c r="J1952" s="6"/>
      <c r="K1952" s="6"/>
      <c r="L1952" s="6"/>
      <c r="M1952" s="6"/>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c r="BU1952" s="6"/>
      <c r="BV1952" s="6"/>
      <c r="BW1952" s="6"/>
      <c r="BX1952" s="6"/>
      <c r="BY1952" s="6"/>
      <c r="BZ1952" s="6"/>
      <c r="CA1952" s="6"/>
      <c r="CB1952" s="6"/>
      <c r="CC1952" s="6"/>
      <c r="CD1952" s="6"/>
      <c r="CE1952" s="6"/>
      <c r="CF1952" s="6"/>
      <c r="CG1952" s="6"/>
      <c r="CH1952" s="6"/>
      <c r="CI1952" s="6"/>
      <c r="CJ1952" s="6"/>
      <c r="CK1952" s="6"/>
      <c r="CL1952" s="6"/>
      <c r="CM1952" s="6"/>
      <c r="CN1952" s="6"/>
      <c r="CO1952" s="6"/>
      <c r="CP1952" s="6"/>
      <c r="CQ1952" s="6"/>
      <c r="CR1952" s="6"/>
      <c r="CS1952" s="6"/>
      <c r="CT1952" s="6"/>
      <c r="CU1952" s="6"/>
      <c r="CV1952" s="6"/>
      <c r="CW1952" s="6"/>
      <c r="CX1952" s="6"/>
      <c r="CY1952" s="6"/>
      <c r="CZ1952" s="6"/>
      <c r="DA1952" s="6"/>
      <c r="DB1952" s="6"/>
      <c r="DC1952" s="6"/>
      <c r="DD1952" s="6"/>
    </row>
    <row r="1953" spans="1:108" ht="12.75" hidden="1" customHeight="1" outlineLevel="6">
      <c r="A1953" s="104" t="s">
        <v>2</v>
      </c>
      <c r="B1953" s="100"/>
      <c r="C1953" s="11"/>
      <c r="D1953" s="6" t="str">
        <f>"&lt;" &amp; A1953 &amp; "&gt;"</f>
        <v>&lt;Airfoil&gt;</v>
      </c>
      <c r="F1953" s="6"/>
      <c r="G1953" s="6"/>
      <c r="H1953" s="6"/>
      <c r="I1953" s="6"/>
      <c r="J1953" s="6"/>
      <c r="K1953" s="6"/>
      <c r="L1953" s="6"/>
      <c r="M1953" s="6"/>
      <c r="N1953" s="6"/>
      <c r="O1953" s="6"/>
      <c r="P1953" s="6"/>
      <c r="Q1953" s="6"/>
      <c r="R1953" s="6"/>
      <c r="S1953" s="6"/>
      <c r="T1953" s="6"/>
      <c r="U1953" s="6"/>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c r="BU1953" s="6"/>
      <c r="BV1953" s="6"/>
      <c r="BW1953" s="6"/>
      <c r="BX1953" s="6"/>
      <c r="BY1953" s="6"/>
      <c r="BZ1953" s="6"/>
      <c r="CA1953" s="6"/>
      <c r="CB1953" s="6"/>
      <c r="CC1953" s="6"/>
      <c r="CD1953" s="6"/>
      <c r="CE1953" s="6"/>
      <c r="CF1953" s="6"/>
      <c r="CG1953" s="6"/>
      <c r="CH1953" s="6"/>
      <c r="CI1953" s="6"/>
      <c r="CJ1953" s="6"/>
      <c r="CK1953" s="6"/>
      <c r="CL1953" s="6"/>
      <c r="CM1953" s="6"/>
      <c r="CN1953" s="6"/>
      <c r="CO1953" s="6"/>
      <c r="CP1953" s="6"/>
      <c r="CQ1953" s="6"/>
      <c r="CR1953" s="6"/>
      <c r="CS1953" s="6"/>
      <c r="CT1953" s="6"/>
      <c r="CU1953" s="6"/>
      <c r="CV1953" s="6"/>
      <c r="CW1953" s="6"/>
      <c r="CX1953" s="6"/>
      <c r="CY1953" s="6"/>
      <c r="CZ1953" s="6"/>
      <c r="DA1953" s="6"/>
      <c r="DB1953" s="6"/>
      <c r="DC1953" s="6"/>
      <c r="DD1953" s="6"/>
    </row>
    <row r="1954" spans="1:108" ht="12.75" hidden="1" customHeight="1" outlineLevel="7">
      <c r="A1954" s="104" t="s">
        <v>14</v>
      </c>
      <c r="B1954" s="28">
        <f t="shared" si="102"/>
        <v>1</v>
      </c>
      <c r="C1954" s="11"/>
      <c r="D1954" s="18" t="str">
        <f>"&lt;" &amp; A1954 &amp; "&gt;" &amp; TEXT(B1954,0) &amp; "&lt;/" &amp; A1954 &amp; "&gt;"</f>
        <v>&lt;Type&gt;1&lt;/Type&gt;</v>
      </c>
      <c r="F1954" s="6"/>
      <c r="G1954" s="6"/>
      <c r="H1954" s="6"/>
      <c r="I1954" s="6"/>
      <c r="J1954" s="6"/>
      <c r="K1954" s="6"/>
      <c r="L1954" s="6"/>
      <c r="M1954" s="6"/>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c r="BU1954" s="6"/>
      <c r="BV1954" s="6"/>
      <c r="BW1954" s="6"/>
      <c r="BX1954" s="6"/>
      <c r="BY1954" s="6"/>
      <c r="BZ1954" s="6"/>
      <c r="CA1954" s="6"/>
      <c r="CB1954" s="6"/>
      <c r="CC1954" s="6"/>
      <c r="CD1954" s="6"/>
      <c r="CE1954" s="6"/>
      <c r="CF1954" s="6"/>
      <c r="CG1954" s="6"/>
      <c r="CH1954" s="6"/>
      <c r="CI1954" s="6"/>
      <c r="CJ1954" s="6"/>
      <c r="CK1954" s="6"/>
      <c r="CL1954" s="6"/>
      <c r="CM1954" s="6"/>
      <c r="CN1954" s="6"/>
      <c r="CO1954" s="6"/>
      <c r="CP1954" s="6"/>
      <c r="CQ1954" s="6"/>
      <c r="CR1954" s="6"/>
      <c r="CS1954" s="6"/>
      <c r="CT1954" s="6"/>
      <c r="CU1954" s="6"/>
      <c r="CV1954" s="6"/>
      <c r="CW1954" s="6"/>
      <c r="CX1954" s="6"/>
      <c r="CY1954" s="6"/>
      <c r="CZ1954" s="6"/>
      <c r="DA1954" s="6"/>
      <c r="DB1954" s="6"/>
      <c r="DC1954" s="6"/>
      <c r="DD1954" s="6"/>
    </row>
    <row r="1955" spans="1:108" ht="12.75" hidden="1" customHeight="1" outlineLevel="7">
      <c r="A1955" s="104" t="s">
        <v>102</v>
      </c>
      <c r="B1955" s="28">
        <f t="shared" si="102"/>
        <v>0</v>
      </c>
      <c r="C1955" s="11"/>
      <c r="D1955" s="18" t="str">
        <f>"&lt;" &amp; A1955 &amp; "&gt;" &amp; TEXT(B1955,0) &amp; "&lt;/" &amp; A1955 &amp; "&gt;"</f>
        <v>&lt;Inverted_Flag&gt;0&lt;/Inverted_Flag&gt;</v>
      </c>
      <c r="F1955" s="6"/>
      <c r="G1955" s="6"/>
      <c r="H1955" s="6"/>
      <c r="I1955" s="6"/>
      <c r="J1955" s="6"/>
      <c r="K1955" s="6"/>
      <c r="L1955" s="6"/>
      <c r="M1955" s="6"/>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c r="BU1955" s="6"/>
      <c r="BV1955" s="6"/>
      <c r="BW1955" s="6"/>
      <c r="BX1955" s="6"/>
      <c r="BY1955" s="6"/>
      <c r="BZ1955" s="6"/>
      <c r="CA1955" s="6"/>
      <c r="CB1955" s="6"/>
      <c r="CC1955" s="6"/>
      <c r="CD1955" s="6"/>
      <c r="CE1955" s="6"/>
      <c r="CF1955" s="6"/>
      <c r="CG1955" s="6"/>
      <c r="CH1955" s="6"/>
      <c r="CI1955" s="6"/>
      <c r="CJ1955" s="6"/>
      <c r="CK1955" s="6"/>
      <c r="CL1955" s="6"/>
      <c r="CM1955" s="6"/>
      <c r="CN1955" s="6"/>
      <c r="CO1955" s="6"/>
      <c r="CP1955" s="6"/>
      <c r="CQ1955" s="6"/>
      <c r="CR1955" s="6"/>
      <c r="CS1955" s="6"/>
      <c r="CT1955" s="6"/>
      <c r="CU1955" s="6"/>
      <c r="CV1955" s="6"/>
      <c r="CW1955" s="6"/>
      <c r="CX1955" s="6"/>
      <c r="CY1955" s="6"/>
      <c r="CZ1955" s="6"/>
      <c r="DA1955" s="6"/>
      <c r="DB1955" s="6"/>
      <c r="DC1955" s="6"/>
      <c r="DD1955" s="6"/>
    </row>
    <row r="1956" spans="1:108" ht="12.75" hidden="1" customHeight="1" outlineLevel="7">
      <c r="A1956" s="104" t="s">
        <v>4</v>
      </c>
      <c r="B1956" s="28">
        <f t="shared" si="102"/>
        <v>0</v>
      </c>
      <c r="C1956" s="11"/>
      <c r="D1956" s="18" t="str">
        <f t="shared" ref="D1956:D1961" si="103">"&lt;" &amp; A1956 &amp; "&gt;" &amp; TEXT(B1956,"0.000000") &amp; "&lt;/" &amp; A1956 &amp; "&gt;"</f>
        <v>&lt;Camber&gt;0.000000&lt;/Camber&gt;</v>
      </c>
      <c r="F1956" s="6"/>
      <c r="G1956" s="6"/>
      <c r="H1956" s="6"/>
      <c r="I1956" s="6"/>
      <c r="J1956" s="6"/>
      <c r="K1956" s="6"/>
      <c r="L1956" s="6"/>
      <c r="M1956" s="6"/>
      <c r="N1956" s="6"/>
      <c r="O1956" s="6"/>
      <c r="P1956" s="6"/>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c r="BU1956" s="6"/>
      <c r="BV1956" s="6"/>
      <c r="BW1956" s="6"/>
      <c r="BX1956" s="6"/>
      <c r="BY1956" s="6"/>
      <c r="BZ1956" s="6"/>
      <c r="CA1956" s="6"/>
      <c r="CB1956" s="6"/>
      <c r="CC1956" s="6"/>
      <c r="CD1956" s="6"/>
      <c r="CE1956" s="6"/>
      <c r="CF1956" s="6"/>
      <c r="CG1956" s="6"/>
      <c r="CH1956" s="6"/>
      <c r="CI1956" s="6"/>
      <c r="CJ1956" s="6"/>
      <c r="CK1956" s="6"/>
      <c r="CL1956" s="6"/>
      <c r="CM1956" s="6"/>
      <c r="CN1956" s="6"/>
      <c r="CO1956" s="6"/>
      <c r="CP1956" s="6"/>
      <c r="CQ1956" s="6"/>
      <c r="CR1956" s="6"/>
      <c r="CS1956" s="6"/>
      <c r="CT1956" s="6"/>
      <c r="CU1956" s="6"/>
      <c r="CV1956" s="6"/>
      <c r="CW1956" s="6"/>
      <c r="CX1956" s="6"/>
      <c r="CY1956" s="6"/>
      <c r="CZ1956" s="6"/>
      <c r="DA1956" s="6"/>
      <c r="DB1956" s="6"/>
      <c r="DC1956" s="6"/>
      <c r="DD1956" s="6"/>
    </row>
    <row r="1957" spans="1:108" ht="12.75" hidden="1" customHeight="1" outlineLevel="7">
      <c r="A1957" s="104" t="s">
        <v>103</v>
      </c>
      <c r="B1957" s="28">
        <f t="shared" si="102"/>
        <v>0.5</v>
      </c>
      <c r="C1957" s="11"/>
      <c r="D1957" s="18" t="str">
        <f t="shared" si="103"/>
        <v>&lt;Camber_Loc&gt;0.500000&lt;/Camber_Loc&gt;</v>
      </c>
      <c r="F1957" s="6"/>
      <c r="G1957" s="6"/>
      <c r="H1957" s="6"/>
      <c r="I1957" s="6"/>
      <c r="J1957" s="6"/>
      <c r="K1957" s="6"/>
      <c r="L1957" s="6"/>
      <c r="M1957" s="6"/>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c r="BU1957" s="6"/>
      <c r="BV1957" s="6"/>
      <c r="BW1957" s="6"/>
      <c r="BX1957" s="6"/>
      <c r="BY1957" s="6"/>
      <c r="BZ1957" s="6"/>
      <c r="CA1957" s="6"/>
      <c r="CB1957" s="6"/>
      <c r="CC1957" s="6"/>
      <c r="CD1957" s="6"/>
      <c r="CE1957" s="6"/>
      <c r="CF1957" s="6"/>
      <c r="CG1957" s="6"/>
      <c r="CH1957" s="6"/>
      <c r="CI1957" s="6"/>
      <c r="CJ1957" s="6"/>
      <c r="CK1957" s="6"/>
      <c r="CL1957" s="6"/>
      <c r="CM1957" s="6"/>
      <c r="CN1957" s="6"/>
      <c r="CO1957" s="6"/>
      <c r="CP1957" s="6"/>
      <c r="CQ1957" s="6"/>
      <c r="CR1957" s="6"/>
      <c r="CS1957" s="6"/>
      <c r="CT1957" s="6"/>
      <c r="CU1957" s="6"/>
      <c r="CV1957" s="6"/>
      <c r="CW1957" s="6"/>
      <c r="CX1957" s="6"/>
      <c r="CY1957" s="6"/>
      <c r="CZ1957" s="6"/>
      <c r="DA1957" s="6"/>
      <c r="DB1957" s="6"/>
      <c r="DC1957" s="6"/>
      <c r="DD1957" s="6"/>
    </row>
    <row r="1958" spans="1:108" ht="12.75" hidden="1" customHeight="1" outlineLevel="7">
      <c r="A1958" s="104" t="s">
        <v>5</v>
      </c>
      <c r="B1958" s="28">
        <f t="shared" si="102"/>
        <v>0.2</v>
      </c>
      <c r="C1958" s="11"/>
      <c r="D1958" s="18" t="str">
        <f t="shared" si="103"/>
        <v>&lt;Thickness&gt;0.200000&lt;/Thickness&gt;</v>
      </c>
      <c r="F1958" s="6"/>
      <c r="G1958" s="6"/>
      <c r="H1958" s="6"/>
      <c r="I1958" s="6"/>
      <c r="J1958" s="6"/>
      <c r="K1958" s="6"/>
      <c r="L1958" s="6"/>
      <c r="M1958" s="6"/>
      <c r="N1958" s="6"/>
      <c r="O1958" s="6"/>
      <c r="P1958" s="6"/>
      <c r="Q1958" s="6"/>
      <c r="R1958" s="6"/>
      <c r="S1958" s="6"/>
      <c r="T1958" s="6"/>
      <c r="U1958" s="6"/>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c r="BU1958" s="6"/>
      <c r="BV1958" s="6"/>
      <c r="BW1958" s="6"/>
      <c r="BX1958" s="6"/>
      <c r="BY1958" s="6"/>
      <c r="BZ1958" s="6"/>
      <c r="CA1958" s="6"/>
      <c r="CB1958" s="6"/>
      <c r="CC1958" s="6"/>
      <c r="CD1958" s="6"/>
      <c r="CE1958" s="6"/>
      <c r="CF1958" s="6"/>
      <c r="CG1958" s="6"/>
      <c r="CH1958" s="6"/>
      <c r="CI1958" s="6"/>
      <c r="CJ1958" s="6"/>
      <c r="CK1958" s="6"/>
      <c r="CL1958" s="6"/>
      <c r="CM1958" s="6"/>
      <c r="CN1958" s="6"/>
      <c r="CO1958" s="6"/>
      <c r="CP1958" s="6"/>
      <c r="CQ1958" s="6"/>
      <c r="CR1958" s="6"/>
      <c r="CS1958" s="6"/>
      <c r="CT1958" s="6"/>
      <c r="CU1958" s="6"/>
      <c r="CV1958" s="6"/>
      <c r="CW1958" s="6"/>
      <c r="CX1958" s="6"/>
      <c r="CY1958" s="6"/>
      <c r="CZ1958" s="6"/>
      <c r="DA1958" s="6"/>
      <c r="DB1958" s="6"/>
      <c r="DC1958" s="6"/>
      <c r="DD1958" s="6"/>
    </row>
    <row r="1959" spans="1:108" ht="12.75" hidden="1" customHeight="1" outlineLevel="7">
      <c r="A1959" s="104" t="s">
        <v>104</v>
      </c>
      <c r="B1959" s="28">
        <f t="shared" si="102"/>
        <v>0.3</v>
      </c>
      <c r="C1959" s="11"/>
      <c r="D1959" s="18" t="str">
        <f t="shared" si="103"/>
        <v>&lt;Thickness_Loc&gt;0.300000&lt;/Thickness_Loc&gt;</v>
      </c>
      <c r="F1959" s="6"/>
      <c r="G1959" s="6"/>
      <c r="H1959" s="6"/>
      <c r="I1959" s="6"/>
      <c r="J1959" s="6"/>
      <c r="K1959" s="6"/>
      <c r="L1959" s="6"/>
      <c r="M1959" s="6"/>
      <c r="N1959" s="6"/>
      <c r="O1959" s="6"/>
      <c r="P1959" s="6"/>
      <c r="Q1959" s="6"/>
      <c r="R1959" s="6"/>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c r="BU1959" s="6"/>
      <c r="BV1959" s="6"/>
      <c r="BW1959" s="6"/>
      <c r="BX1959" s="6"/>
      <c r="BY1959" s="6"/>
      <c r="BZ1959" s="6"/>
      <c r="CA1959" s="6"/>
      <c r="CB1959" s="6"/>
      <c r="CC1959" s="6"/>
      <c r="CD1959" s="6"/>
      <c r="CE1959" s="6"/>
      <c r="CF1959" s="6"/>
      <c r="CG1959" s="6"/>
      <c r="CH1959" s="6"/>
      <c r="CI1959" s="6"/>
      <c r="CJ1959" s="6"/>
      <c r="CK1959" s="6"/>
      <c r="CL1959" s="6"/>
      <c r="CM1959" s="6"/>
      <c r="CN1959" s="6"/>
      <c r="CO1959" s="6"/>
      <c r="CP1959" s="6"/>
      <c r="CQ1959" s="6"/>
      <c r="CR1959" s="6"/>
      <c r="CS1959" s="6"/>
      <c r="CT1959" s="6"/>
      <c r="CU1959" s="6"/>
      <c r="CV1959" s="6"/>
      <c r="CW1959" s="6"/>
      <c r="CX1959" s="6"/>
      <c r="CY1959" s="6"/>
      <c r="CZ1959" s="6"/>
      <c r="DA1959" s="6"/>
      <c r="DB1959" s="6"/>
      <c r="DC1959" s="6"/>
      <c r="DD1959" s="6"/>
    </row>
    <row r="1960" spans="1:108" ht="12.75" hidden="1" customHeight="1" outlineLevel="7">
      <c r="A1960" s="104" t="s">
        <v>105</v>
      </c>
      <c r="B1960" s="28">
        <f t="shared" si="102"/>
        <v>4.4075999999999997E-2</v>
      </c>
      <c r="C1960" s="11"/>
      <c r="D1960" s="18" t="str">
        <f t="shared" si="103"/>
        <v>&lt;Radius_Le&gt;0.044076&lt;/Radius_Le&gt;</v>
      </c>
      <c r="F1960" s="6"/>
      <c r="G1960" s="6"/>
      <c r="H1960" s="6"/>
      <c r="I1960" s="6"/>
      <c r="J1960" s="6"/>
      <c r="K1960" s="6"/>
      <c r="L1960" s="6"/>
      <c r="M1960" s="6"/>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c r="BU1960" s="6"/>
      <c r="BV1960" s="6"/>
      <c r="BW1960" s="6"/>
      <c r="BX1960" s="6"/>
      <c r="BY1960" s="6"/>
      <c r="BZ1960" s="6"/>
      <c r="CA1960" s="6"/>
      <c r="CB1960" s="6"/>
      <c r="CC1960" s="6"/>
      <c r="CD1960" s="6"/>
      <c r="CE1960" s="6"/>
      <c r="CF1960" s="6"/>
      <c r="CG1960" s="6"/>
      <c r="CH1960" s="6"/>
      <c r="CI1960" s="6"/>
      <c r="CJ1960" s="6"/>
      <c r="CK1960" s="6"/>
      <c r="CL1960" s="6"/>
      <c r="CM1960" s="6"/>
      <c r="CN1960" s="6"/>
      <c r="CO1960" s="6"/>
      <c r="CP1960" s="6"/>
      <c r="CQ1960" s="6"/>
      <c r="CR1960" s="6"/>
      <c r="CS1960" s="6"/>
      <c r="CT1960" s="6"/>
      <c r="CU1960" s="6"/>
      <c r="CV1960" s="6"/>
      <c r="CW1960" s="6"/>
      <c r="CX1960" s="6"/>
      <c r="CY1960" s="6"/>
      <c r="CZ1960" s="6"/>
      <c r="DA1960" s="6"/>
      <c r="DB1960" s="6"/>
      <c r="DC1960" s="6"/>
      <c r="DD1960" s="6"/>
    </row>
    <row r="1961" spans="1:108" ht="12.75" hidden="1" customHeight="1" outlineLevel="7">
      <c r="A1961" s="104" t="s">
        <v>106</v>
      </c>
      <c r="B1961" s="28">
        <f t="shared" si="102"/>
        <v>0</v>
      </c>
      <c r="C1961" s="11"/>
      <c r="D1961" s="18" t="str">
        <f t="shared" si="103"/>
        <v>&lt;Radius_Te&gt;0.000000&lt;/Radius_Te&gt;</v>
      </c>
      <c r="F1961" s="6"/>
      <c r="G1961" s="6"/>
      <c r="H1961" s="6"/>
      <c r="I1961" s="6"/>
      <c r="J1961" s="6"/>
      <c r="K1961" s="6"/>
      <c r="L1961" s="6"/>
      <c r="M1961" s="6"/>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c r="BU1961" s="6"/>
      <c r="BV1961" s="6"/>
      <c r="BW1961" s="6"/>
      <c r="BX1961" s="6"/>
      <c r="BY1961" s="6"/>
      <c r="BZ1961" s="6"/>
      <c r="CA1961" s="6"/>
      <c r="CB1961" s="6"/>
      <c r="CC1961" s="6"/>
      <c r="CD1961" s="6"/>
      <c r="CE1961" s="6"/>
      <c r="CF1961" s="6"/>
      <c r="CG1961" s="6"/>
      <c r="CH1961" s="6"/>
      <c r="CI1961" s="6"/>
      <c r="CJ1961" s="6"/>
      <c r="CK1961" s="6"/>
      <c r="CL1961" s="6"/>
      <c r="CM1961" s="6"/>
      <c r="CN1961" s="6"/>
      <c r="CO1961" s="6"/>
      <c r="CP1961" s="6"/>
      <c r="CQ1961" s="6"/>
      <c r="CR1961" s="6"/>
      <c r="CS1961" s="6"/>
      <c r="CT1961" s="6"/>
      <c r="CU1961" s="6"/>
      <c r="CV1961" s="6"/>
      <c r="CW1961" s="6"/>
      <c r="CX1961" s="6"/>
      <c r="CY1961" s="6"/>
      <c r="CZ1961" s="6"/>
      <c r="DA1961" s="6"/>
      <c r="DB1961" s="6"/>
      <c r="DC1961" s="6"/>
      <c r="DD1961" s="6"/>
    </row>
    <row r="1962" spans="1:108" ht="12.75" hidden="1" customHeight="1" outlineLevel="7">
      <c r="A1962" s="104" t="s">
        <v>107</v>
      </c>
      <c r="B1962" s="28">
        <f t="shared" si="102"/>
        <v>63</v>
      </c>
      <c r="C1962" s="11"/>
      <c r="D1962" s="18" t="str">
        <f>"&lt;" &amp; A1962 &amp; "&gt;" &amp; TEXT(B1962,0) &amp; "&lt;/" &amp; A1962 &amp; "&gt;"</f>
        <v>&lt;Six_Series&gt;63&lt;/Six_Series&gt;</v>
      </c>
      <c r="F1962" s="6"/>
      <c r="G1962" s="6"/>
      <c r="H1962" s="6"/>
      <c r="I1962" s="6"/>
      <c r="J1962" s="6"/>
      <c r="K1962" s="6"/>
      <c r="L1962" s="6"/>
      <c r="M1962" s="6"/>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c r="BU1962" s="6"/>
      <c r="BV1962" s="6"/>
      <c r="BW1962" s="6"/>
      <c r="BX1962" s="6"/>
      <c r="BY1962" s="6"/>
      <c r="BZ1962" s="6"/>
      <c r="CA1962" s="6"/>
      <c r="CB1962" s="6"/>
      <c r="CC1962" s="6"/>
      <c r="CD1962" s="6"/>
      <c r="CE1962" s="6"/>
      <c r="CF1962" s="6"/>
      <c r="CG1962" s="6"/>
      <c r="CH1962" s="6"/>
      <c r="CI1962" s="6"/>
      <c r="CJ1962" s="6"/>
      <c r="CK1962" s="6"/>
      <c r="CL1962" s="6"/>
      <c r="CM1962" s="6"/>
      <c r="CN1962" s="6"/>
      <c r="CO1962" s="6"/>
      <c r="CP1962" s="6"/>
      <c r="CQ1962" s="6"/>
      <c r="CR1962" s="6"/>
      <c r="CS1962" s="6"/>
      <c r="CT1962" s="6"/>
      <c r="CU1962" s="6"/>
      <c r="CV1962" s="6"/>
      <c r="CW1962" s="6"/>
      <c r="CX1962" s="6"/>
      <c r="CY1962" s="6"/>
      <c r="CZ1962" s="6"/>
      <c r="DA1962" s="6"/>
      <c r="DB1962" s="6"/>
      <c r="DC1962" s="6"/>
      <c r="DD1962" s="6"/>
    </row>
    <row r="1963" spans="1:108" ht="12.75" hidden="1" customHeight="1" outlineLevel="7">
      <c r="A1963" s="104" t="s">
        <v>108</v>
      </c>
      <c r="B1963" s="28">
        <f t="shared" si="102"/>
        <v>0</v>
      </c>
      <c r="C1963" s="11"/>
      <c r="D1963" s="18" t="str">
        <f>"&lt;" &amp; A1963 &amp; "&gt;" &amp; TEXT(B1963,"0.000000") &amp; "&lt;/" &amp; A1963 &amp; "&gt;"</f>
        <v>&lt;Ideal_Cl&gt;0.000000&lt;/Ideal_Cl&gt;</v>
      </c>
      <c r="F1963" s="6"/>
      <c r="G1963" s="6"/>
      <c r="H1963" s="6"/>
      <c r="I1963" s="6"/>
      <c r="J1963" s="6"/>
      <c r="K1963" s="6"/>
      <c r="L1963" s="6"/>
      <c r="M1963" s="6"/>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c r="BU1963" s="6"/>
      <c r="BV1963" s="6"/>
      <c r="BW1963" s="6"/>
      <c r="BX1963" s="6"/>
      <c r="BY1963" s="6"/>
      <c r="BZ1963" s="6"/>
      <c r="CA1963" s="6"/>
      <c r="CB1963" s="6"/>
      <c r="CC1963" s="6"/>
      <c r="CD1963" s="6"/>
      <c r="CE1963" s="6"/>
      <c r="CF1963" s="6"/>
      <c r="CG1963" s="6"/>
      <c r="CH1963" s="6"/>
      <c r="CI1963" s="6"/>
      <c r="CJ1963" s="6"/>
      <c r="CK1963" s="6"/>
      <c r="CL1963" s="6"/>
      <c r="CM1963" s="6"/>
      <c r="CN1963" s="6"/>
      <c r="CO1963" s="6"/>
      <c r="CP1963" s="6"/>
      <c r="CQ1963" s="6"/>
      <c r="CR1963" s="6"/>
      <c r="CS1963" s="6"/>
      <c r="CT1963" s="6"/>
      <c r="CU1963" s="6"/>
      <c r="CV1963" s="6"/>
      <c r="CW1963" s="6"/>
      <c r="CX1963" s="6"/>
      <c r="CY1963" s="6"/>
      <c r="CZ1963" s="6"/>
      <c r="DA1963" s="6"/>
      <c r="DB1963" s="6"/>
      <c r="DC1963" s="6"/>
      <c r="DD1963" s="6"/>
    </row>
    <row r="1964" spans="1:108" ht="12.75" hidden="1" customHeight="1" outlineLevel="7">
      <c r="A1964" s="104" t="s">
        <v>109</v>
      </c>
      <c r="B1964" s="28">
        <f t="shared" si="102"/>
        <v>0</v>
      </c>
      <c r="C1964" s="11"/>
      <c r="D1964" s="18" t="str">
        <f>"&lt;" &amp; A1964 &amp; "&gt;" &amp; TEXT(B1964,"0.000000") &amp; "&lt;/" &amp; A1964 &amp; "&gt;"</f>
        <v>&lt;A&gt;0.000000&lt;/A&gt;</v>
      </c>
      <c r="F1964" s="6"/>
      <c r="G1964" s="6"/>
      <c r="H1964" s="6"/>
      <c r="I1964" s="6"/>
      <c r="J1964" s="6"/>
      <c r="K1964" s="6"/>
      <c r="L1964" s="6"/>
      <c r="M1964" s="6"/>
      <c r="N1964" s="6"/>
      <c r="O1964" s="6"/>
      <c r="P1964" s="6"/>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c r="BU1964" s="6"/>
      <c r="BV1964" s="6"/>
      <c r="BW1964" s="6"/>
      <c r="BX1964" s="6"/>
      <c r="BY1964" s="6"/>
      <c r="BZ1964" s="6"/>
      <c r="CA1964" s="6"/>
      <c r="CB1964" s="6"/>
      <c r="CC1964" s="6"/>
      <c r="CD1964" s="6"/>
      <c r="CE1964" s="6"/>
      <c r="CF1964" s="6"/>
      <c r="CG1964" s="6"/>
      <c r="CH1964" s="6"/>
      <c r="CI1964" s="6"/>
      <c r="CJ1964" s="6"/>
      <c r="CK1964" s="6"/>
      <c r="CL1964" s="6"/>
      <c r="CM1964" s="6"/>
      <c r="CN1964" s="6"/>
      <c r="CO1964" s="6"/>
      <c r="CP1964" s="6"/>
      <c r="CQ1964" s="6"/>
      <c r="CR1964" s="6"/>
      <c r="CS1964" s="6"/>
      <c r="CT1964" s="6"/>
      <c r="CU1964" s="6"/>
      <c r="CV1964" s="6"/>
      <c r="CW1964" s="6"/>
      <c r="CX1964" s="6"/>
      <c r="CY1964" s="6"/>
      <c r="CZ1964" s="6"/>
      <c r="DA1964" s="6"/>
      <c r="DB1964" s="6"/>
      <c r="DC1964" s="6"/>
      <c r="DD1964" s="6"/>
    </row>
    <row r="1965" spans="1:108" ht="12.75" hidden="1" customHeight="1" outlineLevel="7">
      <c r="A1965" s="104" t="s">
        <v>110</v>
      </c>
      <c r="B1965" s="28">
        <f t="shared" si="102"/>
        <v>0</v>
      </c>
      <c r="C1965" s="11"/>
      <c r="D1965" s="18" t="str">
        <f>"&lt;" &amp; A1965 &amp; "&gt;" &amp; TEXT(B1965,0) &amp; "&lt;/" &amp; A1965 &amp; "&gt;"</f>
        <v>&lt;Slat_Flag&gt;0&lt;/Slat_Flag&gt;</v>
      </c>
      <c r="F1965" s="6"/>
      <c r="G1965" s="6"/>
      <c r="H1965" s="6"/>
      <c r="I1965" s="6"/>
      <c r="J1965" s="6"/>
      <c r="K1965" s="6"/>
      <c r="L1965" s="6"/>
      <c r="M1965" s="6"/>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c r="BU1965" s="6"/>
      <c r="BV1965" s="6"/>
      <c r="BW1965" s="6"/>
      <c r="BX1965" s="6"/>
      <c r="BY1965" s="6"/>
      <c r="BZ1965" s="6"/>
      <c r="CA1965" s="6"/>
      <c r="CB1965" s="6"/>
      <c r="CC1965" s="6"/>
      <c r="CD1965" s="6"/>
      <c r="CE1965" s="6"/>
      <c r="CF1965" s="6"/>
      <c r="CG1965" s="6"/>
      <c r="CH1965" s="6"/>
      <c r="CI1965" s="6"/>
      <c r="CJ1965" s="6"/>
      <c r="CK1965" s="6"/>
      <c r="CL1965" s="6"/>
      <c r="CM1965" s="6"/>
      <c r="CN1965" s="6"/>
      <c r="CO1965" s="6"/>
      <c r="CP1965" s="6"/>
      <c r="CQ1965" s="6"/>
      <c r="CR1965" s="6"/>
      <c r="CS1965" s="6"/>
      <c r="CT1965" s="6"/>
      <c r="CU1965" s="6"/>
      <c r="CV1965" s="6"/>
      <c r="CW1965" s="6"/>
      <c r="CX1965" s="6"/>
      <c r="CY1965" s="6"/>
      <c r="CZ1965" s="6"/>
      <c r="DA1965" s="6"/>
      <c r="DB1965" s="6"/>
      <c r="DC1965" s="6"/>
      <c r="DD1965" s="6"/>
    </row>
    <row r="1966" spans="1:108" ht="12.75" hidden="1" customHeight="1" outlineLevel="7">
      <c r="A1966" s="104" t="s">
        <v>111</v>
      </c>
      <c r="B1966" s="28">
        <f t="shared" si="102"/>
        <v>0</v>
      </c>
      <c r="C1966" s="11"/>
      <c r="D1966" s="18" t="str">
        <f>"&lt;" &amp; A1966 &amp; "&gt;" &amp; TEXT(B1966,0) &amp; "&lt;/" &amp; A1966 &amp; "&gt;"</f>
        <v>&lt;Slat_Shear_Flag&gt;0&lt;/Slat_Shear_Flag&gt;</v>
      </c>
      <c r="F1966" s="6"/>
      <c r="G1966" s="6"/>
      <c r="H1966" s="6"/>
      <c r="I1966" s="6"/>
      <c r="J1966" s="6"/>
      <c r="K1966" s="6"/>
      <c r="L1966" s="6"/>
      <c r="M1966" s="6"/>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c r="BU1966" s="6"/>
      <c r="BV1966" s="6"/>
      <c r="BW1966" s="6"/>
      <c r="BX1966" s="6"/>
      <c r="BY1966" s="6"/>
      <c r="BZ1966" s="6"/>
      <c r="CA1966" s="6"/>
      <c r="CB1966" s="6"/>
      <c r="CC1966" s="6"/>
      <c r="CD1966" s="6"/>
      <c r="CE1966" s="6"/>
      <c r="CF1966" s="6"/>
      <c r="CG1966" s="6"/>
      <c r="CH1966" s="6"/>
      <c r="CI1966" s="6"/>
      <c r="CJ1966" s="6"/>
      <c r="CK1966" s="6"/>
      <c r="CL1966" s="6"/>
      <c r="CM1966" s="6"/>
      <c r="CN1966" s="6"/>
      <c r="CO1966" s="6"/>
      <c r="CP1966" s="6"/>
      <c r="CQ1966" s="6"/>
      <c r="CR1966" s="6"/>
      <c r="CS1966" s="6"/>
      <c r="CT1966" s="6"/>
      <c r="CU1966" s="6"/>
      <c r="CV1966" s="6"/>
      <c r="CW1966" s="6"/>
      <c r="CX1966" s="6"/>
      <c r="CY1966" s="6"/>
      <c r="CZ1966" s="6"/>
      <c r="DA1966" s="6"/>
      <c r="DB1966" s="6"/>
      <c r="DC1966" s="6"/>
      <c r="DD1966" s="6"/>
    </row>
    <row r="1967" spans="1:108" ht="12.75" hidden="1" customHeight="1" outlineLevel="7">
      <c r="A1967" s="104" t="s">
        <v>112</v>
      </c>
      <c r="B1967" s="28">
        <f t="shared" si="102"/>
        <v>0.25</v>
      </c>
      <c r="C1967" s="11"/>
      <c r="D1967" s="18" t="str">
        <f>"&lt;" &amp; A1967 &amp; "&gt;" &amp; TEXT(B1967,"0.000000") &amp; "&lt;/" &amp; A1967 &amp; "&gt;"</f>
        <v>&lt;Slat_Chord&gt;0.250000&lt;/Slat_Chord&gt;</v>
      </c>
      <c r="F1967" s="6"/>
      <c r="G1967" s="6"/>
      <c r="H1967" s="6"/>
      <c r="I1967" s="6"/>
      <c r="J1967" s="6"/>
      <c r="K1967" s="6"/>
      <c r="L1967" s="6"/>
      <c r="M1967" s="6"/>
      <c r="N1967" s="6"/>
      <c r="O1967" s="6"/>
      <c r="P1967" s="6"/>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c r="BU1967" s="6"/>
      <c r="BV1967" s="6"/>
      <c r="BW1967" s="6"/>
      <c r="BX1967" s="6"/>
      <c r="BY1967" s="6"/>
      <c r="BZ1967" s="6"/>
      <c r="CA1967" s="6"/>
      <c r="CB1967" s="6"/>
      <c r="CC1967" s="6"/>
      <c r="CD1967" s="6"/>
      <c r="CE1967" s="6"/>
      <c r="CF1967" s="6"/>
      <c r="CG1967" s="6"/>
      <c r="CH1967" s="6"/>
      <c r="CI1967" s="6"/>
      <c r="CJ1967" s="6"/>
      <c r="CK1967" s="6"/>
      <c r="CL1967" s="6"/>
      <c r="CM1967" s="6"/>
      <c r="CN1967" s="6"/>
      <c r="CO1967" s="6"/>
      <c r="CP1967" s="6"/>
      <c r="CQ1967" s="6"/>
      <c r="CR1967" s="6"/>
      <c r="CS1967" s="6"/>
      <c r="CT1967" s="6"/>
      <c r="CU1967" s="6"/>
      <c r="CV1967" s="6"/>
      <c r="CW1967" s="6"/>
      <c r="CX1967" s="6"/>
      <c r="CY1967" s="6"/>
      <c r="CZ1967" s="6"/>
      <c r="DA1967" s="6"/>
      <c r="DB1967" s="6"/>
      <c r="DC1967" s="6"/>
      <c r="DD1967" s="6"/>
    </row>
    <row r="1968" spans="1:108" ht="12.75" hidden="1" customHeight="1" outlineLevel="7">
      <c r="A1968" s="104" t="s">
        <v>113</v>
      </c>
      <c r="B1968" s="28">
        <f t="shared" si="102"/>
        <v>10</v>
      </c>
      <c r="C1968" s="11"/>
      <c r="D1968" s="18" t="str">
        <f>"&lt;" &amp; A1968 &amp; "&gt;" &amp; TEXT(B1968,"0.000000") &amp; "&lt;/" &amp; A1968 &amp; "&gt;"</f>
        <v>&lt;Slat_Angle&gt;10.000000&lt;/Slat_Angle&gt;</v>
      </c>
      <c r="F1968" s="6"/>
      <c r="G1968" s="6"/>
      <c r="H1968" s="6"/>
      <c r="I1968" s="6"/>
      <c r="J1968" s="6"/>
      <c r="K1968" s="6"/>
      <c r="L1968" s="6"/>
      <c r="M1968" s="6"/>
      <c r="N1968" s="6"/>
      <c r="O1968" s="6"/>
      <c r="P1968" s="6"/>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c r="BU1968" s="6"/>
      <c r="BV1968" s="6"/>
      <c r="BW1968" s="6"/>
      <c r="BX1968" s="6"/>
      <c r="BY1968" s="6"/>
      <c r="BZ1968" s="6"/>
      <c r="CA1968" s="6"/>
      <c r="CB1968" s="6"/>
      <c r="CC1968" s="6"/>
      <c r="CD1968" s="6"/>
      <c r="CE1968" s="6"/>
      <c r="CF1968" s="6"/>
      <c r="CG1968" s="6"/>
      <c r="CH1968" s="6"/>
      <c r="CI1968" s="6"/>
      <c r="CJ1968" s="6"/>
      <c r="CK1968" s="6"/>
      <c r="CL1968" s="6"/>
      <c r="CM1968" s="6"/>
      <c r="CN1968" s="6"/>
      <c r="CO1968" s="6"/>
      <c r="CP1968" s="6"/>
      <c r="CQ1968" s="6"/>
      <c r="CR1968" s="6"/>
      <c r="CS1968" s="6"/>
      <c r="CT1968" s="6"/>
      <c r="CU1968" s="6"/>
      <c r="CV1968" s="6"/>
      <c r="CW1968" s="6"/>
      <c r="CX1968" s="6"/>
      <c r="CY1968" s="6"/>
      <c r="CZ1968" s="6"/>
      <c r="DA1968" s="6"/>
      <c r="DB1968" s="6"/>
      <c r="DC1968" s="6"/>
      <c r="DD1968" s="6"/>
    </row>
    <row r="1969" spans="1:108" ht="12.75" hidden="1" customHeight="1" outlineLevel="7">
      <c r="A1969" s="104" t="s">
        <v>114</v>
      </c>
      <c r="B1969" s="28">
        <f t="shared" si="102"/>
        <v>0</v>
      </c>
      <c r="C1969" s="11"/>
      <c r="D1969" s="18" t="str">
        <f>"&lt;" &amp; A1969 &amp; "&gt;" &amp; TEXT(B1969,0) &amp; "&lt;/" &amp; A1969 &amp; "&gt;"</f>
        <v>&lt;Flap_Flag&gt;0&lt;/Flap_Flag&gt;</v>
      </c>
      <c r="F1969" s="6"/>
      <c r="G1969" s="6"/>
      <c r="H1969" s="6"/>
      <c r="I1969" s="6"/>
      <c r="J1969" s="6"/>
      <c r="K1969" s="6"/>
      <c r="L1969" s="6"/>
      <c r="M1969" s="6"/>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c r="BU1969" s="6"/>
      <c r="BV1969" s="6"/>
      <c r="BW1969" s="6"/>
      <c r="BX1969" s="6"/>
      <c r="BY1969" s="6"/>
      <c r="BZ1969" s="6"/>
      <c r="CA1969" s="6"/>
      <c r="CB1969" s="6"/>
      <c r="CC1969" s="6"/>
      <c r="CD1969" s="6"/>
      <c r="CE1969" s="6"/>
      <c r="CF1969" s="6"/>
      <c r="CG1969" s="6"/>
      <c r="CH1969" s="6"/>
      <c r="CI1969" s="6"/>
      <c r="CJ1969" s="6"/>
      <c r="CK1969" s="6"/>
      <c r="CL1969" s="6"/>
      <c r="CM1969" s="6"/>
      <c r="CN1969" s="6"/>
      <c r="CO1969" s="6"/>
      <c r="CP1969" s="6"/>
      <c r="CQ1969" s="6"/>
      <c r="CR1969" s="6"/>
      <c r="CS1969" s="6"/>
      <c r="CT1969" s="6"/>
      <c r="CU1969" s="6"/>
      <c r="CV1969" s="6"/>
      <c r="CW1969" s="6"/>
      <c r="CX1969" s="6"/>
      <c r="CY1969" s="6"/>
      <c r="CZ1969" s="6"/>
      <c r="DA1969" s="6"/>
      <c r="DB1969" s="6"/>
      <c r="DC1969" s="6"/>
      <c r="DD1969" s="6"/>
    </row>
    <row r="1970" spans="1:108" ht="12.75" hidden="1" customHeight="1" outlineLevel="7">
      <c r="A1970" s="104" t="s">
        <v>115</v>
      </c>
      <c r="B1970" s="28">
        <f t="shared" si="102"/>
        <v>0</v>
      </c>
      <c r="C1970" s="11"/>
      <c r="D1970" s="18" t="str">
        <f>"&lt;" &amp; A1970 &amp; "&gt;" &amp; TEXT(B1970,0) &amp; "&lt;/" &amp; A1970 &amp; "&gt;"</f>
        <v>&lt;Flap_Shear_Flag&gt;0&lt;/Flap_Shear_Flag&gt;</v>
      </c>
      <c r="F1970" s="6"/>
      <c r="G1970" s="6"/>
      <c r="H1970" s="6"/>
      <c r="I1970" s="6"/>
      <c r="J1970" s="6"/>
      <c r="K1970" s="6"/>
      <c r="L1970" s="6"/>
      <c r="M1970" s="6"/>
      <c r="N1970" s="6"/>
      <c r="O1970" s="6"/>
      <c r="P1970" s="6"/>
      <c r="Q1970" s="6"/>
      <c r="R1970" s="6"/>
      <c r="S1970" s="6"/>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c r="BU1970" s="6"/>
      <c r="BV1970" s="6"/>
      <c r="BW1970" s="6"/>
      <c r="BX1970" s="6"/>
      <c r="BY1970" s="6"/>
      <c r="BZ1970" s="6"/>
      <c r="CA1970" s="6"/>
      <c r="CB1970" s="6"/>
      <c r="CC1970" s="6"/>
      <c r="CD1970" s="6"/>
      <c r="CE1970" s="6"/>
      <c r="CF1970" s="6"/>
      <c r="CG1970" s="6"/>
      <c r="CH1970" s="6"/>
      <c r="CI1970" s="6"/>
      <c r="CJ1970" s="6"/>
      <c r="CK1970" s="6"/>
      <c r="CL1970" s="6"/>
      <c r="CM1970" s="6"/>
      <c r="CN1970" s="6"/>
      <c r="CO1970" s="6"/>
      <c r="CP1970" s="6"/>
      <c r="CQ1970" s="6"/>
      <c r="CR1970" s="6"/>
      <c r="CS1970" s="6"/>
      <c r="CT1970" s="6"/>
      <c r="CU1970" s="6"/>
      <c r="CV1970" s="6"/>
      <c r="CW1970" s="6"/>
      <c r="CX1970" s="6"/>
      <c r="CY1970" s="6"/>
      <c r="CZ1970" s="6"/>
      <c r="DA1970" s="6"/>
      <c r="DB1970" s="6"/>
      <c r="DC1970" s="6"/>
      <c r="DD1970" s="6"/>
    </row>
    <row r="1971" spans="1:108" ht="12.75" hidden="1" customHeight="1" outlineLevel="7">
      <c r="A1971" s="104" t="s">
        <v>116</v>
      </c>
      <c r="B1971" s="28">
        <f t="shared" si="102"/>
        <v>0.25</v>
      </c>
      <c r="C1971" s="11"/>
      <c r="D1971" s="18" t="str">
        <f>"&lt;" &amp; A1971 &amp; "&gt;" &amp; TEXT(B1971,"0.000000") &amp; "&lt;/" &amp; A1971 &amp; "&gt;"</f>
        <v>&lt;Flap_Chord&gt;0.250000&lt;/Flap_Chord&gt;</v>
      </c>
      <c r="F1971" s="6"/>
      <c r="G1971" s="6"/>
      <c r="H1971" s="6"/>
      <c r="I1971" s="6"/>
      <c r="J1971" s="6"/>
      <c r="K1971" s="6"/>
      <c r="L1971" s="6"/>
      <c r="M1971" s="6"/>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c r="BU1971" s="6"/>
      <c r="BV1971" s="6"/>
      <c r="BW1971" s="6"/>
      <c r="BX1971" s="6"/>
      <c r="BY1971" s="6"/>
      <c r="BZ1971" s="6"/>
      <c r="CA1971" s="6"/>
      <c r="CB1971" s="6"/>
      <c r="CC1971" s="6"/>
      <c r="CD1971" s="6"/>
      <c r="CE1971" s="6"/>
      <c r="CF1971" s="6"/>
      <c r="CG1971" s="6"/>
      <c r="CH1971" s="6"/>
      <c r="CI1971" s="6"/>
      <c r="CJ1971" s="6"/>
      <c r="CK1971" s="6"/>
      <c r="CL1971" s="6"/>
      <c r="CM1971" s="6"/>
      <c r="CN1971" s="6"/>
      <c r="CO1971" s="6"/>
      <c r="CP1971" s="6"/>
      <c r="CQ1971" s="6"/>
      <c r="CR1971" s="6"/>
      <c r="CS1971" s="6"/>
      <c r="CT1971" s="6"/>
      <c r="CU1971" s="6"/>
      <c r="CV1971" s="6"/>
      <c r="CW1971" s="6"/>
      <c r="CX1971" s="6"/>
      <c r="CY1971" s="6"/>
      <c r="CZ1971" s="6"/>
      <c r="DA1971" s="6"/>
      <c r="DB1971" s="6"/>
      <c r="DC1971" s="6"/>
      <c r="DD1971" s="6"/>
    </row>
    <row r="1972" spans="1:108" ht="12.75" hidden="1" customHeight="1" outlineLevel="7">
      <c r="A1972" s="104" t="s">
        <v>117</v>
      </c>
      <c r="B1972" s="28">
        <f t="shared" si="102"/>
        <v>10</v>
      </c>
      <c r="C1972" s="11"/>
      <c r="D1972" s="18" t="str">
        <f>"&lt;" &amp; A1972 &amp; "&gt;" &amp; TEXT(B1972,"0.000000") &amp; "&lt;/" &amp; A1972 &amp; "&gt;"</f>
        <v>&lt;Flap_Angle&gt;10.000000&lt;/Flap_Angle&gt;</v>
      </c>
      <c r="F1972" s="6"/>
      <c r="G1972" s="6"/>
      <c r="H1972" s="6"/>
      <c r="I1972" s="6"/>
      <c r="J1972" s="6"/>
      <c r="K1972" s="6"/>
      <c r="L1972" s="6"/>
      <c r="M1972" s="6"/>
      <c r="N1972" s="6"/>
      <c r="O1972" s="6"/>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c r="BU1972" s="6"/>
      <c r="BV1972" s="6"/>
      <c r="BW1972" s="6"/>
      <c r="BX1972" s="6"/>
      <c r="BY1972" s="6"/>
      <c r="BZ1972" s="6"/>
      <c r="CA1972" s="6"/>
      <c r="CB1972" s="6"/>
      <c r="CC1972" s="6"/>
      <c r="CD1972" s="6"/>
      <c r="CE1972" s="6"/>
      <c r="CF1972" s="6"/>
      <c r="CG1972" s="6"/>
      <c r="CH1972" s="6"/>
      <c r="CI1972" s="6"/>
      <c r="CJ1972" s="6"/>
      <c r="CK1972" s="6"/>
      <c r="CL1972" s="6"/>
      <c r="CM1972" s="6"/>
      <c r="CN1972" s="6"/>
      <c r="CO1972" s="6"/>
      <c r="CP1972" s="6"/>
      <c r="CQ1972" s="6"/>
      <c r="CR1972" s="6"/>
      <c r="CS1972" s="6"/>
      <c r="CT1972" s="6"/>
      <c r="CU1972" s="6"/>
      <c r="CV1972" s="6"/>
      <c r="CW1972" s="6"/>
      <c r="CX1972" s="6"/>
      <c r="CY1972" s="6"/>
      <c r="CZ1972" s="6"/>
      <c r="DA1972" s="6"/>
      <c r="DB1972" s="6"/>
      <c r="DC1972" s="6"/>
      <c r="DD1972" s="6"/>
    </row>
    <row r="1973" spans="1:108" ht="12.75" hidden="1" customHeight="1" outlineLevel="7">
      <c r="A1973" s="104" t="s">
        <v>118</v>
      </c>
      <c r="B1973" s="100"/>
      <c r="C1973" s="11"/>
      <c r="D1973" s="6" t="str">
        <f>"&lt;" &amp; A1973 &amp; "&gt;"</f>
        <v>&lt;/Airfoil&gt;</v>
      </c>
      <c r="F1973" s="6"/>
      <c r="G1973" s="6"/>
      <c r="H1973" s="6"/>
      <c r="I1973" s="6"/>
      <c r="J1973" s="6"/>
      <c r="K1973" s="6"/>
      <c r="L1973" s="6"/>
      <c r="M1973" s="6"/>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c r="BU1973" s="6"/>
      <c r="BV1973" s="6"/>
      <c r="BW1973" s="6"/>
      <c r="BX1973" s="6"/>
      <c r="BY1973" s="6"/>
      <c r="BZ1973" s="6"/>
      <c r="CA1973" s="6"/>
      <c r="CB1973" s="6"/>
      <c r="CC1973" s="6"/>
      <c r="CD1973" s="6"/>
      <c r="CE1973" s="6"/>
      <c r="CF1973" s="6"/>
      <c r="CG1973" s="6"/>
      <c r="CH1973" s="6"/>
      <c r="CI1973" s="6"/>
      <c r="CJ1973" s="6"/>
      <c r="CK1973" s="6"/>
      <c r="CL1973" s="6"/>
      <c r="CM1973" s="6"/>
      <c r="CN1973" s="6"/>
      <c r="CO1973" s="6"/>
      <c r="CP1973" s="6"/>
      <c r="CQ1973" s="6"/>
      <c r="CR1973" s="6"/>
      <c r="CS1973" s="6"/>
      <c r="CT1973" s="6"/>
      <c r="CU1973" s="6"/>
      <c r="CV1973" s="6"/>
      <c r="CW1973" s="6"/>
      <c r="CX1973" s="6"/>
      <c r="CY1973" s="6"/>
      <c r="CZ1973" s="6"/>
      <c r="DA1973" s="6"/>
      <c r="DB1973" s="6"/>
      <c r="DC1973" s="6"/>
      <c r="DD1973" s="6"/>
    </row>
    <row r="1974" spans="1:108" ht="12.75" hidden="1" customHeight="1" outlineLevel="6">
      <c r="A1974" s="104" t="s">
        <v>308</v>
      </c>
      <c r="B1974" s="100"/>
      <c r="C1974" s="11"/>
      <c r="D1974" s="6" t="str">
        <f>"&lt;" &amp; A1974 &amp; "&gt;"</f>
        <v>&lt;/Sect_Parms&gt;</v>
      </c>
      <c r="F1974" s="6"/>
      <c r="G1974" s="6"/>
      <c r="H1974" s="6"/>
      <c r="I1974" s="6"/>
      <c r="J1974" s="6"/>
      <c r="K1974" s="6"/>
      <c r="L1974" s="6"/>
      <c r="M1974" s="6"/>
      <c r="N1974" s="6"/>
      <c r="O1974" s="6"/>
      <c r="P1974" s="6"/>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c r="BU1974" s="6"/>
      <c r="BV1974" s="6"/>
      <c r="BW1974" s="6"/>
      <c r="BX1974" s="6"/>
      <c r="BY1974" s="6"/>
      <c r="BZ1974" s="6"/>
      <c r="CA1974" s="6"/>
      <c r="CB1974" s="6"/>
      <c r="CC1974" s="6"/>
      <c r="CD1974" s="6"/>
      <c r="CE1974" s="6"/>
      <c r="CF1974" s="6"/>
      <c r="CG1974" s="6"/>
      <c r="CH1974" s="6"/>
      <c r="CI1974" s="6"/>
      <c r="CJ1974" s="6"/>
      <c r="CK1974" s="6"/>
      <c r="CL1974" s="6"/>
      <c r="CM1974" s="6"/>
      <c r="CN1974" s="6"/>
      <c r="CO1974" s="6"/>
      <c r="CP1974" s="6"/>
      <c r="CQ1974" s="6"/>
      <c r="CR1974" s="6"/>
      <c r="CS1974" s="6"/>
      <c r="CT1974" s="6"/>
      <c r="CU1974" s="6"/>
      <c r="CV1974" s="6"/>
      <c r="CW1974" s="6"/>
      <c r="CX1974" s="6"/>
      <c r="CY1974" s="6"/>
      <c r="CZ1974" s="6"/>
      <c r="DA1974" s="6"/>
      <c r="DB1974" s="6"/>
      <c r="DC1974" s="6"/>
      <c r="DD1974" s="6"/>
    </row>
    <row r="1975" spans="1:108" ht="12.75" hidden="1" customHeight="1" outlineLevel="5">
      <c r="A1975" s="104" t="s">
        <v>305</v>
      </c>
      <c r="B1975" s="110" t="s">
        <v>387</v>
      </c>
      <c r="C1975" s="11"/>
      <c r="D1975" s="6" t="str">
        <f>"&lt;" &amp; A1975 &amp; "&gt;"</f>
        <v>&lt;Sect_Parms&gt;</v>
      </c>
      <c r="F1975" s="6"/>
      <c r="G1975" s="6"/>
      <c r="H1975" s="6"/>
      <c r="I1975" s="6"/>
      <c r="J1975" s="6"/>
      <c r="K1975" s="6"/>
      <c r="L1975" s="6"/>
      <c r="M1975" s="6"/>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c r="BU1975" s="6"/>
      <c r="BV1975" s="6"/>
      <c r="BW1975" s="6"/>
      <c r="BX1975" s="6"/>
      <c r="BY1975" s="6"/>
      <c r="BZ1975" s="6"/>
      <c r="CA1975" s="6"/>
      <c r="CB1975" s="6"/>
      <c r="CC1975" s="6"/>
      <c r="CD1975" s="6"/>
      <c r="CE1975" s="6"/>
      <c r="CF1975" s="6"/>
      <c r="CG1975" s="6"/>
      <c r="CH1975" s="6"/>
      <c r="CI1975" s="6"/>
      <c r="CJ1975" s="6"/>
      <c r="CK1975" s="6"/>
      <c r="CL1975" s="6"/>
      <c r="CM1975" s="6"/>
      <c r="CN1975" s="6"/>
      <c r="CO1975" s="6"/>
      <c r="CP1975" s="6"/>
      <c r="CQ1975" s="6"/>
      <c r="CR1975" s="6"/>
      <c r="CS1975" s="6"/>
      <c r="CT1975" s="6"/>
      <c r="CU1975" s="6"/>
      <c r="CV1975" s="6"/>
      <c r="CW1975" s="6"/>
      <c r="CX1975" s="6"/>
      <c r="CY1975" s="6"/>
      <c r="CZ1975" s="6"/>
      <c r="DA1975" s="6"/>
      <c r="DB1975" s="6"/>
      <c r="DC1975" s="6"/>
      <c r="DD1975" s="6"/>
    </row>
    <row r="1976" spans="1:108" ht="12.75" hidden="1" customHeight="1" outlineLevel="6">
      <c r="A1976" s="104" t="s">
        <v>306</v>
      </c>
      <c r="B1976" s="28">
        <f>B1443</f>
        <v>0.5</v>
      </c>
      <c r="C1976" s="11"/>
      <c r="D1976" s="18" t="str">
        <f>"&lt;" &amp; A1976 &amp; "&gt;" &amp; TEXT(B1976,"0.000000") &amp; "&lt;/" &amp; A1976 &amp; "&gt;"</f>
        <v>&lt;X_Off&gt;0.500000&lt;/X_Off&gt;</v>
      </c>
      <c r="F1976" s="6"/>
      <c r="G1976" s="6"/>
      <c r="H1976" s="6"/>
      <c r="I1976" s="6"/>
      <c r="J1976" s="6"/>
      <c r="K1976" s="6"/>
      <c r="L1976" s="6"/>
      <c r="M1976" s="6"/>
      <c r="N1976" s="6"/>
      <c r="O1976" s="6"/>
      <c r="P1976" s="6"/>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c r="BU1976" s="6"/>
      <c r="BV1976" s="6"/>
      <c r="BW1976" s="6"/>
      <c r="BX1976" s="6"/>
      <c r="BY1976" s="6"/>
      <c r="BZ1976" s="6"/>
      <c r="CA1976" s="6"/>
      <c r="CB1976" s="6"/>
      <c r="CC1976" s="6"/>
      <c r="CD1976" s="6"/>
      <c r="CE1976" s="6"/>
      <c r="CF1976" s="6"/>
      <c r="CG1976" s="6"/>
      <c r="CH1976" s="6"/>
      <c r="CI1976" s="6"/>
      <c r="CJ1976" s="6"/>
      <c r="CK1976" s="6"/>
      <c r="CL1976" s="6"/>
      <c r="CM1976" s="6"/>
      <c r="CN1976" s="6"/>
      <c r="CO1976" s="6"/>
      <c r="CP1976" s="6"/>
      <c r="CQ1976" s="6"/>
      <c r="CR1976" s="6"/>
      <c r="CS1976" s="6"/>
      <c r="CT1976" s="6"/>
      <c r="CU1976" s="6"/>
      <c r="CV1976" s="6"/>
      <c r="CW1976" s="6"/>
      <c r="CX1976" s="6"/>
      <c r="CY1976" s="6"/>
      <c r="CZ1976" s="6"/>
      <c r="DA1976" s="6"/>
      <c r="DB1976" s="6"/>
      <c r="DC1976" s="6"/>
      <c r="DD1976" s="6"/>
    </row>
    <row r="1977" spans="1:108" ht="12.75" hidden="1" customHeight="1" outlineLevel="6">
      <c r="A1977" s="104" t="s">
        <v>307</v>
      </c>
      <c r="B1977" s="28">
        <f>B1444</f>
        <v>0</v>
      </c>
      <c r="C1977" s="11"/>
      <c r="D1977" s="18" t="str">
        <f>"&lt;" &amp; A1977 &amp; "&gt;" &amp; TEXT(B1977,"0.000000") &amp; "&lt;/" &amp; A1977 &amp; "&gt;"</f>
        <v>&lt;Y_Off&gt;0.000000&lt;/Y_Off&gt;</v>
      </c>
      <c r="F1977" s="6"/>
      <c r="G1977" s="6"/>
      <c r="H1977" s="6"/>
      <c r="I1977" s="6"/>
      <c r="J1977" s="6"/>
      <c r="K1977" s="6"/>
      <c r="L1977" s="6"/>
      <c r="M1977" s="6"/>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c r="BU1977" s="6"/>
      <c r="BV1977" s="6"/>
      <c r="BW1977" s="6"/>
      <c r="BX1977" s="6"/>
      <c r="BY1977" s="6"/>
      <c r="BZ1977" s="6"/>
      <c r="CA1977" s="6"/>
      <c r="CB1977" s="6"/>
      <c r="CC1977" s="6"/>
      <c r="CD1977" s="6"/>
      <c r="CE1977" s="6"/>
      <c r="CF1977" s="6"/>
      <c r="CG1977" s="6"/>
      <c r="CH1977" s="6"/>
      <c r="CI1977" s="6"/>
      <c r="CJ1977" s="6"/>
      <c r="CK1977" s="6"/>
      <c r="CL1977" s="6"/>
      <c r="CM1977" s="6"/>
      <c r="CN1977" s="6"/>
      <c r="CO1977" s="6"/>
      <c r="CP1977" s="6"/>
      <c r="CQ1977" s="6"/>
      <c r="CR1977" s="6"/>
      <c r="CS1977" s="6"/>
      <c r="CT1977" s="6"/>
      <c r="CU1977" s="6"/>
      <c r="CV1977" s="6"/>
      <c r="CW1977" s="6"/>
      <c r="CX1977" s="6"/>
      <c r="CY1977" s="6"/>
      <c r="CZ1977" s="6"/>
      <c r="DA1977" s="6"/>
      <c r="DB1977" s="6"/>
      <c r="DC1977" s="6"/>
      <c r="DD1977" s="6"/>
    </row>
    <row r="1978" spans="1:108" ht="12.75" hidden="1" customHeight="1" outlineLevel="6">
      <c r="A1978" s="104" t="s">
        <v>287</v>
      </c>
      <c r="B1978" s="28">
        <f>B1445</f>
        <v>0.12</v>
      </c>
      <c r="C1978" s="11"/>
      <c r="D1978" s="18" t="str">
        <f>"&lt;" &amp; A1978 &amp; "&gt;" &amp; TEXT(B1978,"0.000000") &amp; "&lt;/" &amp; A1978 &amp; "&gt;"</f>
        <v>&lt;Chord&gt;0.120000&lt;/Chord&gt;</v>
      </c>
      <c r="F1978" s="6"/>
      <c r="G1978" s="6"/>
      <c r="H1978" s="6"/>
      <c r="I1978" s="6"/>
      <c r="J1978" s="6"/>
      <c r="K1978" s="6"/>
      <c r="L1978" s="6"/>
      <c r="M1978" s="6"/>
      <c r="N1978" s="6"/>
      <c r="O1978" s="6"/>
      <c r="P1978" s="6"/>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c r="BU1978" s="6"/>
      <c r="BV1978" s="6"/>
      <c r="BW1978" s="6"/>
      <c r="BX1978" s="6"/>
      <c r="BY1978" s="6"/>
      <c r="BZ1978" s="6"/>
      <c r="CA1978" s="6"/>
      <c r="CB1978" s="6"/>
      <c r="CC1978" s="6"/>
      <c r="CD1978" s="6"/>
      <c r="CE1978" s="6"/>
      <c r="CF1978" s="6"/>
      <c r="CG1978" s="6"/>
      <c r="CH1978" s="6"/>
      <c r="CI1978" s="6"/>
      <c r="CJ1978" s="6"/>
      <c r="CK1978" s="6"/>
      <c r="CL1978" s="6"/>
      <c r="CM1978" s="6"/>
      <c r="CN1978" s="6"/>
      <c r="CO1978" s="6"/>
      <c r="CP1978" s="6"/>
      <c r="CQ1978" s="6"/>
      <c r="CR1978" s="6"/>
      <c r="CS1978" s="6"/>
      <c r="CT1978" s="6"/>
      <c r="CU1978" s="6"/>
      <c r="CV1978" s="6"/>
      <c r="CW1978" s="6"/>
      <c r="CX1978" s="6"/>
      <c r="CY1978" s="6"/>
      <c r="CZ1978" s="6"/>
      <c r="DA1978" s="6"/>
      <c r="DB1978" s="6"/>
      <c r="DC1978" s="6"/>
      <c r="DD1978" s="6"/>
    </row>
    <row r="1979" spans="1:108" ht="12.75" hidden="1" customHeight="1" outlineLevel="6">
      <c r="A1979" s="104" t="s">
        <v>9</v>
      </c>
      <c r="B1979" s="28">
        <f>B1446</f>
        <v>15</v>
      </c>
      <c r="C1979" s="11"/>
      <c r="D1979" s="18" t="str">
        <f>"&lt;" &amp; A1979 &amp; "&gt;" &amp; TEXT(B1979,"0.000000") &amp; "&lt;/" &amp; A1979 &amp; "&gt;"</f>
        <v>&lt;Twist&gt;15.000000&lt;/Twist&gt;</v>
      </c>
      <c r="F1979" s="6"/>
      <c r="G1979" s="6"/>
      <c r="H1979" s="6"/>
      <c r="I1979" s="6"/>
      <c r="J1979" s="6"/>
      <c r="K1979" s="6"/>
      <c r="L1979" s="6"/>
      <c r="M1979" s="6"/>
      <c r="N1979" s="6"/>
      <c r="O1979" s="6"/>
      <c r="P1979" s="6"/>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c r="BU1979" s="6"/>
      <c r="BV1979" s="6"/>
      <c r="BW1979" s="6"/>
      <c r="BX1979" s="6"/>
      <c r="BY1979" s="6"/>
      <c r="BZ1979" s="6"/>
      <c r="CA1979" s="6"/>
      <c r="CB1979" s="6"/>
      <c r="CC1979" s="6"/>
      <c r="CD1979" s="6"/>
      <c r="CE1979" s="6"/>
      <c r="CF1979" s="6"/>
      <c r="CG1979" s="6"/>
      <c r="CH1979" s="6"/>
      <c r="CI1979" s="6"/>
      <c r="CJ1979" s="6"/>
      <c r="CK1979" s="6"/>
      <c r="CL1979" s="6"/>
      <c r="CM1979" s="6"/>
      <c r="CN1979" s="6"/>
      <c r="CO1979" s="6"/>
      <c r="CP1979" s="6"/>
      <c r="CQ1979" s="6"/>
      <c r="CR1979" s="6"/>
      <c r="CS1979" s="6"/>
      <c r="CT1979" s="6"/>
      <c r="CU1979" s="6"/>
      <c r="CV1979" s="6"/>
      <c r="CW1979" s="6"/>
      <c r="CX1979" s="6"/>
      <c r="CY1979" s="6"/>
      <c r="CZ1979" s="6"/>
      <c r="DA1979" s="6"/>
      <c r="DB1979" s="6"/>
      <c r="DC1979" s="6"/>
      <c r="DD1979" s="6"/>
    </row>
    <row r="1980" spans="1:108" ht="12.75" hidden="1" customHeight="1" outlineLevel="6">
      <c r="A1980" s="104" t="s">
        <v>2</v>
      </c>
      <c r="B1980" s="100"/>
      <c r="C1980" s="11"/>
      <c r="D1980" s="6" t="str">
        <f>"&lt;" &amp; A1980 &amp; "&gt;"</f>
        <v>&lt;Airfoil&gt;</v>
      </c>
      <c r="F1980" s="6"/>
      <c r="G1980" s="6"/>
      <c r="H1980" s="6"/>
      <c r="I1980" s="6"/>
      <c r="J1980" s="6"/>
      <c r="K1980" s="6"/>
      <c r="L1980" s="6"/>
      <c r="M1980" s="6"/>
      <c r="N1980" s="6"/>
      <c r="O1980" s="6"/>
      <c r="P1980" s="6"/>
      <c r="Q1980" s="6"/>
      <c r="R1980" s="6"/>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c r="BU1980" s="6"/>
      <c r="BV1980" s="6"/>
      <c r="BW1980" s="6"/>
      <c r="BX1980" s="6"/>
      <c r="BY1980" s="6"/>
      <c r="BZ1980" s="6"/>
      <c r="CA1980" s="6"/>
      <c r="CB1980" s="6"/>
      <c r="CC1980" s="6"/>
      <c r="CD1980" s="6"/>
      <c r="CE1980" s="6"/>
      <c r="CF1980" s="6"/>
      <c r="CG1980" s="6"/>
      <c r="CH1980" s="6"/>
      <c r="CI1980" s="6"/>
      <c r="CJ1980" s="6"/>
      <c r="CK1980" s="6"/>
      <c r="CL1980" s="6"/>
      <c r="CM1980" s="6"/>
      <c r="CN1980" s="6"/>
      <c r="CO1980" s="6"/>
      <c r="CP1980" s="6"/>
      <c r="CQ1980" s="6"/>
      <c r="CR1980" s="6"/>
      <c r="CS1980" s="6"/>
      <c r="CT1980" s="6"/>
      <c r="CU1980" s="6"/>
      <c r="CV1980" s="6"/>
      <c r="CW1980" s="6"/>
      <c r="CX1980" s="6"/>
      <c r="CY1980" s="6"/>
      <c r="CZ1980" s="6"/>
      <c r="DA1980" s="6"/>
      <c r="DB1980" s="6"/>
      <c r="DC1980" s="6"/>
      <c r="DD1980" s="6"/>
    </row>
    <row r="1981" spans="1:108" ht="12.75" hidden="1" customHeight="1" outlineLevel="7">
      <c r="A1981" s="104" t="s">
        <v>14</v>
      </c>
      <c r="B1981" s="28">
        <f t="shared" ref="B1981:B1999" si="104">B1448</f>
        <v>1</v>
      </c>
      <c r="C1981" s="11"/>
      <c r="D1981" s="18" t="str">
        <f>"&lt;" &amp; A1981 &amp; "&gt;" &amp; TEXT(B1981,0) &amp; "&lt;/" &amp; A1981 &amp; "&gt;"</f>
        <v>&lt;Type&gt;1&lt;/Type&gt;</v>
      </c>
      <c r="F1981" s="6"/>
      <c r="G1981" s="6"/>
      <c r="H1981" s="6"/>
      <c r="I1981" s="6"/>
      <c r="J1981" s="6"/>
      <c r="K1981" s="6"/>
      <c r="L1981" s="6"/>
      <c r="M1981" s="6"/>
      <c r="N1981" s="6"/>
      <c r="O1981" s="6"/>
      <c r="P1981" s="6"/>
      <c r="Q1981" s="6"/>
      <c r="R1981" s="6"/>
      <c r="S1981" s="6"/>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c r="BU1981" s="6"/>
      <c r="BV1981" s="6"/>
      <c r="BW1981" s="6"/>
      <c r="BX1981" s="6"/>
      <c r="BY1981" s="6"/>
      <c r="BZ1981" s="6"/>
      <c r="CA1981" s="6"/>
      <c r="CB1981" s="6"/>
      <c r="CC1981" s="6"/>
      <c r="CD1981" s="6"/>
      <c r="CE1981" s="6"/>
      <c r="CF1981" s="6"/>
      <c r="CG1981" s="6"/>
      <c r="CH1981" s="6"/>
      <c r="CI1981" s="6"/>
      <c r="CJ1981" s="6"/>
      <c r="CK1981" s="6"/>
      <c r="CL1981" s="6"/>
      <c r="CM1981" s="6"/>
      <c r="CN1981" s="6"/>
      <c r="CO1981" s="6"/>
      <c r="CP1981" s="6"/>
      <c r="CQ1981" s="6"/>
      <c r="CR1981" s="6"/>
      <c r="CS1981" s="6"/>
      <c r="CT1981" s="6"/>
      <c r="CU1981" s="6"/>
      <c r="CV1981" s="6"/>
      <c r="CW1981" s="6"/>
      <c r="CX1981" s="6"/>
      <c r="CY1981" s="6"/>
      <c r="CZ1981" s="6"/>
      <c r="DA1981" s="6"/>
      <c r="DB1981" s="6"/>
      <c r="DC1981" s="6"/>
      <c r="DD1981" s="6"/>
    </row>
    <row r="1982" spans="1:108" ht="12.75" hidden="1" customHeight="1" outlineLevel="7">
      <c r="A1982" s="104" t="s">
        <v>102</v>
      </c>
      <c r="B1982" s="28">
        <f t="shared" si="104"/>
        <v>0</v>
      </c>
      <c r="C1982" s="11"/>
      <c r="D1982" s="18" t="str">
        <f>"&lt;" &amp; A1982 &amp; "&gt;" &amp; TEXT(B1982,0) &amp; "&lt;/" &amp; A1982 &amp; "&gt;"</f>
        <v>&lt;Inverted_Flag&gt;0&lt;/Inverted_Flag&gt;</v>
      </c>
      <c r="F1982" s="6"/>
      <c r="G1982" s="6"/>
      <c r="H1982" s="6"/>
      <c r="I1982" s="6"/>
      <c r="J1982" s="6"/>
      <c r="K1982" s="6"/>
      <c r="L1982" s="6"/>
      <c r="M1982" s="6"/>
      <c r="N1982" s="6"/>
      <c r="O1982" s="6"/>
      <c r="P1982" s="6"/>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c r="BU1982" s="6"/>
      <c r="BV1982" s="6"/>
      <c r="BW1982" s="6"/>
      <c r="BX1982" s="6"/>
      <c r="BY1982" s="6"/>
      <c r="BZ1982" s="6"/>
      <c r="CA1982" s="6"/>
      <c r="CB1982" s="6"/>
      <c r="CC1982" s="6"/>
      <c r="CD1982" s="6"/>
      <c r="CE1982" s="6"/>
      <c r="CF1982" s="6"/>
      <c r="CG1982" s="6"/>
      <c r="CH1982" s="6"/>
      <c r="CI1982" s="6"/>
      <c r="CJ1982" s="6"/>
      <c r="CK1982" s="6"/>
      <c r="CL1982" s="6"/>
      <c r="CM1982" s="6"/>
      <c r="CN1982" s="6"/>
      <c r="CO1982" s="6"/>
      <c r="CP1982" s="6"/>
      <c r="CQ1982" s="6"/>
      <c r="CR1982" s="6"/>
      <c r="CS1982" s="6"/>
      <c r="CT1982" s="6"/>
      <c r="CU1982" s="6"/>
      <c r="CV1982" s="6"/>
      <c r="CW1982" s="6"/>
      <c r="CX1982" s="6"/>
      <c r="CY1982" s="6"/>
      <c r="CZ1982" s="6"/>
      <c r="DA1982" s="6"/>
      <c r="DB1982" s="6"/>
      <c r="DC1982" s="6"/>
      <c r="DD1982" s="6"/>
    </row>
    <row r="1983" spans="1:108" ht="12.75" hidden="1" customHeight="1" outlineLevel="7">
      <c r="A1983" s="104" t="s">
        <v>4</v>
      </c>
      <c r="B1983" s="28">
        <f t="shared" si="104"/>
        <v>0</v>
      </c>
      <c r="C1983" s="11"/>
      <c r="D1983" s="18" t="str">
        <f t="shared" ref="D1983:D1988" si="105">"&lt;" &amp; A1983 &amp; "&gt;" &amp; TEXT(B1983,"0.000000") &amp; "&lt;/" &amp; A1983 &amp; "&gt;"</f>
        <v>&lt;Camber&gt;0.000000&lt;/Camber&gt;</v>
      </c>
      <c r="F1983" s="6"/>
      <c r="G1983" s="6"/>
      <c r="H1983" s="6"/>
      <c r="I1983" s="6"/>
      <c r="J1983" s="6"/>
      <c r="K1983" s="6"/>
      <c r="L1983" s="6"/>
      <c r="M1983" s="6"/>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c r="BU1983" s="6"/>
      <c r="BV1983" s="6"/>
      <c r="BW1983" s="6"/>
      <c r="BX1983" s="6"/>
      <c r="BY1983" s="6"/>
      <c r="BZ1983" s="6"/>
      <c r="CA1983" s="6"/>
      <c r="CB1983" s="6"/>
      <c r="CC1983" s="6"/>
      <c r="CD1983" s="6"/>
      <c r="CE1983" s="6"/>
      <c r="CF1983" s="6"/>
      <c r="CG1983" s="6"/>
      <c r="CH1983" s="6"/>
      <c r="CI1983" s="6"/>
      <c r="CJ1983" s="6"/>
      <c r="CK1983" s="6"/>
      <c r="CL1983" s="6"/>
      <c r="CM1983" s="6"/>
      <c r="CN1983" s="6"/>
      <c r="CO1983" s="6"/>
      <c r="CP1983" s="6"/>
      <c r="CQ1983" s="6"/>
      <c r="CR1983" s="6"/>
      <c r="CS1983" s="6"/>
      <c r="CT1983" s="6"/>
      <c r="CU1983" s="6"/>
      <c r="CV1983" s="6"/>
      <c r="CW1983" s="6"/>
      <c r="CX1983" s="6"/>
      <c r="CY1983" s="6"/>
      <c r="CZ1983" s="6"/>
      <c r="DA1983" s="6"/>
      <c r="DB1983" s="6"/>
      <c r="DC1983" s="6"/>
      <c r="DD1983" s="6"/>
    </row>
    <row r="1984" spans="1:108" ht="12.75" hidden="1" customHeight="1" outlineLevel="7">
      <c r="A1984" s="104" t="s">
        <v>103</v>
      </c>
      <c r="B1984" s="28">
        <f t="shared" si="104"/>
        <v>0.5</v>
      </c>
      <c r="C1984" s="11"/>
      <c r="D1984" s="18" t="str">
        <f t="shared" si="105"/>
        <v>&lt;Camber_Loc&gt;0.500000&lt;/Camber_Loc&gt;</v>
      </c>
      <c r="F1984" s="6"/>
      <c r="G1984" s="6"/>
      <c r="H1984" s="6"/>
      <c r="I1984" s="6"/>
      <c r="J1984" s="6"/>
      <c r="K1984" s="6"/>
      <c r="L1984" s="6"/>
      <c r="M1984" s="6"/>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c r="BU1984" s="6"/>
      <c r="BV1984" s="6"/>
      <c r="BW1984" s="6"/>
      <c r="BX1984" s="6"/>
      <c r="BY1984" s="6"/>
      <c r="BZ1984" s="6"/>
      <c r="CA1984" s="6"/>
      <c r="CB1984" s="6"/>
      <c r="CC1984" s="6"/>
      <c r="CD1984" s="6"/>
      <c r="CE1984" s="6"/>
      <c r="CF1984" s="6"/>
      <c r="CG1984" s="6"/>
      <c r="CH1984" s="6"/>
      <c r="CI1984" s="6"/>
      <c r="CJ1984" s="6"/>
      <c r="CK1984" s="6"/>
      <c r="CL1984" s="6"/>
      <c r="CM1984" s="6"/>
      <c r="CN1984" s="6"/>
      <c r="CO1984" s="6"/>
      <c r="CP1984" s="6"/>
      <c r="CQ1984" s="6"/>
      <c r="CR1984" s="6"/>
      <c r="CS1984" s="6"/>
      <c r="CT1984" s="6"/>
      <c r="CU1984" s="6"/>
      <c r="CV1984" s="6"/>
      <c r="CW1984" s="6"/>
      <c r="CX1984" s="6"/>
      <c r="CY1984" s="6"/>
      <c r="CZ1984" s="6"/>
      <c r="DA1984" s="6"/>
      <c r="DB1984" s="6"/>
      <c r="DC1984" s="6"/>
      <c r="DD1984" s="6"/>
    </row>
    <row r="1985" spans="1:108" ht="12.75" hidden="1" customHeight="1" outlineLevel="7">
      <c r="A1985" s="104" t="s">
        <v>5</v>
      </c>
      <c r="B1985" s="28">
        <f t="shared" si="104"/>
        <v>0.2</v>
      </c>
      <c r="C1985" s="11"/>
      <c r="D1985" s="18" t="str">
        <f t="shared" si="105"/>
        <v>&lt;Thickness&gt;0.200000&lt;/Thickness&gt;</v>
      </c>
      <c r="F1985" s="6"/>
      <c r="G1985" s="6"/>
      <c r="H1985" s="6"/>
      <c r="I1985" s="6"/>
      <c r="J1985" s="6"/>
      <c r="K1985" s="6"/>
      <c r="L1985" s="6"/>
      <c r="M1985" s="6"/>
      <c r="N1985" s="6"/>
      <c r="O1985" s="6"/>
      <c r="P1985" s="6"/>
      <c r="Q1985" s="6"/>
      <c r="R1985" s="6"/>
      <c r="S1985" s="6"/>
      <c r="T1985" s="6"/>
      <c r="U1985" s="6"/>
      <c r="V1985" s="6"/>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c r="BU1985" s="6"/>
      <c r="BV1985" s="6"/>
      <c r="BW1985" s="6"/>
      <c r="BX1985" s="6"/>
      <c r="BY1985" s="6"/>
      <c r="BZ1985" s="6"/>
      <c r="CA1985" s="6"/>
      <c r="CB1985" s="6"/>
      <c r="CC1985" s="6"/>
      <c r="CD1985" s="6"/>
      <c r="CE1985" s="6"/>
      <c r="CF1985" s="6"/>
      <c r="CG1985" s="6"/>
      <c r="CH1985" s="6"/>
      <c r="CI1985" s="6"/>
      <c r="CJ1985" s="6"/>
      <c r="CK1985" s="6"/>
      <c r="CL1985" s="6"/>
      <c r="CM1985" s="6"/>
      <c r="CN1985" s="6"/>
      <c r="CO1985" s="6"/>
      <c r="CP1985" s="6"/>
      <c r="CQ1985" s="6"/>
      <c r="CR1985" s="6"/>
      <c r="CS1985" s="6"/>
      <c r="CT1985" s="6"/>
      <c r="CU1985" s="6"/>
      <c r="CV1985" s="6"/>
      <c r="CW1985" s="6"/>
      <c r="CX1985" s="6"/>
      <c r="CY1985" s="6"/>
      <c r="CZ1985" s="6"/>
      <c r="DA1985" s="6"/>
      <c r="DB1985" s="6"/>
      <c r="DC1985" s="6"/>
      <c r="DD1985" s="6"/>
    </row>
    <row r="1986" spans="1:108" ht="12.75" hidden="1" customHeight="1" outlineLevel="7">
      <c r="A1986" s="104" t="s">
        <v>104</v>
      </c>
      <c r="B1986" s="28">
        <f t="shared" si="104"/>
        <v>0.3</v>
      </c>
      <c r="C1986" s="11"/>
      <c r="D1986" s="18" t="str">
        <f t="shared" si="105"/>
        <v>&lt;Thickness_Loc&gt;0.300000&lt;/Thickness_Loc&gt;</v>
      </c>
      <c r="F1986" s="6"/>
      <c r="G1986" s="6"/>
      <c r="H1986" s="6"/>
      <c r="I1986" s="6"/>
      <c r="J1986" s="6"/>
      <c r="K1986" s="6"/>
      <c r="L1986" s="6"/>
      <c r="M1986" s="6"/>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c r="BU1986" s="6"/>
      <c r="BV1986" s="6"/>
      <c r="BW1986" s="6"/>
      <c r="BX1986" s="6"/>
      <c r="BY1986" s="6"/>
      <c r="BZ1986" s="6"/>
      <c r="CA1986" s="6"/>
      <c r="CB1986" s="6"/>
      <c r="CC1986" s="6"/>
      <c r="CD1986" s="6"/>
      <c r="CE1986" s="6"/>
      <c r="CF1986" s="6"/>
      <c r="CG1986" s="6"/>
      <c r="CH1986" s="6"/>
      <c r="CI1986" s="6"/>
      <c r="CJ1986" s="6"/>
      <c r="CK1986" s="6"/>
      <c r="CL1986" s="6"/>
      <c r="CM1986" s="6"/>
      <c r="CN1986" s="6"/>
      <c r="CO1986" s="6"/>
      <c r="CP1986" s="6"/>
      <c r="CQ1986" s="6"/>
      <c r="CR1986" s="6"/>
      <c r="CS1986" s="6"/>
      <c r="CT1986" s="6"/>
      <c r="CU1986" s="6"/>
      <c r="CV1986" s="6"/>
      <c r="CW1986" s="6"/>
      <c r="CX1986" s="6"/>
      <c r="CY1986" s="6"/>
      <c r="CZ1986" s="6"/>
      <c r="DA1986" s="6"/>
      <c r="DB1986" s="6"/>
      <c r="DC1986" s="6"/>
      <c r="DD1986" s="6"/>
    </row>
    <row r="1987" spans="1:108" ht="12.75" hidden="1" customHeight="1" outlineLevel="7">
      <c r="A1987" s="104" t="s">
        <v>105</v>
      </c>
      <c r="B1987" s="28">
        <f t="shared" si="104"/>
        <v>4.4075999999999997E-2</v>
      </c>
      <c r="C1987" s="11"/>
      <c r="D1987" s="18" t="str">
        <f t="shared" si="105"/>
        <v>&lt;Radius_Le&gt;0.044076&lt;/Radius_Le&gt;</v>
      </c>
      <c r="F1987" s="6"/>
      <c r="G1987" s="6"/>
      <c r="H1987" s="6"/>
      <c r="I1987" s="6"/>
      <c r="J1987" s="6"/>
      <c r="K1987" s="6"/>
      <c r="L1987" s="6"/>
      <c r="M1987" s="6"/>
      <c r="N1987" s="6"/>
      <c r="O1987" s="6"/>
      <c r="P1987" s="6"/>
      <c r="Q1987" s="6"/>
      <c r="R1987" s="6"/>
      <c r="S1987" s="6"/>
      <c r="T1987" s="6"/>
      <c r="U1987" s="6"/>
      <c r="V1987" s="6"/>
      <c r="W1987" s="6"/>
      <c r="X1987" s="6"/>
      <c r="Y1987" s="6"/>
      <c r="Z1987" s="6"/>
      <c r="AA1987" s="6"/>
      <c r="AB1987" s="6"/>
      <c r="AC1987" s="6"/>
      <c r="AD1987" s="6"/>
      <c r="AE1987" s="6"/>
      <c r="AF1987" s="6"/>
      <c r="AG1987" s="6"/>
      <c r="AH1987" s="6"/>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c r="BU1987" s="6"/>
      <c r="BV1987" s="6"/>
      <c r="BW1987" s="6"/>
      <c r="BX1987" s="6"/>
      <c r="BY1987" s="6"/>
      <c r="BZ1987" s="6"/>
      <c r="CA1987" s="6"/>
      <c r="CB1987" s="6"/>
      <c r="CC1987" s="6"/>
      <c r="CD1987" s="6"/>
      <c r="CE1987" s="6"/>
      <c r="CF1987" s="6"/>
      <c r="CG1987" s="6"/>
      <c r="CH1987" s="6"/>
      <c r="CI1987" s="6"/>
      <c r="CJ1987" s="6"/>
      <c r="CK1987" s="6"/>
      <c r="CL1987" s="6"/>
      <c r="CM1987" s="6"/>
      <c r="CN1987" s="6"/>
      <c r="CO1987" s="6"/>
      <c r="CP1987" s="6"/>
      <c r="CQ1987" s="6"/>
      <c r="CR1987" s="6"/>
      <c r="CS1987" s="6"/>
      <c r="CT1987" s="6"/>
      <c r="CU1987" s="6"/>
      <c r="CV1987" s="6"/>
      <c r="CW1987" s="6"/>
      <c r="CX1987" s="6"/>
      <c r="CY1987" s="6"/>
      <c r="CZ1987" s="6"/>
      <c r="DA1987" s="6"/>
      <c r="DB1987" s="6"/>
      <c r="DC1987" s="6"/>
      <c r="DD1987" s="6"/>
    </row>
    <row r="1988" spans="1:108" ht="12.75" hidden="1" customHeight="1" outlineLevel="7">
      <c r="A1988" s="104" t="s">
        <v>106</v>
      </c>
      <c r="B1988" s="28">
        <f t="shared" si="104"/>
        <v>0</v>
      </c>
      <c r="C1988" s="11"/>
      <c r="D1988" s="18" t="str">
        <f t="shared" si="105"/>
        <v>&lt;Radius_Te&gt;0.000000&lt;/Radius_Te&gt;</v>
      </c>
      <c r="F1988" s="6"/>
      <c r="G1988" s="6"/>
      <c r="H1988" s="6"/>
      <c r="I1988" s="6"/>
      <c r="J1988" s="6"/>
      <c r="K1988" s="6"/>
      <c r="L1988" s="6"/>
      <c r="M1988" s="6"/>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c r="BU1988" s="6"/>
      <c r="BV1988" s="6"/>
      <c r="BW1988" s="6"/>
      <c r="BX1988" s="6"/>
      <c r="BY1988" s="6"/>
      <c r="BZ1988" s="6"/>
      <c r="CA1988" s="6"/>
      <c r="CB1988" s="6"/>
      <c r="CC1988" s="6"/>
      <c r="CD1988" s="6"/>
      <c r="CE1988" s="6"/>
      <c r="CF1988" s="6"/>
      <c r="CG1988" s="6"/>
      <c r="CH1988" s="6"/>
      <c r="CI1988" s="6"/>
      <c r="CJ1988" s="6"/>
      <c r="CK1988" s="6"/>
      <c r="CL1988" s="6"/>
      <c r="CM1988" s="6"/>
      <c r="CN1988" s="6"/>
      <c r="CO1988" s="6"/>
      <c r="CP1988" s="6"/>
      <c r="CQ1988" s="6"/>
      <c r="CR1988" s="6"/>
      <c r="CS1988" s="6"/>
      <c r="CT1988" s="6"/>
      <c r="CU1988" s="6"/>
      <c r="CV1988" s="6"/>
      <c r="CW1988" s="6"/>
      <c r="CX1988" s="6"/>
      <c r="CY1988" s="6"/>
      <c r="CZ1988" s="6"/>
      <c r="DA1988" s="6"/>
      <c r="DB1988" s="6"/>
      <c r="DC1988" s="6"/>
      <c r="DD1988" s="6"/>
    </row>
    <row r="1989" spans="1:108" ht="12.75" hidden="1" customHeight="1" outlineLevel="7">
      <c r="A1989" s="104" t="s">
        <v>107</v>
      </c>
      <c r="B1989" s="28">
        <f t="shared" si="104"/>
        <v>63</v>
      </c>
      <c r="C1989" s="11"/>
      <c r="D1989" s="18" t="str">
        <f>"&lt;" &amp; A1989 &amp; "&gt;" &amp; TEXT(B1989,0) &amp; "&lt;/" &amp; A1989 &amp; "&gt;"</f>
        <v>&lt;Six_Series&gt;63&lt;/Six_Series&gt;</v>
      </c>
      <c r="F1989" s="6"/>
      <c r="G1989" s="6"/>
      <c r="H1989" s="6"/>
      <c r="I1989" s="6"/>
      <c r="J1989" s="6"/>
      <c r="K1989" s="6"/>
      <c r="L1989" s="6"/>
      <c r="M1989" s="6"/>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c r="BU1989" s="6"/>
      <c r="BV1989" s="6"/>
      <c r="BW1989" s="6"/>
      <c r="BX1989" s="6"/>
      <c r="BY1989" s="6"/>
      <c r="BZ1989" s="6"/>
      <c r="CA1989" s="6"/>
      <c r="CB1989" s="6"/>
      <c r="CC1989" s="6"/>
      <c r="CD1989" s="6"/>
      <c r="CE1989" s="6"/>
      <c r="CF1989" s="6"/>
      <c r="CG1989" s="6"/>
      <c r="CH1989" s="6"/>
      <c r="CI1989" s="6"/>
      <c r="CJ1989" s="6"/>
      <c r="CK1989" s="6"/>
      <c r="CL1989" s="6"/>
      <c r="CM1989" s="6"/>
      <c r="CN1989" s="6"/>
      <c r="CO1989" s="6"/>
      <c r="CP1989" s="6"/>
      <c r="CQ1989" s="6"/>
      <c r="CR1989" s="6"/>
      <c r="CS1989" s="6"/>
      <c r="CT1989" s="6"/>
      <c r="CU1989" s="6"/>
      <c r="CV1989" s="6"/>
      <c r="CW1989" s="6"/>
      <c r="CX1989" s="6"/>
      <c r="CY1989" s="6"/>
      <c r="CZ1989" s="6"/>
      <c r="DA1989" s="6"/>
      <c r="DB1989" s="6"/>
      <c r="DC1989" s="6"/>
      <c r="DD1989" s="6"/>
    </row>
    <row r="1990" spans="1:108" ht="12.75" hidden="1" customHeight="1" outlineLevel="7">
      <c r="A1990" s="104" t="s">
        <v>108</v>
      </c>
      <c r="B1990" s="28">
        <f t="shared" si="104"/>
        <v>0</v>
      </c>
      <c r="C1990" s="11"/>
      <c r="D1990" s="18" t="str">
        <f>"&lt;" &amp; A1990 &amp; "&gt;" &amp; TEXT(B1990,"0.000000") &amp; "&lt;/" &amp; A1990 &amp; "&gt;"</f>
        <v>&lt;Ideal_Cl&gt;0.000000&lt;/Ideal_Cl&gt;</v>
      </c>
      <c r="F1990" s="6"/>
      <c r="G1990" s="6"/>
      <c r="H1990" s="6"/>
      <c r="I1990" s="6"/>
      <c r="J1990" s="6"/>
      <c r="K1990" s="6"/>
      <c r="L1990" s="6"/>
      <c r="M1990" s="6"/>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c r="BU1990" s="6"/>
      <c r="BV1990" s="6"/>
      <c r="BW1990" s="6"/>
      <c r="BX1990" s="6"/>
      <c r="BY1990" s="6"/>
      <c r="BZ1990" s="6"/>
      <c r="CA1990" s="6"/>
      <c r="CB1990" s="6"/>
      <c r="CC1990" s="6"/>
      <c r="CD1990" s="6"/>
      <c r="CE1990" s="6"/>
      <c r="CF1990" s="6"/>
      <c r="CG1990" s="6"/>
      <c r="CH1990" s="6"/>
      <c r="CI1990" s="6"/>
      <c r="CJ1990" s="6"/>
      <c r="CK1990" s="6"/>
      <c r="CL1990" s="6"/>
      <c r="CM1990" s="6"/>
      <c r="CN1990" s="6"/>
      <c r="CO1990" s="6"/>
      <c r="CP1990" s="6"/>
      <c r="CQ1990" s="6"/>
      <c r="CR1990" s="6"/>
      <c r="CS1990" s="6"/>
      <c r="CT1990" s="6"/>
      <c r="CU1990" s="6"/>
      <c r="CV1990" s="6"/>
      <c r="CW1990" s="6"/>
      <c r="CX1990" s="6"/>
      <c r="CY1990" s="6"/>
      <c r="CZ1990" s="6"/>
      <c r="DA1990" s="6"/>
      <c r="DB1990" s="6"/>
      <c r="DC1990" s="6"/>
      <c r="DD1990" s="6"/>
    </row>
    <row r="1991" spans="1:108" ht="12.75" hidden="1" customHeight="1" outlineLevel="7">
      <c r="A1991" s="104" t="s">
        <v>109</v>
      </c>
      <c r="B1991" s="28">
        <f t="shared" si="104"/>
        <v>0</v>
      </c>
      <c r="C1991" s="11"/>
      <c r="D1991" s="18" t="str">
        <f>"&lt;" &amp; A1991 &amp; "&gt;" &amp; TEXT(B1991,"0.000000") &amp; "&lt;/" &amp; A1991 &amp; "&gt;"</f>
        <v>&lt;A&gt;0.000000&lt;/A&gt;</v>
      </c>
      <c r="F1991" s="6"/>
      <c r="G1991" s="6"/>
      <c r="H1991" s="6"/>
      <c r="I1991" s="6"/>
      <c r="J1991" s="6"/>
      <c r="K1991" s="6"/>
      <c r="L1991" s="6"/>
      <c r="M1991" s="6"/>
      <c r="N1991" s="6"/>
      <c r="O1991" s="6"/>
      <c r="P1991" s="6"/>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c r="BU1991" s="6"/>
      <c r="BV1991" s="6"/>
      <c r="BW1991" s="6"/>
      <c r="BX1991" s="6"/>
      <c r="BY1991" s="6"/>
      <c r="BZ1991" s="6"/>
      <c r="CA1991" s="6"/>
      <c r="CB1991" s="6"/>
      <c r="CC1991" s="6"/>
      <c r="CD1991" s="6"/>
      <c r="CE1991" s="6"/>
      <c r="CF1991" s="6"/>
      <c r="CG1991" s="6"/>
      <c r="CH1991" s="6"/>
      <c r="CI1991" s="6"/>
      <c r="CJ1991" s="6"/>
      <c r="CK1991" s="6"/>
      <c r="CL1991" s="6"/>
      <c r="CM1991" s="6"/>
      <c r="CN1991" s="6"/>
      <c r="CO1991" s="6"/>
      <c r="CP1991" s="6"/>
      <c r="CQ1991" s="6"/>
      <c r="CR1991" s="6"/>
      <c r="CS1991" s="6"/>
      <c r="CT1991" s="6"/>
      <c r="CU1991" s="6"/>
      <c r="CV1991" s="6"/>
      <c r="CW1991" s="6"/>
      <c r="CX1991" s="6"/>
      <c r="CY1991" s="6"/>
      <c r="CZ1991" s="6"/>
      <c r="DA1991" s="6"/>
      <c r="DB1991" s="6"/>
      <c r="DC1991" s="6"/>
      <c r="DD1991" s="6"/>
    </row>
    <row r="1992" spans="1:108" ht="12.75" hidden="1" customHeight="1" outlineLevel="7">
      <c r="A1992" s="104" t="s">
        <v>110</v>
      </c>
      <c r="B1992" s="28">
        <f t="shared" si="104"/>
        <v>0</v>
      </c>
      <c r="C1992" s="11"/>
      <c r="D1992" s="18" t="str">
        <f>"&lt;" &amp; A1992 &amp; "&gt;" &amp; TEXT(B1992,0) &amp; "&lt;/" &amp; A1992 &amp; "&gt;"</f>
        <v>&lt;Slat_Flag&gt;0&lt;/Slat_Flag&gt;</v>
      </c>
      <c r="F1992" s="6"/>
      <c r="G1992" s="6"/>
      <c r="H1992" s="6"/>
      <c r="I1992" s="6"/>
      <c r="J1992" s="6"/>
      <c r="K1992" s="6"/>
      <c r="L1992" s="6"/>
      <c r="M1992" s="6"/>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c r="BU1992" s="6"/>
      <c r="BV1992" s="6"/>
      <c r="BW1992" s="6"/>
      <c r="BX1992" s="6"/>
      <c r="BY1992" s="6"/>
      <c r="BZ1992" s="6"/>
      <c r="CA1992" s="6"/>
      <c r="CB1992" s="6"/>
      <c r="CC1992" s="6"/>
      <c r="CD1992" s="6"/>
      <c r="CE1992" s="6"/>
      <c r="CF1992" s="6"/>
      <c r="CG1992" s="6"/>
      <c r="CH1992" s="6"/>
      <c r="CI1992" s="6"/>
      <c r="CJ1992" s="6"/>
      <c r="CK1992" s="6"/>
      <c r="CL1992" s="6"/>
      <c r="CM1992" s="6"/>
      <c r="CN1992" s="6"/>
      <c r="CO1992" s="6"/>
      <c r="CP1992" s="6"/>
      <c r="CQ1992" s="6"/>
      <c r="CR1992" s="6"/>
      <c r="CS1992" s="6"/>
      <c r="CT1992" s="6"/>
      <c r="CU1992" s="6"/>
      <c r="CV1992" s="6"/>
      <c r="CW1992" s="6"/>
      <c r="CX1992" s="6"/>
      <c r="CY1992" s="6"/>
      <c r="CZ1992" s="6"/>
      <c r="DA1992" s="6"/>
      <c r="DB1992" s="6"/>
      <c r="DC1992" s="6"/>
      <c r="DD1992" s="6"/>
    </row>
    <row r="1993" spans="1:108" ht="12.75" hidden="1" customHeight="1" outlineLevel="7">
      <c r="A1993" s="104" t="s">
        <v>111</v>
      </c>
      <c r="B1993" s="28">
        <f t="shared" si="104"/>
        <v>0</v>
      </c>
      <c r="C1993" s="11"/>
      <c r="D1993" s="18" t="str">
        <f>"&lt;" &amp; A1993 &amp; "&gt;" &amp; TEXT(B1993,0) &amp; "&lt;/" &amp; A1993 &amp; "&gt;"</f>
        <v>&lt;Slat_Shear_Flag&gt;0&lt;/Slat_Shear_Flag&gt;</v>
      </c>
      <c r="F1993" s="6"/>
      <c r="G1993" s="6"/>
      <c r="H1993" s="6"/>
      <c r="I1993" s="6"/>
      <c r="J1993" s="6"/>
      <c r="K1993" s="6"/>
      <c r="L1993" s="6"/>
      <c r="M1993" s="6"/>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c r="BU1993" s="6"/>
      <c r="BV1993" s="6"/>
      <c r="BW1993" s="6"/>
      <c r="BX1993" s="6"/>
      <c r="BY1993" s="6"/>
      <c r="BZ1993" s="6"/>
      <c r="CA1993" s="6"/>
      <c r="CB1993" s="6"/>
      <c r="CC1993" s="6"/>
      <c r="CD1993" s="6"/>
      <c r="CE1993" s="6"/>
      <c r="CF1993" s="6"/>
      <c r="CG1993" s="6"/>
      <c r="CH1993" s="6"/>
      <c r="CI1993" s="6"/>
      <c r="CJ1993" s="6"/>
      <c r="CK1993" s="6"/>
      <c r="CL1993" s="6"/>
      <c r="CM1993" s="6"/>
      <c r="CN1993" s="6"/>
      <c r="CO1993" s="6"/>
      <c r="CP1993" s="6"/>
      <c r="CQ1993" s="6"/>
      <c r="CR1993" s="6"/>
      <c r="CS1993" s="6"/>
      <c r="CT1993" s="6"/>
      <c r="CU1993" s="6"/>
      <c r="CV1993" s="6"/>
      <c r="CW1993" s="6"/>
      <c r="CX1993" s="6"/>
      <c r="CY1993" s="6"/>
      <c r="CZ1993" s="6"/>
      <c r="DA1993" s="6"/>
      <c r="DB1993" s="6"/>
      <c r="DC1993" s="6"/>
      <c r="DD1993" s="6"/>
    </row>
    <row r="1994" spans="1:108" ht="12.75" hidden="1" customHeight="1" outlineLevel="7">
      <c r="A1994" s="104" t="s">
        <v>112</v>
      </c>
      <c r="B1994" s="28">
        <f t="shared" si="104"/>
        <v>0.25</v>
      </c>
      <c r="C1994" s="11"/>
      <c r="D1994" s="18" t="str">
        <f>"&lt;" &amp; A1994 &amp; "&gt;" &amp; TEXT(B1994,"0.000000") &amp; "&lt;/" &amp; A1994 &amp; "&gt;"</f>
        <v>&lt;Slat_Chord&gt;0.250000&lt;/Slat_Chord&gt;</v>
      </c>
      <c r="F1994" s="6"/>
      <c r="G1994" s="6"/>
      <c r="H1994" s="6"/>
      <c r="I1994" s="6"/>
      <c r="J1994" s="6"/>
      <c r="K1994" s="6"/>
      <c r="L1994" s="6"/>
      <c r="M1994" s="6"/>
      <c r="N1994" s="6"/>
      <c r="O1994" s="6"/>
      <c r="P1994" s="6"/>
      <c r="Q1994" s="6"/>
      <c r="R1994" s="6"/>
      <c r="S1994" s="6"/>
      <c r="T1994" s="6"/>
      <c r="U1994" s="6"/>
      <c r="V1994" s="6"/>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c r="BU1994" s="6"/>
      <c r="BV1994" s="6"/>
      <c r="BW1994" s="6"/>
      <c r="BX1994" s="6"/>
      <c r="BY1994" s="6"/>
      <c r="BZ1994" s="6"/>
      <c r="CA1994" s="6"/>
      <c r="CB1994" s="6"/>
      <c r="CC1994" s="6"/>
      <c r="CD1994" s="6"/>
      <c r="CE1994" s="6"/>
      <c r="CF1994" s="6"/>
      <c r="CG1994" s="6"/>
      <c r="CH1994" s="6"/>
      <c r="CI1994" s="6"/>
      <c r="CJ1994" s="6"/>
      <c r="CK1994" s="6"/>
      <c r="CL1994" s="6"/>
      <c r="CM1994" s="6"/>
      <c r="CN1994" s="6"/>
      <c r="CO1994" s="6"/>
      <c r="CP1994" s="6"/>
      <c r="CQ1994" s="6"/>
      <c r="CR1994" s="6"/>
      <c r="CS1994" s="6"/>
      <c r="CT1994" s="6"/>
      <c r="CU1994" s="6"/>
      <c r="CV1994" s="6"/>
      <c r="CW1994" s="6"/>
      <c r="CX1994" s="6"/>
      <c r="CY1994" s="6"/>
      <c r="CZ1994" s="6"/>
      <c r="DA1994" s="6"/>
      <c r="DB1994" s="6"/>
      <c r="DC1994" s="6"/>
      <c r="DD1994" s="6"/>
    </row>
    <row r="1995" spans="1:108" ht="12.75" hidden="1" customHeight="1" outlineLevel="7">
      <c r="A1995" s="104" t="s">
        <v>113</v>
      </c>
      <c r="B1995" s="28">
        <f t="shared" si="104"/>
        <v>10</v>
      </c>
      <c r="C1995" s="11"/>
      <c r="D1995" s="18" t="str">
        <f>"&lt;" &amp; A1995 &amp; "&gt;" &amp; TEXT(B1995,"0.000000") &amp; "&lt;/" &amp; A1995 &amp; "&gt;"</f>
        <v>&lt;Slat_Angle&gt;10.000000&lt;/Slat_Angle&gt;</v>
      </c>
      <c r="F1995" s="6"/>
      <c r="G1995" s="6"/>
      <c r="H1995" s="6"/>
      <c r="I1995" s="6"/>
      <c r="J1995" s="6"/>
      <c r="K1995" s="6"/>
      <c r="L1995" s="6"/>
      <c r="M1995" s="6"/>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c r="BU1995" s="6"/>
      <c r="BV1995" s="6"/>
      <c r="BW1995" s="6"/>
      <c r="BX1995" s="6"/>
      <c r="BY1995" s="6"/>
      <c r="BZ1995" s="6"/>
      <c r="CA1995" s="6"/>
      <c r="CB1995" s="6"/>
      <c r="CC1995" s="6"/>
      <c r="CD1995" s="6"/>
      <c r="CE1995" s="6"/>
      <c r="CF1995" s="6"/>
      <c r="CG1995" s="6"/>
      <c r="CH1995" s="6"/>
      <c r="CI1995" s="6"/>
      <c r="CJ1995" s="6"/>
      <c r="CK1995" s="6"/>
      <c r="CL1995" s="6"/>
      <c r="CM1995" s="6"/>
      <c r="CN1995" s="6"/>
      <c r="CO1995" s="6"/>
      <c r="CP1995" s="6"/>
      <c r="CQ1995" s="6"/>
      <c r="CR1995" s="6"/>
      <c r="CS1995" s="6"/>
      <c r="CT1995" s="6"/>
      <c r="CU1995" s="6"/>
      <c r="CV1995" s="6"/>
      <c r="CW1995" s="6"/>
      <c r="CX1995" s="6"/>
      <c r="CY1995" s="6"/>
      <c r="CZ1995" s="6"/>
      <c r="DA1995" s="6"/>
      <c r="DB1995" s="6"/>
      <c r="DC1995" s="6"/>
      <c r="DD1995" s="6"/>
    </row>
    <row r="1996" spans="1:108" ht="12.75" hidden="1" customHeight="1" outlineLevel="7">
      <c r="A1996" s="104" t="s">
        <v>114</v>
      </c>
      <c r="B1996" s="28">
        <f t="shared" si="104"/>
        <v>0</v>
      </c>
      <c r="C1996" s="11"/>
      <c r="D1996" s="18" t="str">
        <f>"&lt;" &amp; A1996 &amp; "&gt;" &amp; TEXT(B1996,0) &amp; "&lt;/" &amp; A1996 &amp; "&gt;"</f>
        <v>&lt;Flap_Flag&gt;0&lt;/Flap_Flag&gt;</v>
      </c>
      <c r="F1996" s="6"/>
      <c r="G1996" s="6"/>
      <c r="H1996" s="6"/>
      <c r="I1996" s="6"/>
      <c r="J1996" s="6"/>
      <c r="K1996" s="6"/>
      <c r="L1996" s="6"/>
      <c r="M1996" s="6"/>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c r="BU1996" s="6"/>
      <c r="BV1996" s="6"/>
      <c r="BW1996" s="6"/>
      <c r="BX1996" s="6"/>
      <c r="BY1996" s="6"/>
      <c r="BZ1996" s="6"/>
      <c r="CA1996" s="6"/>
      <c r="CB1996" s="6"/>
      <c r="CC1996" s="6"/>
      <c r="CD1996" s="6"/>
      <c r="CE1996" s="6"/>
      <c r="CF1996" s="6"/>
      <c r="CG1996" s="6"/>
      <c r="CH1996" s="6"/>
      <c r="CI1996" s="6"/>
      <c r="CJ1996" s="6"/>
      <c r="CK1996" s="6"/>
      <c r="CL1996" s="6"/>
      <c r="CM1996" s="6"/>
      <c r="CN1996" s="6"/>
      <c r="CO1996" s="6"/>
      <c r="CP1996" s="6"/>
      <c r="CQ1996" s="6"/>
      <c r="CR1996" s="6"/>
      <c r="CS1996" s="6"/>
      <c r="CT1996" s="6"/>
      <c r="CU1996" s="6"/>
      <c r="CV1996" s="6"/>
      <c r="CW1996" s="6"/>
      <c r="CX1996" s="6"/>
      <c r="CY1996" s="6"/>
      <c r="CZ1996" s="6"/>
      <c r="DA1996" s="6"/>
      <c r="DB1996" s="6"/>
      <c r="DC1996" s="6"/>
      <c r="DD1996" s="6"/>
    </row>
    <row r="1997" spans="1:108" ht="12.75" hidden="1" customHeight="1" outlineLevel="7">
      <c r="A1997" s="104" t="s">
        <v>115</v>
      </c>
      <c r="B1997" s="28">
        <f t="shared" si="104"/>
        <v>0</v>
      </c>
      <c r="C1997" s="11"/>
      <c r="D1997" s="18" t="str">
        <f>"&lt;" &amp; A1997 &amp; "&gt;" &amp; TEXT(B1997,0) &amp; "&lt;/" &amp; A1997 &amp; "&gt;"</f>
        <v>&lt;Flap_Shear_Flag&gt;0&lt;/Flap_Shear_Flag&gt;</v>
      </c>
      <c r="F1997" s="6"/>
      <c r="G1997" s="6"/>
      <c r="H1997" s="6"/>
      <c r="I1997" s="6"/>
      <c r="J1997" s="6"/>
      <c r="K1997" s="6"/>
      <c r="L1997" s="6"/>
      <c r="M1997" s="6"/>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c r="BU1997" s="6"/>
      <c r="BV1997" s="6"/>
      <c r="BW1997" s="6"/>
      <c r="BX1997" s="6"/>
      <c r="BY1997" s="6"/>
      <c r="BZ1997" s="6"/>
      <c r="CA1997" s="6"/>
      <c r="CB1997" s="6"/>
      <c r="CC1997" s="6"/>
      <c r="CD1997" s="6"/>
      <c r="CE1997" s="6"/>
      <c r="CF1997" s="6"/>
      <c r="CG1997" s="6"/>
      <c r="CH1997" s="6"/>
      <c r="CI1997" s="6"/>
      <c r="CJ1997" s="6"/>
      <c r="CK1997" s="6"/>
      <c r="CL1997" s="6"/>
      <c r="CM1997" s="6"/>
      <c r="CN1997" s="6"/>
      <c r="CO1997" s="6"/>
      <c r="CP1997" s="6"/>
      <c r="CQ1997" s="6"/>
      <c r="CR1997" s="6"/>
      <c r="CS1997" s="6"/>
      <c r="CT1997" s="6"/>
      <c r="CU1997" s="6"/>
      <c r="CV1997" s="6"/>
      <c r="CW1997" s="6"/>
      <c r="CX1997" s="6"/>
      <c r="CY1997" s="6"/>
      <c r="CZ1997" s="6"/>
      <c r="DA1997" s="6"/>
      <c r="DB1997" s="6"/>
      <c r="DC1997" s="6"/>
      <c r="DD1997" s="6"/>
    </row>
    <row r="1998" spans="1:108" ht="12.75" hidden="1" customHeight="1" outlineLevel="7">
      <c r="A1998" s="104" t="s">
        <v>116</v>
      </c>
      <c r="B1998" s="28">
        <f t="shared" si="104"/>
        <v>0.25</v>
      </c>
      <c r="C1998" s="11"/>
      <c r="D1998" s="18" t="str">
        <f>"&lt;" &amp; A1998 &amp; "&gt;" &amp; TEXT(B1998,"0.000000") &amp; "&lt;/" &amp; A1998 &amp; "&gt;"</f>
        <v>&lt;Flap_Chord&gt;0.250000&lt;/Flap_Chord&gt;</v>
      </c>
      <c r="F1998" s="6"/>
      <c r="G1998" s="6"/>
      <c r="H1998" s="6"/>
      <c r="I1998" s="6"/>
      <c r="J1998" s="6"/>
      <c r="K1998" s="6"/>
      <c r="L1998" s="6"/>
      <c r="M1998" s="6"/>
      <c r="N1998" s="6"/>
      <c r="O1998" s="6"/>
      <c r="P1998" s="6"/>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c r="BU1998" s="6"/>
      <c r="BV1998" s="6"/>
      <c r="BW1998" s="6"/>
      <c r="BX1998" s="6"/>
      <c r="BY1998" s="6"/>
      <c r="BZ1998" s="6"/>
      <c r="CA1998" s="6"/>
      <c r="CB1998" s="6"/>
      <c r="CC1998" s="6"/>
      <c r="CD1998" s="6"/>
      <c r="CE1998" s="6"/>
      <c r="CF1998" s="6"/>
      <c r="CG1998" s="6"/>
      <c r="CH1998" s="6"/>
      <c r="CI1998" s="6"/>
      <c r="CJ1998" s="6"/>
      <c r="CK1998" s="6"/>
      <c r="CL1998" s="6"/>
      <c r="CM1998" s="6"/>
      <c r="CN1998" s="6"/>
      <c r="CO1998" s="6"/>
      <c r="CP1998" s="6"/>
      <c r="CQ1998" s="6"/>
      <c r="CR1998" s="6"/>
      <c r="CS1998" s="6"/>
      <c r="CT1998" s="6"/>
      <c r="CU1998" s="6"/>
      <c r="CV1998" s="6"/>
      <c r="CW1998" s="6"/>
      <c r="CX1998" s="6"/>
      <c r="CY1998" s="6"/>
      <c r="CZ1998" s="6"/>
      <c r="DA1998" s="6"/>
      <c r="DB1998" s="6"/>
      <c r="DC1998" s="6"/>
      <c r="DD1998" s="6"/>
    </row>
    <row r="1999" spans="1:108" ht="12.75" hidden="1" customHeight="1" outlineLevel="7">
      <c r="A1999" s="104" t="s">
        <v>117</v>
      </c>
      <c r="B1999" s="28">
        <f t="shared" si="104"/>
        <v>10</v>
      </c>
      <c r="C1999" s="11"/>
      <c r="D1999" s="18" t="str">
        <f>"&lt;" &amp; A1999 &amp; "&gt;" &amp; TEXT(B1999,"0.000000") &amp; "&lt;/" &amp; A1999 &amp; "&gt;"</f>
        <v>&lt;Flap_Angle&gt;10.000000&lt;/Flap_Angle&gt;</v>
      </c>
      <c r="F1999" s="6"/>
      <c r="G1999" s="6"/>
      <c r="H1999" s="6"/>
      <c r="I1999" s="6"/>
      <c r="J1999" s="6"/>
      <c r="K1999" s="6"/>
      <c r="L1999" s="6"/>
      <c r="M1999" s="6"/>
      <c r="N1999" s="6"/>
      <c r="O1999" s="6"/>
      <c r="P1999" s="6"/>
      <c r="Q1999" s="6"/>
      <c r="R1999" s="6"/>
      <c r="S1999" s="6"/>
      <c r="T1999" s="6"/>
      <c r="U1999" s="6"/>
      <c r="V1999" s="6"/>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c r="BU1999" s="6"/>
      <c r="BV1999" s="6"/>
      <c r="BW1999" s="6"/>
      <c r="BX1999" s="6"/>
      <c r="BY1999" s="6"/>
      <c r="BZ1999" s="6"/>
      <c r="CA1999" s="6"/>
      <c r="CB1999" s="6"/>
      <c r="CC1999" s="6"/>
      <c r="CD1999" s="6"/>
      <c r="CE1999" s="6"/>
      <c r="CF1999" s="6"/>
      <c r="CG1999" s="6"/>
      <c r="CH1999" s="6"/>
      <c r="CI1999" s="6"/>
      <c r="CJ1999" s="6"/>
      <c r="CK1999" s="6"/>
      <c r="CL1999" s="6"/>
      <c r="CM1999" s="6"/>
      <c r="CN1999" s="6"/>
      <c r="CO1999" s="6"/>
      <c r="CP1999" s="6"/>
      <c r="CQ1999" s="6"/>
      <c r="CR1999" s="6"/>
      <c r="CS1999" s="6"/>
      <c r="CT1999" s="6"/>
      <c r="CU1999" s="6"/>
      <c r="CV1999" s="6"/>
      <c r="CW1999" s="6"/>
      <c r="CX1999" s="6"/>
      <c r="CY1999" s="6"/>
      <c r="CZ1999" s="6"/>
      <c r="DA1999" s="6"/>
      <c r="DB1999" s="6"/>
      <c r="DC1999" s="6"/>
      <c r="DD1999" s="6"/>
    </row>
    <row r="2000" spans="1:108" ht="12.75" hidden="1" customHeight="1" outlineLevel="7">
      <c r="A2000" s="104" t="s">
        <v>118</v>
      </c>
      <c r="B2000" s="100"/>
      <c r="C2000" s="11"/>
      <c r="D2000" s="6" t="str">
        <f>"&lt;" &amp; A2000 &amp; "&gt;"</f>
        <v>&lt;/Airfoil&gt;</v>
      </c>
      <c r="F2000" s="6"/>
      <c r="G2000" s="6"/>
      <c r="H2000" s="6"/>
      <c r="I2000" s="6"/>
      <c r="J2000" s="6"/>
      <c r="K2000" s="6"/>
      <c r="L2000" s="6"/>
      <c r="M2000" s="6"/>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c r="BU2000" s="6"/>
      <c r="BV2000" s="6"/>
      <c r="BW2000" s="6"/>
      <c r="BX2000" s="6"/>
      <c r="BY2000" s="6"/>
      <c r="BZ2000" s="6"/>
      <c r="CA2000" s="6"/>
      <c r="CB2000" s="6"/>
      <c r="CC2000" s="6"/>
      <c r="CD2000" s="6"/>
      <c r="CE2000" s="6"/>
      <c r="CF2000" s="6"/>
      <c r="CG2000" s="6"/>
      <c r="CH2000" s="6"/>
      <c r="CI2000" s="6"/>
      <c r="CJ2000" s="6"/>
      <c r="CK2000" s="6"/>
      <c r="CL2000" s="6"/>
      <c r="CM2000" s="6"/>
      <c r="CN2000" s="6"/>
      <c r="CO2000" s="6"/>
      <c r="CP2000" s="6"/>
      <c r="CQ2000" s="6"/>
      <c r="CR2000" s="6"/>
      <c r="CS2000" s="6"/>
      <c r="CT2000" s="6"/>
      <c r="CU2000" s="6"/>
      <c r="CV2000" s="6"/>
      <c r="CW2000" s="6"/>
      <c r="CX2000" s="6"/>
      <c r="CY2000" s="6"/>
      <c r="CZ2000" s="6"/>
      <c r="DA2000" s="6"/>
      <c r="DB2000" s="6"/>
      <c r="DC2000" s="6"/>
      <c r="DD2000" s="6"/>
    </row>
    <row r="2001" spans="1:108" ht="12.75" hidden="1" customHeight="1" outlineLevel="6">
      <c r="A2001" s="104" t="s">
        <v>308</v>
      </c>
      <c r="B2001" s="100"/>
      <c r="C2001" s="11"/>
      <c r="D2001" s="6" t="str">
        <f>"&lt;" &amp; A2001 &amp; "&gt;"</f>
        <v>&lt;/Sect_Parms&gt;</v>
      </c>
      <c r="F2001" s="6"/>
      <c r="G2001" s="6"/>
      <c r="H2001" s="6"/>
      <c r="I2001" s="6"/>
      <c r="J2001" s="6"/>
      <c r="K2001" s="6"/>
      <c r="L2001" s="6"/>
      <c r="M2001" s="6"/>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c r="BU2001" s="6"/>
      <c r="BV2001" s="6"/>
      <c r="BW2001" s="6"/>
      <c r="BX2001" s="6"/>
      <c r="BY2001" s="6"/>
      <c r="BZ2001" s="6"/>
      <c r="CA2001" s="6"/>
      <c r="CB2001" s="6"/>
      <c r="CC2001" s="6"/>
      <c r="CD2001" s="6"/>
      <c r="CE2001" s="6"/>
      <c r="CF2001" s="6"/>
      <c r="CG2001" s="6"/>
      <c r="CH2001" s="6"/>
      <c r="CI2001" s="6"/>
      <c r="CJ2001" s="6"/>
      <c r="CK2001" s="6"/>
      <c r="CL2001" s="6"/>
      <c r="CM2001" s="6"/>
      <c r="CN2001" s="6"/>
      <c r="CO2001" s="6"/>
      <c r="CP2001" s="6"/>
      <c r="CQ2001" s="6"/>
      <c r="CR2001" s="6"/>
      <c r="CS2001" s="6"/>
      <c r="CT2001" s="6"/>
      <c r="CU2001" s="6"/>
      <c r="CV2001" s="6"/>
      <c r="CW2001" s="6"/>
      <c r="CX2001" s="6"/>
      <c r="CY2001" s="6"/>
      <c r="CZ2001" s="6"/>
      <c r="DA2001" s="6"/>
      <c r="DB2001" s="6"/>
      <c r="DC2001" s="6"/>
      <c r="DD2001" s="6"/>
    </row>
    <row r="2002" spans="1:108" ht="12.75" hidden="1" customHeight="1" outlineLevel="5">
      <c r="A2002" s="104" t="s">
        <v>305</v>
      </c>
      <c r="B2002" s="110" t="s">
        <v>389</v>
      </c>
      <c r="C2002" s="11"/>
      <c r="D2002" s="6" t="str">
        <f>"&lt;" &amp; A2002 &amp; "&gt;"</f>
        <v>&lt;Sect_Parms&gt;</v>
      </c>
      <c r="F2002" s="6"/>
      <c r="G2002" s="6"/>
      <c r="H2002" s="6"/>
      <c r="I2002" s="6"/>
      <c r="J2002" s="6"/>
      <c r="K2002" s="6"/>
      <c r="L2002" s="6"/>
      <c r="M2002" s="6"/>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c r="BU2002" s="6"/>
      <c r="BV2002" s="6"/>
      <c r="BW2002" s="6"/>
      <c r="BX2002" s="6"/>
      <c r="BY2002" s="6"/>
      <c r="BZ2002" s="6"/>
      <c r="CA2002" s="6"/>
      <c r="CB2002" s="6"/>
      <c r="CC2002" s="6"/>
      <c r="CD2002" s="6"/>
      <c r="CE2002" s="6"/>
      <c r="CF2002" s="6"/>
      <c r="CG2002" s="6"/>
      <c r="CH2002" s="6"/>
      <c r="CI2002" s="6"/>
      <c r="CJ2002" s="6"/>
      <c r="CK2002" s="6"/>
      <c r="CL2002" s="6"/>
      <c r="CM2002" s="6"/>
      <c r="CN2002" s="6"/>
      <c r="CO2002" s="6"/>
      <c r="CP2002" s="6"/>
      <c r="CQ2002" s="6"/>
      <c r="CR2002" s="6"/>
      <c r="CS2002" s="6"/>
      <c r="CT2002" s="6"/>
      <c r="CU2002" s="6"/>
      <c r="CV2002" s="6"/>
      <c r="CW2002" s="6"/>
      <c r="CX2002" s="6"/>
      <c r="CY2002" s="6"/>
      <c r="CZ2002" s="6"/>
      <c r="DA2002" s="6"/>
      <c r="DB2002" s="6"/>
      <c r="DC2002" s="6"/>
      <c r="DD2002" s="6"/>
    </row>
    <row r="2003" spans="1:108" ht="12.75" hidden="1" customHeight="1" outlineLevel="6">
      <c r="A2003" s="104" t="s">
        <v>306</v>
      </c>
      <c r="B2003" s="28">
        <f>B1470</f>
        <v>0.9</v>
      </c>
      <c r="C2003" s="11"/>
      <c r="D2003" s="18" t="str">
        <f>"&lt;" &amp; A2003 &amp; "&gt;" &amp; TEXT(B2003,"0.000000") &amp; "&lt;/" &amp; A2003 &amp; "&gt;"</f>
        <v>&lt;X_Off&gt;0.900000&lt;/X_Off&gt;</v>
      </c>
      <c r="F2003" s="6"/>
      <c r="G2003" s="6"/>
      <c r="H2003" s="6"/>
      <c r="I2003" s="6"/>
      <c r="J2003" s="6"/>
      <c r="K2003" s="6"/>
      <c r="L2003" s="6"/>
      <c r="M2003" s="6"/>
      <c r="N2003" s="6"/>
      <c r="O2003" s="6"/>
      <c r="P2003" s="6"/>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c r="BU2003" s="6"/>
      <c r="BV2003" s="6"/>
      <c r="BW2003" s="6"/>
      <c r="BX2003" s="6"/>
      <c r="BY2003" s="6"/>
      <c r="BZ2003" s="6"/>
      <c r="CA2003" s="6"/>
      <c r="CB2003" s="6"/>
      <c r="CC2003" s="6"/>
      <c r="CD2003" s="6"/>
      <c r="CE2003" s="6"/>
      <c r="CF2003" s="6"/>
      <c r="CG2003" s="6"/>
      <c r="CH2003" s="6"/>
      <c r="CI2003" s="6"/>
      <c r="CJ2003" s="6"/>
      <c r="CK2003" s="6"/>
      <c r="CL2003" s="6"/>
      <c r="CM2003" s="6"/>
      <c r="CN2003" s="6"/>
      <c r="CO2003" s="6"/>
      <c r="CP2003" s="6"/>
      <c r="CQ2003" s="6"/>
      <c r="CR2003" s="6"/>
      <c r="CS2003" s="6"/>
      <c r="CT2003" s="6"/>
      <c r="CU2003" s="6"/>
      <c r="CV2003" s="6"/>
      <c r="CW2003" s="6"/>
      <c r="CX2003" s="6"/>
      <c r="CY2003" s="6"/>
      <c r="CZ2003" s="6"/>
      <c r="DA2003" s="6"/>
      <c r="DB2003" s="6"/>
      <c r="DC2003" s="6"/>
      <c r="DD2003" s="6"/>
    </row>
    <row r="2004" spans="1:108" ht="12.75" hidden="1" customHeight="1" outlineLevel="6">
      <c r="A2004" s="104" t="s">
        <v>307</v>
      </c>
      <c r="B2004" s="28">
        <f>B1471</f>
        <v>0</v>
      </c>
      <c r="C2004" s="11"/>
      <c r="D2004" s="18" t="str">
        <f>"&lt;" &amp; A2004 &amp; "&gt;" &amp; TEXT(B2004,"0.000000") &amp; "&lt;/" &amp; A2004 &amp; "&gt;"</f>
        <v>&lt;Y_Off&gt;0.000000&lt;/Y_Off&gt;</v>
      </c>
      <c r="F2004" s="6"/>
      <c r="G2004" s="6"/>
      <c r="H2004" s="6"/>
      <c r="I2004" s="6"/>
      <c r="J2004" s="6"/>
      <c r="K2004" s="6"/>
      <c r="L2004" s="6"/>
      <c r="M2004" s="6"/>
      <c r="N2004" s="6"/>
      <c r="O2004" s="6"/>
      <c r="P2004" s="6"/>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c r="BU2004" s="6"/>
      <c r="BV2004" s="6"/>
      <c r="BW2004" s="6"/>
      <c r="BX2004" s="6"/>
      <c r="BY2004" s="6"/>
      <c r="BZ2004" s="6"/>
      <c r="CA2004" s="6"/>
      <c r="CB2004" s="6"/>
      <c r="CC2004" s="6"/>
      <c r="CD2004" s="6"/>
      <c r="CE2004" s="6"/>
      <c r="CF2004" s="6"/>
      <c r="CG2004" s="6"/>
      <c r="CH2004" s="6"/>
      <c r="CI2004" s="6"/>
      <c r="CJ2004" s="6"/>
      <c r="CK2004" s="6"/>
      <c r="CL2004" s="6"/>
      <c r="CM2004" s="6"/>
      <c r="CN2004" s="6"/>
      <c r="CO2004" s="6"/>
      <c r="CP2004" s="6"/>
      <c r="CQ2004" s="6"/>
      <c r="CR2004" s="6"/>
      <c r="CS2004" s="6"/>
      <c r="CT2004" s="6"/>
      <c r="CU2004" s="6"/>
      <c r="CV2004" s="6"/>
      <c r="CW2004" s="6"/>
      <c r="CX2004" s="6"/>
      <c r="CY2004" s="6"/>
      <c r="CZ2004" s="6"/>
      <c r="DA2004" s="6"/>
      <c r="DB2004" s="6"/>
      <c r="DC2004" s="6"/>
      <c r="DD2004" s="6"/>
    </row>
    <row r="2005" spans="1:108" ht="12.75" hidden="1" customHeight="1" outlineLevel="6">
      <c r="A2005" s="104" t="s">
        <v>287</v>
      </c>
      <c r="B2005" s="28">
        <f>B1472</f>
        <v>7.0000000000000007E-2</v>
      </c>
      <c r="C2005" s="11"/>
      <c r="D2005" s="18" t="str">
        <f>"&lt;" &amp; A2005 &amp; "&gt;" &amp; TEXT(B2005,"0.000000") &amp; "&lt;/" &amp; A2005 &amp; "&gt;"</f>
        <v>&lt;Chord&gt;0.070000&lt;/Chord&gt;</v>
      </c>
      <c r="F2005" s="6"/>
      <c r="G2005" s="6"/>
      <c r="H2005" s="6"/>
      <c r="I2005" s="6"/>
      <c r="J2005" s="6"/>
      <c r="K2005" s="6"/>
      <c r="L2005" s="6"/>
      <c r="M2005" s="6"/>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c r="BU2005" s="6"/>
      <c r="BV2005" s="6"/>
      <c r="BW2005" s="6"/>
      <c r="BX2005" s="6"/>
      <c r="BY2005" s="6"/>
      <c r="BZ2005" s="6"/>
      <c r="CA2005" s="6"/>
      <c r="CB2005" s="6"/>
      <c r="CC2005" s="6"/>
      <c r="CD2005" s="6"/>
      <c r="CE2005" s="6"/>
      <c r="CF2005" s="6"/>
      <c r="CG2005" s="6"/>
      <c r="CH2005" s="6"/>
      <c r="CI2005" s="6"/>
      <c r="CJ2005" s="6"/>
      <c r="CK2005" s="6"/>
      <c r="CL2005" s="6"/>
      <c r="CM2005" s="6"/>
      <c r="CN2005" s="6"/>
      <c r="CO2005" s="6"/>
      <c r="CP2005" s="6"/>
      <c r="CQ2005" s="6"/>
      <c r="CR2005" s="6"/>
      <c r="CS2005" s="6"/>
      <c r="CT2005" s="6"/>
      <c r="CU2005" s="6"/>
      <c r="CV2005" s="6"/>
      <c r="CW2005" s="6"/>
      <c r="CX2005" s="6"/>
      <c r="CY2005" s="6"/>
      <c r="CZ2005" s="6"/>
      <c r="DA2005" s="6"/>
      <c r="DB2005" s="6"/>
      <c r="DC2005" s="6"/>
      <c r="DD2005" s="6"/>
    </row>
    <row r="2006" spans="1:108" ht="12.75" hidden="1" customHeight="1" outlineLevel="6">
      <c r="A2006" s="104" t="s">
        <v>9</v>
      </c>
      <c r="B2006" s="28">
        <f>B1473</f>
        <v>5</v>
      </c>
      <c r="C2006" s="11"/>
      <c r="D2006" s="18" t="str">
        <f>"&lt;" &amp; A2006 &amp; "&gt;" &amp; TEXT(B2006,"0.000000") &amp; "&lt;/" &amp; A2006 &amp; "&gt;"</f>
        <v>&lt;Twist&gt;5.000000&lt;/Twist&gt;</v>
      </c>
      <c r="F2006" s="6"/>
      <c r="G2006" s="6"/>
      <c r="H2006" s="6"/>
      <c r="I2006" s="6"/>
      <c r="J2006" s="6"/>
      <c r="K2006" s="6"/>
      <c r="L2006" s="6"/>
      <c r="M2006" s="6"/>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c r="BU2006" s="6"/>
      <c r="BV2006" s="6"/>
      <c r="BW2006" s="6"/>
      <c r="BX2006" s="6"/>
      <c r="BY2006" s="6"/>
      <c r="BZ2006" s="6"/>
      <c r="CA2006" s="6"/>
      <c r="CB2006" s="6"/>
      <c r="CC2006" s="6"/>
      <c r="CD2006" s="6"/>
      <c r="CE2006" s="6"/>
      <c r="CF2006" s="6"/>
      <c r="CG2006" s="6"/>
      <c r="CH2006" s="6"/>
      <c r="CI2006" s="6"/>
      <c r="CJ2006" s="6"/>
      <c r="CK2006" s="6"/>
      <c r="CL2006" s="6"/>
      <c r="CM2006" s="6"/>
      <c r="CN2006" s="6"/>
      <c r="CO2006" s="6"/>
      <c r="CP2006" s="6"/>
      <c r="CQ2006" s="6"/>
      <c r="CR2006" s="6"/>
      <c r="CS2006" s="6"/>
      <c r="CT2006" s="6"/>
      <c r="CU2006" s="6"/>
      <c r="CV2006" s="6"/>
      <c r="CW2006" s="6"/>
      <c r="CX2006" s="6"/>
      <c r="CY2006" s="6"/>
      <c r="CZ2006" s="6"/>
      <c r="DA2006" s="6"/>
      <c r="DB2006" s="6"/>
      <c r="DC2006" s="6"/>
      <c r="DD2006" s="6"/>
    </row>
    <row r="2007" spans="1:108" ht="12.75" hidden="1" customHeight="1" outlineLevel="6">
      <c r="A2007" s="104" t="s">
        <v>2</v>
      </c>
      <c r="B2007" s="100"/>
      <c r="C2007" s="11"/>
      <c r="D2007" s="6" t="str">
        <f>"&lt;" &amp; A2007 &amp; "&gt;"</f>
        <v>&lt;Airfoil&gt;</v>
      </c>
      <c r="F2007" s="6"/>
      <c r="G2007" s="6"/>
      <c r="H2007" s="6"/>
      <c r="I2007" s="6"/>
      <c r="J2007" s="6"/>
      <c r="K2007" s="6"/>
      <c r="L2007" s="6"/>
      <c r="M2007" s="6"/>
      <c r="N2007" s="6"/>
      <c r="O2007" s="6"/>
      <c r="P2007" s="6"/>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c r="BU2007" s="6"/>
      <c r="BV2007" s="6"/>
      <c r="BW2007" s="6"/>
      <c r="BX2007" s="6"/>
      <c r="BY2007" s="6"/>
      <c r="BZ2007" s="6"/>
      <c r="CA2007" s="6"/>
      <c r="CB2007" s="6"/>
      <c r="CC2007" s="6"/>
      <c r="CD2007" s="6"/>
      <c r="CE2007" s="6"/>
      <c r="CF2007" s="6"/>
      <c r="CG2007" s="6"/>
      <c r="CH2007" s="6"/>
      <c r="CI2007" s="6"/>
      <c r="CJ2007" s="6"/>
      <c r="CK2007" s="6"/>
      <c r="CL2007" s="6"/>
      <c r="CM2007" s="6"/>
      <c r="CN2007" s="6"/>
      <c r="CO2007" s="6"/>
      <c r="CP2007" s="6"/>
      <c r="CQ2007" s="6"/>
      <c r="CR2007" s="6"/>
      <c r="CS2007" s="6"/>
      <c r="CT2007" s="6"/>
      <c r="CU2007" s="6"/>
      <c r="CV2007" s="6"/>
      <c r="CW2007" s="6"/>
      <c r="CX2007" s="6"/>
      <c r="CY2007" s="6"/>
      <c r="CZ2007" s="6"/>
      <c r="DA2007" s="6"/>
      <c r="DB2007" s="6"/>
      <c r="DC2007" s="6"/>
      <c r="DD2007" s="6"/>
    </row>
    <row r="2008" spans="1:108" ht="12.75" hidden="1" customHeight="1" outlineLevel="7">
      <c r="A2008" s="104" t="s">
        <v>14</v>
      </c>
      <c r="B2008" s="28">
        <f t="shared" ref="B2008:B2026" si="106">B1475</f>
        <v>1</v>
      </c>
      <c r="C2008" s="11"/>
      <c r="D2008" s="18" t="str">
        <f>"&lt;" &amp; A2008 &amp; "&gt;" &amp; TEXT(B2008,0) &amp; "&lt;/" &amp; A2008 &amp; "&gt;"</f>
        <v>&lt;Type&gt;1&lt;/Type&gt;</v>
      </c>
      <c r="F2008" s="6"/>
      <c r="G2008" s="6"/>
      <c r="H2008" s="6"/>
      <c r="I2008" s="6"/>
      <c r="J2008" s="6"/>
      <c r="K2008" s="6"/>
      <c r="L2008" s="6"/>
      <c r="M2008" s="6"/>
      <c r="N2008" s="6"/>
      <c r="O2008" s="6"/>
      <c r="P2008" s="6"/>
      <c r="Q2008" s="6"/>
      <c r="R2008" s="6"/>
      <c r="S2008" s="6"/>
      <c r="T2008" s="6"/>
      <c r="U2008" s="6"/>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c r="BU2008" s="6"/>
      <c r="BV2008" s="6"/>
      <c r="BW2008" s="6"/>
      <c r="BX2008" s="6"/>
      <c r="BY2008" s="6"/>
      <c r="BZ2008" s="6"/>
      <c r="CA2008" s="6"/>
      <c r="CB2008" s="6"/>
      <c r="CC2008" s="6"/>
      <c r="CD2008" s="6"/>
      <c r="CE2008" s="6"/>
      <c r="CF2008" s="6"/>
      <c r="CG2008" s="6"/>
      <c r="CH2008" s="6"/>
      <c r="CI2008" s="6"/>
      <c r="CJ2008" s="6"/>
      <c r="CK2008" s="6"/>
      <c r="CL2008" s="6"/>
      <c r="CM2008" s="6"/>
      <c r="CN2008" s="6"/>
      <c r="CO2008" s="6"/>
      <c r="CP2008" s="6"/>
      <c r="CQ2008" s="6"/>
      <c r="CR2008" s="6"/>
      <c r="CS2008" s="6"/>
      <c r="CT2008" s="6"/>
      <c r="CU2008" s="6"/>
      <c r="CV2008" s="6"/>
      <c r="CW2008" s="6"/>
      <c r="CX2008" s="6"/>
      <c r="CY2008" s="6"/>
      <c r="CZ2008" s="6"/>
      <c r="DA2008" s="6"/>
      <c r="DB2008" s="6"/>
      <c r="DC2008" s="6"/>
      <c r="DD2008" s="6"/>
    </row>
    <row r="2009" spans="1:108" ht="12.75" hidden="1" customHeight="1" outlineLevel="7">
      <c r="A2009" s="104" t="s">
        <v>102</v>
      </c>
      <c r="B2009" s="28">
        <f t="shared" si="106"/>
        <v>0</v>
      </c>
      <c r="C2009" s="11"/>
      <c r="D2009" s="18" t="str">
        <f>"&lt;" &amp; A2009 &amp; "&gt;" &amp; TEXT(B2009,0) &amp; "&lt;/" &amp; A2009 &amp; "&gt;"</f>
        <v>&lt;Inverted_Flag&gt;0&lt;/Inverted_Flag&gt;</v>
      </c>
      <c r="F2009" s="6"/>
      <c r="G2009" s="6"/>
      <c r="H2009" s="6"/>
      <c r="I2009" s="6"/>
      <c r="J2009" s="6"/>
      <c r="K2009" s="6"/>
      <c r="L2009" s="6"/>
      <c r="M2009" s="6"/>
      <c r="N2009" s="6"/>
      <c r="O2009" s="6"/>
      <c r="P2009" s="6"/>
      <c r="Q2009" s="6"/>
      <c r="R2009" s="6"/>
      <c r="S2009" s="6"/>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c r="BU2009" s="6"/>
      <c r="BV2009" s="6"/>
      <c r="BW2009" s="6"/>
      <c r="BX2009" s="6"/>
      <c r="BY2009" s="6"/>
      <c r="BZ2009" s="6"/>
      <c r="CA2009" s="6"/>
      <c r="CB2009" s="6"/>
      <c r="CC2009" s="6"/>
      <c r="CD2009" s="6"/>
      <c r="CE2009" s="6"/>
      <c r="CF2009" s="6"/>
      <c r="CG2009" s="6"/>
      <c r="CH2009" s="6"/>
      <c r="CI2009" s="6"/>
      <c r="CJ2009" s="6"/>
      <c r="CK2009" s="6"/>
      <c r="CL2009" s="6"/>
      <c r="CM2009" s="6"/>
      <c r="CN2009" s="6"/>
      <c r="CO2009" s="6"/>
      <c r="CP2009" s="6"/>
      <c r="CQ2009" s="6"/>
      <c r="CR2009" s="6"/>
      <c r="CS2009" s="6"/>
      <c r="CT2009" s="6"/>
      <c r="CU2009" s="6"/>
      <c r="CV2009" s="6"/>
      <c r="CW2009" s="6"/>
      <c r="CX2009" s="6"/>
      <c r="CY2009" s="6"/>
      <c r="CZ2009" s="6"/>
      <c r="DA2009" s="6"/>
      <c r="DB2009" s="6"/>
      <c r="DC2009" s="6"/>
      <c r="DD2009" s="6"/>
    </row>
    <row r="2010" spans="1:108" ht="12.75" hidden="1" customHeight="1" outlineLevel="7">
      <c r="A2010" s="104" t="s">
        <v>4</v>
      </c>
      <c r="B2010" s="28">
        <f t="shared" si="106"/>
        <v>0</v>
      </c>
      <c r="C2010" s="11"/>
      <c r="D2010" s="18" t="str">
        <f t="shared" ref="D2010:D2015" si="107">"&lt;" &amp; A2010 &amp; "&gt;" &amp; TEXT(B2010,"0.000000") &amp; "&lt;/" &amp; A2010 &amp; "&gt;"</f>
        <v>&lt;Camber&gt;0.000000&lt;/Camber&gt;</v>
      </c>
      <c r="F2010" s="6"/>
      <c r="G2010" s="6"/>
      <c r="H2010" s="6"/>
      <c r="I2010" s="6"/>
      <c r="J2010" s="6"/>
      <c r="K2010" s="6"/>
      <c r="L2010" s="6"/>
      <c r="M2010" s="6"/>
      <c r="N2010" s="6"/>
      <c r="O2010" s="6"/>
      <c r="P2010" s="6"/>
      <c r="Q2010" s="6"/>
      <c r="R2010" s="6"/>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c r="BU2010" s="6"/>
      <c r="BV2010" s="6"/>
      <c r="BW2010" s="6"/>
      <c r="BX2010" s="6"/>
      <c r="BY2010" s="6"/>
      <c r="BZ2010" s="6"/>
      <c r="CA2010" s="6"/>
      <c r="CB2010" s="6"/>
      <c r="CC2010" s="6"/>
      <c r="CD2010" s="6"/>
      <c r="CE2010" s="6"/>
      <c r="CF2010" s="6"/>
      <c r="CG2010" s="6"/>
      <c r="CH2010" s="6"/>
      <c r="CI2010" s="6"/>
      <c r="CJ2010" s="6"/>
      <c r="CK2010" s="6"/>
      <c r="CL2010" s="6"/>
      <c r="CM2010" s="6"/>
      <c r="CN2010" s="6"/>
      <c r="CO2010" s="6"/>
      <c r="CP2010" s="6"/>
      <c r="CQ2010" s="6"/>
      <c r="CR2010" s="6"/>
      <c r="CS2010" s="6"/>
      <c r="CT2010" s="6"/>
      <c r="CU2010" s="6"/>
      <c r="CV2010" s="6"/>
      <c r="CW2010" s="6"/>
      <c r="CX2010" s="6"/>
      <c r="CY2010" s="6"/>
      <c r="CZ2010" s="6"/>
      <c r="DA2010" s="6"/>
      <c r="DB2010" s="6"/>
      <c r="DC2010" s="6"/>
      <c r="DD2010" s="6"/>
    </row>
    <row r="2011" spans="1:108" ht="12.75" hidden="1" customHeight="1" outlineLevel="7">
      <c r="A2011" s="104" t="s">
        <v>103</v>
      </c>
      <c r="B2011" s="28">
        <f t="shared" si="106"/>
        <v>0.5</v>
      </c>
      <c r="C2011" s="11"/>
      <c r="D2011" s="18" t="str">
        <f t="shared" si="107"/>
        <v>&lt;Camber_Loc&gt;0.500000&lt;/Camber_Loc&gt;</v>
      </c>
      <c r="F2011" s="6"/>
      <c r="G2011" s="6"/>
      <c r="H2011" s="6"/>
      <c r="I2011" s="6"/>
      <c r="J2011" s="6"/>
      <c r="K2011" s="6"/>
      <c r="L2011" s="6"/>
      <c r="M2011" s="6"/>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c r="BU2011" s="6"/>
      <c r="BV2011" s="6"/>
      <c r="BW2011" s="6"/>
      <c r="BX2011" s="6"/>
      <c r="BY2011" s="6"/>
      <c r="BZ2011" s="6"/>
      <c r="CA2011" s="6"/>
      <c r="CB2011" s="6"/>
      <c r="CC2011" s="6"/>
      <c r="CD2011" s="6"/>
      <c r="CE2011" s="6"/>
      <c r="CF2011" s="6"/>
      <c r="CG2011" s="6"/>
      <c r="CH2011" s="6"/>
      <c r="CI2011" s="6"/>
      <c r="CJ2011" s="6"/>
      <c r="CK2011" s="6"/>
      <c r="CL2011" s="6"/>
      <c r="CM2011" s="6"/>
      <c r="CN2011" s="6"/>
      <c r="CO2011" s="6"/>
      <c r="CP2011" s="6"/>
      <c r="CQ2011" s="6"/>
      <c r="CR2011" s="6"/>
      <c r="CS2011" s="6"/>
      <c r="CT2011" s="6"/>
      <c r="CU2011" s="6"/>
      <c r="CV2011" s="6"/>
      <c r="CW2011" s="6"/>
      <c r="CX2011" s="6"/>
      <c r="CY2011" s="6"/>
      <c r="CZ2011" s="6"/>
      <c r="DA2011" s="6"/>
      <c r="DB2011" s="6"/>
      <c r="DC2011" s="6"/>
      <c r="DD2011" s="6"/>
    </row>
    <row r="2012" spans="1:108" ht="12.75" hidden="1" customHeight="1" outlineLevel="7">
      <c r="A2012" s="104" t="s">
        <v>5</v>
      </c>
      <c r="B2012" s="28">
        <f t="shared" si="106"/>
        <v>0.2</v>
      </c>
      <c r="C2012" s="11"/>
      <c r="D2012" s="18" t="str">
        <f t="shared" si="107"/>
        <v>&lt;Thickness&gt;0.200000&lt;/Thickness&gt;</v>
      </c>
      <c r="F2012" s="6"/>
      <c r="G2012" s="6"/>
      <c r="H2012" s="6"/>
      <c r="I2012" s="6"/>
      <c r="J2012" s="6"/>
      <c r="K2012" s="6"/>
      <c r="L2012" s="6"/>
      <c r="M2012" s="6"/>
      <c r="N2012" s="6"/>
      <c r="O2012" s="6"/>
      <c r="P2012" s="6"/>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c r="BU2012" s="6"/>
      <c r="BV2012" s="6"/>
      <c r="BW2012" s="6"/>
      <c r="BX2012" s="6"/>
      <c r="BY2012" s="6"/>
      <c r="BZ2012" s="6"/>
      <c r="CA2012" s="6"/>
      <c r="CB2012" s="6"/>
      <c r="CC2012" s="6"/>
      <c r="CD2012" s="6"/>
      <c r="CE2012" s="6"/>
      <c r="CF2012" s="6"/>
      <c r="CG2012" s="6"/>
      <c r="CH2012" s="6"/>
      <c r="CI2012" s="6"/>
      <c r="CJ2012" s="6"/>
      <c r="CK2012" s="6"/>
      <c r="CL2012" s="6"/>
      <c r="CM2012" s="6"/>
      <c r="CN2012" s="6"/>
      <c r="CO2012" s="6"/>
      <c r="CP2012" s="6"/>
      <c r="CQ2012" s="6"/>
      <c r="CR2012" s="6"/>
      <c r="CS2012" s="6"/>
      <c r="CT2012" s="6"/>
      <c r="CU2012" s="6"/>
      <c r="CV2012" s="6"/>
      <c r="CW2012" s="6"/>
      <c r="CX2012" s="6"/>
      <c r="CY2012" s="6"/>
      <c r="CZ2012" s="6"/>
      <c r="DA2012" s="6"/>
      <c r="DB2012" s="6"/>
      <c r="DC2012" s="6"/>
      <c r="DD2012" s="6"/>
    </row>
    <row r="2013" spans="1:108" ht="12.75" hidden="1" customHeight="1" outlineLevel="7">
      <c r="A2013" s="104" t="s">
        <v>104</v>
      </c>
      <c r="B2013" s="28">
        <f t="shared" si="106"/>
        <v>0.3</v>
      </c>
      <c r="C2013" s="11"/>
      <c r="D2013" s="18" t="str">
        <f t="shared" si="107"/>
        <v>&lt;Thickness_Loc&gt;0.300000&lt;/Thickness_Loc&gt;</v>
      </c>
      <c r="F2013" s="6"/>
      <c r="G2013" s="6"/>
      <c r="H2013" s="6"/>
      <c r="I2013" s="6"/>
      <c r="J2013" s="6"/>
      <c r="K2013" s="6"/>
      <c r="L2013" s="6"/>
      <c r="M2013" s="6"/>
      <c r="N2013" s="6"/>
      <c r="O2013" s="6"/>
      <c r="P2013" s="6"/>
      <c r="Q2013" s="6"/>
      <c r="R2013" s="6"/>
      <c r="S2013" s="6"/>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c r="BU2013" s="6"/>
      <c r="BV2013" s="6"/>
      <c r="BW2013" s="6"/>
      <c r="BX2013" s="6"/>
      <c r="BY2013" s="6"/>
      <c r="BZ2013" s="6"/>
      <c r="CA2013" s="6"/>
      <c r="CB2013" s="6"/>
      <c r="CC2013" s="6"/>
      <c r="CD2013" s="6"/>
      <c r="CE2013" s="6"/>
      <c r="CF2013" s="6"/>
      <c r="CG2013" s="6"/>
      <c r="CH2013" s="6"/>
      <c r="CI2013" s="6"/>
      <c r="CJ2013" s="6"/>
      <c r="CK2013" s="6"/>
      <c r="CL2013" s="6"/>
      <c r="CM2013" s="6"/>
      <c r="CN2013" s="6"/>
      <c r="CO2013" s="6"/>
      <c r="CP2013" s="6"/>
      <c r="CQ2013" s="6"/>
      <c r="CR2013" s="6"/>
      <c r="CS2013" s="6"/>
      <c r="CT2013" s="6"/>
      <c r="CU2013" s="6"/>
      <c r="CV2013" s="6"/>
      <c r="CW2013" s="6"/>
      <c r="CX2013" s="6"/>
      <c r="CY2013" s="6"/>
      <c r="CZ2013" s="6"/>
      <c r="DA2013" s="6"/>
      <c r="DB2013" s="6"/>
      <c r="DC2013" s="6"/>
      <c r="DD2013" s="6"/>
    </row>
    <row r="2014" spans="1:108" ht="12.75" hidden="1" customHeight="1" outlineLevel="7">
      <c r="A2014" s="104" t="s">
        <v>105</v>
      </c>
      <c r="B2014" s="28">
        <f t="shared" si="106"/>
        <v>4.4075999999999997E-2</v>
      </c>
      <c r="C2014" s="11"/>
      <c r="D2014" s="18" t="str">
        <f t="shared" si="107"/>
        <v>&lt;Radius_Le&gt;0.044076&lt;/Radius_Le&gt;</v>
      </c>
      <c r="F2014" s="6"/>
      <c r="G2014" s="6"/>
      <c r="H2014" s="6"/>
      <c r="I2014" s="6"/>
      <c r="J2014" s="6"/>
      <c r="K2014" s="6"/>
      <c r="L2014" s="6"/>
      <c r="M2014" s="6"/>
      <c r="N2014" s="6"/>
      <c r="O2014" s="6"/>
      <c r="P2014" s="6"/>
      <c r="Q2014" s="6"/>
      <c r="R2014" s="6"/>
      <c r="S2014" s="6"/>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c r="BU2014" s="6"/>
      <c r="BV2014" s="6"/>
      <c r="BW2014" s="6"/>
      <c r="BX2014" s="6"/>
      <c r="BY2014" s="6"/>
      <c r="BZ2014" s="6"/>
      <c r="CA2014" s="6"/>
      <c r="CB2014" s="6"/>
      <c r="CC2014" s="6"/>
      <c r="CD2014" s="6"/>
      <c r="CE2014" s="6"/>
      <c r="CF2014" s="6"/>
      <c r="CG2014" s="6"/>
      <c r="CH2014" s="6"/>
      <c r="CI2014" s="6"/>
      <c r="CJ2014" s="6"/>
      <c r="CK2014" s="6"/>
      <c r="CL2014" s="6"/>
      <c r="CM2014" s="6"/>
      <c r="CN2014" s="6"/>
      <c r="CO2014" s="6"/>
      <c r="CP2014" s="6"/>
      <c r="CQ2014" s="6"/>
      <c r="CR2014" s="6"/>
      <c r="CS2014" s="6"/>
      <c r="CT2014" s="6"/>
      <c r="CU2014" s="6"/>
      <c r="CV2014" s="6"/>
      <c r="CW2014" s="6"/>
      <c r="CX2014" s="6"/>
      <c r="CY2014" s="6"/>
      <c r="CZ2014" s="6"/>
      <c r="DA2014" s="6"/>
      <c r="DB2014" s="6"/>
      <c r="DC2014" s="6"/>
      <c r="DD2014" s="6"/>
    </row>
    <row r="2015" spans="1:108" ht="12.75" hidden="1" customHeight="1" outlineLevel="7">
      <c r="A2015" s="104" t="s">
        <v>106</v>
      </c>
      <c r="B2015" s="28">
        <f t="shared" si="106"/>
        <v>0</v>
      </c>
      <c r="C2015" s="11"/>
      <c r="D2015" s="18" t="str">
        <f t="shared" si="107"/>
        <v>&lt;Radius_Te&gt;0.000000&lt;/Radius_Te&gt;</v>
      </c>
      <c r="F2015" s="6"/>
      <c r="G2015" s="6"/>
      <c r="H2015" s="6"/>
      <c r="I2015" s="6"/>
      <c r="J2015" s="6"/>
      <c r="K2015" s="6"/>
      <c r="L2015" s="6"/>
      <c r="M2015" s="6"/>
      <c r="N2015" s="6"/>
      <c r="O2015" s="6"/>
      <c r="P2015" s="6"/>
      <c r="Q2015" s="6"/>
      <c r="R2015" s="6"/>
      <c r="S2015" s="6"/>
      <c r="T2015" s="6"/>
      <c r="U2015" s="6"/>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c r="BU2015" s="6"/>
      <c r="BV2015" s="6"/>
      <c r="BW2015" s="6"/>
      <c r="BX2015" s="6"/>
      <c r="BY2015" s="6"/>
      <c r="BZ2015" s="6"/>
      <c r="CA2015" s="6"/>
      <c r="CB2015" s="6"/>
      <c r="CC2015" s="6"/>
      <c r="CD2015" s="6"/>
      <c r="CE2015" s="6"/>
      <c r="CF2015" s="6"/>
      <c r="CG2015" s="6"/>
      <c r="CH2015" s="6"/>
      <c r="CI2015" s="6"/>
      <c r="CJ2015" s="6"/>
      <c r="CK2015" s="6"/>
      <c r="CL2015" s="6"/>
      <c r="CM2015" s="6"/>
      <c r="CN2015" s="6"/>
      <c r="CO2015" s="6"/>
      <c r="CP2015" s="6"/>
      <c r="CQ2015" s="6"/>
      <c r="CR2015" s="6"/>
      <c r="CS2015" s="6"/>
      <c r="CT2015" s="6"/>
      <c r="CU2015" s="6"/>
      <c r="CV2015" s="6"/>
      <c r="CW2015" s="6"/>
      <c r="CX2015" s="6"/>
      <c r="CY2015" s="6"/>
      <c r="CZ2015" s="6"/>
      <c r="DA2015" s="6"/>
      <c r="DB2015" s="6"/>
      <c r="DC2015" s="6"/>
      <c r="DD2015" s="6"/>
    </row>
    <row r="2016" spans="1:108" ht="12.75" hidden="1" customHeight="1" outlineLevel="7">
      <c r="A2016" s="104" t="s">
        <v>107</v>
      </c>
      <c r="B2016" s="28">
        <f t="shared" si="106"/>
        <v>63</v>
      </c>
      <c r="C2016" s="11"/>
      <c r="D2016" s="18" t="str">
        <f>"&lt;" &amp; A2016 &amp; "&gt;" &amp; TEXT(B2016,0) &amp; "&lt;/" &amp; A2016 &amp; "&gt;"</f>
        <v>&lt;Six_Series&gt;63&lt;/Six_Series&gt;</v>
      </c>
      <c r="F2016" s="6"/>
      <c r="G2016" s="6"/>
      <c r="H2016" s="6"/>
      <c r="I2016" s="6"/>
      <c r="J2016" s="6"/>
      <c r="K2016" s="6"/>
      <c r="L2016" s="6"/>
      <c r="M2016" s="6"/>
      <c r="N2016" s="6"/>
      <c r="O2016" s="6"/>
      <c r="P2016" s="6"/>
      <c r="Q2016" s="6"/>
      <c r="R2016" s="6"/>
      <c r="S2016" s="6"/>
      <c r="T2016" s="6"/>
      <c r="U2016" s="6"/>
      <c r="V2016" s="6"/>
      <c r="W2016" s="6"/>
      <c r="X2016" s="6"/>
      <c r="Y2016" s="6"/>
      <c r="Z2016" s="6"/>
      <c r="AA2016" s="6"/>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c r="BU2016" s="6"/>
      <c r="BV2016" s="6"/>
      <c r="BW2016" s="6"/>
      <c r="BX2016" s="6"/>
      <c r="BY2016" s="6"/>
      <c r="BZ2016" s="6"/>
      <c r="CA2016" s="6"/>
      <c r="CB2016" s="6"/>
      <c r="CC2016" s="6"/>
      <c r="CD2016" s="6"/>
      <c r="CE2016" s="6"/>
      <c r="CF2016" s="6"/>
      <c r="CG2016" s="6"/>
      <c r="CH2016" s="6"/>
      <c r="CI2016" s="6"/>
      <c r="CJ2016" s="6"/>
      <c r="CK2016" s="6"/>
      <c r="CL2016" s="6"/>
      <c r="CM2016" s="6"/>
      <c r="CN2016" s="6"/>
      <c r="CO2016" s="6"/>
      <c r="CP2016" s="6"/>
      <c r="CQ2016" s="6"/>
      <c r="CR2016" s="6"/>
      <c r="CS2016" s="6"/>
      <c r="CT2016" s="6"/>
      <c r="CU2016" s="6"/>
      <c r="CV2016" s="6"/>
      <c r="CW2016" s="6"/>
      <c r="CX2016" s="6"/>
      <c r="CY2016" s="6"/>
      <c r="CZ2016" s="6"/>
      <c r="DA2016" s="6"/>
      <c r="DB2016" s="6"/>
      <c r="DC2016" s="6"/>
      <c r="DD2016" s="6"/>
    </row>
    <row r="2017" spans="1:108" ht="12.75" hidden="1" customHeight="1" outlineLevel="7">
      <c r="A2017" s="104" t="s">
        <v>108</v>
      </c>
      <c r="B2017" s="28">
        <f t="shared" si="106"/>
        <v>0</v>
      </c>
      <c r="C2017" s="11"/>
      <c r="D2017" s="18" t="str">
        <f>"&lt;" &amp; A2017 &amp; "&gt;" &amp; TEXT(B2017,"0.000000") &amp; "&lt;/" &amp; A2017 &amp; "&gt;"</f>
        <v>&lt;Ideal_Cl&gt;0.000000&lt;/Ideal_Cl&gt;</v>
      </c>
      <c r="F2017" s="6"/>
      <c r="G2017" s="6"/>
      <c r="H2017" s="6"/>
      <c r="I2017" s="6"/>
      <c r="J2017" s="6"/>
      <c r="K2017" s="6"/>
      <c r="L2017" s="6"/>
      <c r="M2017" s="6"/>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c r="BU2017" s="6"/>
      <c r="BV2017" s="6"/>
      <c r="BW2017" s="6"/>
      <c r="BX2017" s="6"/>
      <c r="BY2017" s="6"/>
      <c r="BZ2017" s="6"/>
      <c r="CA2017" s="6"/>
      <c r="CB2017" s="6"/>
      <c r="CC2017" s="6"/>
      <c r="CD2017" s="6"/>
      <c r="CE2017" s="6"/>
      <c r="CF2017" s="6"/>
      <c r="CG2017" s="6"/>
      <c r="CH2017" s="6"/>
      <c r="CI2017" s="6"/>
      <c r="CJ2017" s="6"/>
      <c r="CK2017" s="6"/>
      <c r="CL2017" s="6"/>
      <c r="CM2017" s="6"/>
      <c r="CN2017" s="6"/>
      <c r="CO2017" s="6"/>
      <c r="CP2017" s="6"/>
      <c r="CQ2017" s="6"/>
      <c r="CR2017" s="6"/>
      <c r="CS2017" s="6"/>
      <c r="CT2017" s="6"/>
      <c r="CU2017" s="6"/>
      <c r="CV2017" s="6"/>
      <c r="CW2017" s="6"/>
      <c r="CX2017" s="6"/>
      <c r="CY2017" s="6"/>
      <c r="CZ2017" s="6"/>
      <c r="DA2017" s="6"/>
      <c r="DB2017" s="6"/>
      <c r="DC2017" s="6"/>
      <c r="DD2017" s="6"/>
    </row>
    <row r="2018" spans="1:108" ht="12.75" hidden="1" customHeight="1" outlineLevel="7">
      <c r="A2018" s="104" t="s">
        <v>109</v>
      </c>
      <c r="B2018" s="28">
        <f t="shared" si="106"/>
        <v>0</v>
      </c>
      <c r="C2018" s="11"/>
      <c r="D2018" s="18" t="str">
        <f>"&lt;" &amp; A2018 &amp; "&gt;" &amp; TEXT(B2018,"0.000000") &amp; "&lt;/" &amp; A2018 &amp; "&gt;"</f>
        <v>&lt;A&gt;0.000000&lt;/A&gt;</v>
      </c>
      <c r="F2018" s="6"/>
      <c r="G2018" s="6"/>
      <c r="H2018" s="6"/>
      <c r="I2018" s="6"/>
      <c r="J2018" s="6"/>
      <c r="K2018" s="6"/>
      <c r="L2018" s="6"/>
      <c r="M2018" s="6"/>
      <c r="N2018" s="6"/>
      <c r="O2018" s="6"/>
      <c r="P2018" s="6"/>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c r="BU2018" s="6"/>
      <c r="BV2018" s="6"/>
      <c r="BW2018" s="6"/>
      <c r="BX2018" s="6"/>
      <c r="BY2018" s="6"/>
      <c r="BZ2018" s="6"/>
      <c r="CA2018" s="6"/>
      <c r="CB2018" s="6"/>
      <c r="CC2018" s="6"/>
      <c r="CD2018" s="6"/>
      <c r="CE2018" s="6"/>
      <c r="CF2018" s="6"/>
      <c r="CG2018" s="6"/>
      <c r="CH2018" s="6"/>
      <c r="CI2018" s="6"/>
      <c r="CJ2018" s="6"/>
      <c r="CK2018" s="6"/>
      <c r="CL2018" s="6"/>
      <c r="CM2018" s="6"/>
      <c r="CN2018" s="6"/>
      <c r="CO2018" s="6"/>
      <c r="CP2018" s="6"/>
      <c r="CQ2018" s="6"/>
      <c r="CR2018" s="6"/>
      <c r="CS2018" s="6"/>
      <c r="CT2018" s="6"/>
      <c r="CU2018" s="6"/>
      <c r="CV2018" s="6"/>
      <c r="CW2018" s="6"/>
      <c r="CX2018" s="6"/>
      <c r="CY2018" s="6"/>
      <c r="CZ2018" s="6"/>
      <c r="DA2018" s="6"/>
      <c r="DB2018" s="6"/>
      <c r="DC2018" s="6"/>
      <c r="DD2018" s="6"/>
    </row>
    <row r="2019" spans="1:108" ht="12.75" hidden="1" customHeight="1" outlineLevel="7">
      <c r="A2019" s="104" t="s">
        <v>110</v>
      </c>
      <c r="B2019" s="28">
        <f t="shared" si="106"/>
        <v>0</v>
      </c>
      <c r="C2019" s="11"/>
      <c r="D2019" s="18" t="str">
        <f>"&lt;" &amp; A2019 &amp; "&gt;" &amp; TEXT(B2019,0) &amp; "&lt;/" &amp; A2019 &amp; "&gt;"</f>
        <v>&lt;Slat_Flag&gt;0&lt;/Slat_Flag&gt;</v>
      </c>
      <c r="F2019" s="6"/>
      <c r="G2019" s="6"/>
      <c r="H2019" s="6"/>
      <c r="I2019" s="6"/>
      <c r="J2019" s="6"/>
      <c r="K2019" s="6"/>
      <c r="L2019" s="6"/>
      <c r="M2019" s="6"/>
      <c r="N2019" s="6"/>
      <c r="O2019" s="6"/>
      <c r="P2019" s="6"/>
      <c r="Q2019" s="6"/>
      <c r="R2019" s="6"/>
      <c r="S2019" s="6"/>
      <c r="T2019" s="6"/>
      <c r="U2019" s="6"/>
      <c r="V2019" s="6"/>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c r="BU2019" s="6"/>
      <c r="BV2019" s="6"/>
      <c r="BW2019" s="6"/>
      <c r="BX2019" s="6"/>
      <c r="BY2019" s="6"/>
      <c r="BZ2019" s="6"/>
      <c r="CA2019" s="6"/>
      <c r="CB2019" s="6"/>
      <c r="CC2019" s="6"/>
      <c r="CD2019" s="6"/>
      <c r="CE2019" s="6"/>
      <c r="CF2019" s="6"/>
      <c r="CG2019" s="6"/>
      <c r="CH2019" s="6"/>
      <c r="CI2019" s="6"/>
      <c r="CJ2019" s="6"/>
      <c r="CK2019" s="6"/>
      <c r="CL2019" s="6"/>
      <c r="CM2019" s="6"/>
      <c r="CN2019" s="6"/>
      <c r="CO2019" s="6"/>
      <c r="CP2019" s="6"/>
      <c r="CQ2019" s="6"/>
      <c r="CR2019" s="6"/>
      <c r="CS2019" s="6"/>
      <c r="CT2019" s="6"/>
      <c r="CU2019" s="6"/>
      <c r="CV2019" s="6"/>
      <c r="CW2019" s="6"/>
      <c r="CX2019" s="6"/>
      <c r="CY2019" s="6"/>
      <c r="CZ2019" s="6"/>
      <c r="DA2019" s="6"/>
      <c r="DB2019" s="6"/>
      <c r="DC2019" s="6"/>
      <c r="DD2019" s="6"/>
    </row>
    <row r="2020" spans="1:108" ht="12.75" hidden="1" customHeight="1" outlineLevel="7">
      <c r="A2020" s="104" t="s">
        <v>111</v>
      </c>
      <c r="B2020" s="28">
        <f t="shared" si="106"/>
        <v>0</v>
      </c>
      <c r="C2020" s="11"/>
      <c r="D2020" s="18" t="str">
        <f>"&lt;" &amp; A2020 &amp; "&gt;" &amp; TEXT(B2020,0) &amp; "&lt;/" &amp; A2020 &amp; "&gt;"</f>
        <v>&lt;Slat_Shear_Flag&gt;0&lt;/Slat_Shear_Flag&gt;</v>
      </c>
      <c r="F2020" s="6"/>
      <c r="G2020" s="6"/>
      <c r="H2020" s="6"/>
      <c r="I2020" s="6"/>
      <c r="J2020" s="6"/>
      <c r="K2020" s="6"/>
      <c r="L2020" s="6"/>
      <c r="M2020" s="6"/>
      <c r="N2020" s="6"/>
      <c r="O2020" s="6"/>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c r="BU2020" s="6"/>
      <c r="BV2020" s="6"/>
      <c r="BW2020" s="6"/>
      <c r="BX2020" s="6"/>
      <c r="BY2020" s="6"/>
      <c r="BZ2020" s="6"/>
      <c r="CA2020" s="6"/>
      <c r="CB2020" s="6"/>
      <c r="CC2020" s="6"/>
      <c r="CD2020" s="6"/>
      <c r="CE2020" s="6"/>
      <c r="CF2020" s="6"/>
      <c r="CG2020" s="6"/>
      <c r="CH2020" s="6"/>
      <c r="CI2020" s="6"/>
      <c r="CJ2020" s="6"/>
      <c r="CK2020" s="6"/>
      <c r="CL2020" s="6"/>
      <c r="CM2020" s="6"/>
      <c r="CN2020" s="6"/>
      <c r="CO2020" s="6"/>
      <c r="CP2020" s="6"/>
      <c r="CQ2020" s="6"/>
      <c r="CR2020" s="6"/>
      <c r="CS2020" s="6"/>
      <c r="CT2020" s="6"/>
      <c r="CU2020" s="6"/>
      <c r="CV2020" s="6"/>
      <c r="CW2020" s="6"/>
      <c r="CX2020" s="6"/>
      <c r="CY2020" s="6"/>
      <c r="CZ2020" s="6"/>
      <c r="DA2020" s="6"/>
      <c r="DB2020" s="6"/>
      <c r="DC2020" s="6"/>
      <c r="DD2020" s="6"/>
    </row>
    <row r="2021" spans="1:108" ht="12.75" hidden="1" customHeight="1" outlineLevel="7">
      <c r="A2021" s="104" t="s">
        <v>112</v>
      </c>
      <c r="B2021" s="28">
        <f t="shared" si="106"/>
        <v>0.25</v>
      </c>
      <c r="C2021" s="11"/>
      <c r="D2021" s="18" t="str">
        <f>"&lt;" &amp; A2021 &amp; "&gt;" &amp; TEXT(B2021,"0.000000") &amp; "&lt;/" &amp; A2021 &amp; "&gt;"</f>
        <v>&lt;Slat_Chord&gt;0.250000&lt;/Slat_Chord&gt;</v>
      </c>
      <c r="F2021" s="6"/>
      <c r="G2021" s="6"/>
      <c r="H2021" s="6"/>
      <c r="I2021" s="6"/>
      <c r="J2021" s="6"/>
      <c r="K2021" s="6"/>
      <c r="L2021" s="6"/>
      <c r="M2021" s="6"/>
      <c r="N2021" s="6"/>
      <c r="O2021" s="6"/>
      <c r="P2021" s="6"/>
      <c r="Q2021" s="6"/>
      <c r="R2021" s="6"/>
      <c r="S2021" s="6"/>
      <c r="T2021" s="6"/>
      <c r="U2021" s="6"/>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c r="BU2021" s="6"/>
      <c r="BV2021" s="6"/>
      <c r="BW2021" s="6"/>
      <c r="BX2021" s="6"/>
      <c r="BY2021" s="6"/>
      <c r="BZ2021" s="6"/>
      <c r="CA2021" s="6"/>
      <c r="CB2021" s="6"/>
      <c r="CC2021" s="6"/>
      <c r="CD2021" s="6"/>
      <c r="CE2021" s="6"/>
      <c r="CF2021" s="6"/>
      <c r="CG2021" s="6"/>
      <c r="CH2021" s="6"/>
      <c r="CI2021" s="6"/>
      <c r="CJ2021" s="6"/>
      <c r="CK2021" s="6"/>
      <c r="CL2021" s="6"/>
      <c r="CM2021" s="6"/>
      <c r="CN2021" s="6"/>
      <c r="CO2021" s="6"/>
      <c r="CP2021" s="6"/>
      <c r="CQ2021" s="6"/>
      <c r="CR2021" s="6"/>
      <c r="CS2021" s="6"/>
      <c r="CT2021" s="6"/>
      <c r="CU2021" s="6"/>
      <c r="CV2021" s="6"/>
      <c r="CW2021" s="6"/>
      <c r="CX2021" s="6"/>
      <c r="CY2021" s="6"/>
      <c r="CZ2021" s="6"/>
      <c r="DA2021" s="6"/>
      <c r="DB2021" s="6"/>
      <c r="DC2021" s="6"/>
      <c r="DD2021" s="6"/>
    </row>
    <row r="2022" spans="1:108" ht="12.75" hidden="1" customHeight="1" outlineLevel="7">
      <c r="A2022" s="104" t="s">
        <v>113</v>
      </c>
      <c r="B2022" s="28">
        <f t="shared" si="106"/>
        <v>10</v>
      </c>
      <c r="C2022" s="11"/>
      <c r="D2022" s="18" t="str">
        <f>"&lt;" &amp; A2022 &amp; "&gt;" &amp; TEXT(B2022,"0.000000") &amp; "&lt;/" &amp; A2022 &amp; "&gt;"</f>
        <v>&lt;Slat_Angle&gt;10.000000&lt;/Slat_Angle&gt;</v>
      </c>
      <c r="F2022" s="6"/>
      <c r="G2022" s="6"/>
      <c r="H2022" s="6"/>
      <c r="I2022" s="6"/>
      <c r="J2022" s="6"/>
      <c r="K2022" s="6"/>
      <c r="L2022" s="6"/>
      <c r="M2022" s="6"/>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c r="BU2022" s="6"/>
      <c r="BV2022" s="6"/>
      <c r="BW2022" s="6"/>
      <c r="BX2022" s="6"/>
      <c r="BY2022" s="6"/>
      <c r="BZ2022" s="6"/>
      <c r="CA2022" s="6"/>
      <c r="CB2022" s="6"/>
      <c r="CC2022" s="6"/>
      <c r="CD2022" s="6"/>
      <c r="CE2022" s="6"/>
      <c r="CF2022" s="6"/>
      <c r="CG2022" s="6"/>
      <c r="CH2022" s="6"/>
      <c r="CI2022" s="6"/>
      <c r="CJ2022" s="6"/>
      <c r="CK2022" s="6"/>
      <c r="CL2022" s="6"/>
      <c r="CM2022" s="6"/>
      <c r="CN2022" s="6"/>
      <c r="CO2022" s="6"/>
      <c r="CP2022" s="6"/>
      <c r="CQ2022" s="6"/>
      <c r="CR2022" s="6"/>
      <c r="CS2022" s="6"/>
      <c r="CT2022" s="6"/>
      <c r="CU2022" s="6"/>
      <c r="CV2022" s="6"/>
      <c r="CW2022" s="6"/>
      <c r="CX2022" s="6"/>
      <c r="CY2022" s="6"/>
      <c r="CZ2022" s="6"/>
      <c r="DA2022" s="6"/>
      <c r="DB2022" s="6"/>
      <c r="DC2022" s="6"/>
      <c r="DD2022" s="6"/>
    </row>
    <row r="2023" spans="1:108" ht="12.75" hidden="1" customHeight="1" outlineLevel="7">
      <c r="A2023" s="104" t="s">
        <v>114</v>
      </c>
      <c r="B2023" s="28">
        <f t="shared" si="106"/>
        <v>0</v>
      </c>
      <c r="C2023" s="11"/>
      <c r="D2023" s="18" t="str">
        <f>"&lt;" &amp; A2023 &amp; "&gt;" &amp; TEXT(B2023,0) &amp; "&lt;/" &amp; A2023 &amp; "&gt;"</f>
        <v>&lt;Flap_Flag&gt;0&lt;/Flap_Flag&gt;</v>
      </c>
      <c r="F2023" s="6"/>
      <c r="G2023" s="6"/>
      <c r="H2023" s="6"/>
      <c r="I2023" s="6"/>
      <c r="J2023" s="6"/>
      <c r="K2023" s="6"/>
      <c r="L2023" s="6"/>
      <c r="M2023" s="6"/>
      <c r="N2023" s="6"/>
      <c r="O2023" s="6"/>
      <c r="P2023" s="6"/>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c r="BU2023" s="6"/>
      <c r="BV2023" s="6"/>
      <c r="BW2023" s="6"/>
      <c r="BX2023" s="6"/>
      <c r="BY2023" s="6"/>
      <c r="BZ2023" s="6"/>
      <c r="CA2023" s="6"/>
      <c r="CB2023" s="6"/>
      <c r="CC2023" s="6"/>
      <c r="CD2023" s="6"/>
      <c r="CE2023" s="6"/>
      <c r="CF2023" s="6"/>
      <c r="CG2023" s="6"/>
      <c r="CH2023" s="6"/>
      <c r="CI2023" s="6"/>
      <c r="CJ2023" s="6"/>
      <c r="CK2023" s="6"/>
      <c r="CL2023" s="6"/>
      <c r="CM2023" s="6"/>
      <c r="CN2023" s="6"/>
      <c r="CO2023" s="6"/>
      <c r="CP2023" s="6"/>
      <c r="CQ2023" s="6"/>
      <c r="CR2023" s="6"/>
      <c r="CS2023" s="6"/>
      <c r="CT2023" s="6"/>
      <c r="CU2023" s="6"/>
      <c r="CV2023" s="6"/>
      <c r="CW2023" s="6"/>
      <c r="CX2023" s="6"/>
      <c r="CY2023" s="6"/>
      <c r="CZ2023" s="6"/>
      <c r="DA2023" s="6"/>
      <c r="DB2023" s="6"/>
      <c r="DC2023" s="6"/>
      <c r="DD2023" s="6"/>
    </row>
    <row r="2024" spans="1:108" ht="12.75" hidden="1" customHeight="1" outlineLevel="7">
      <c r="A2024" s="104" t="s">
        <v>115</v>
      </c>
      <c r="B2024" s="28">
        <f t="shared" si="106"/>
        <v>0</v>
      </c>
      <c r="C2024" s="11"/>
      <c r="D2024" s="18" t="str">
        <f>"&lt;" &amp; A2024 &amp; "&gt;" &amp; TEXT(B2024,0) &amp; "&lt;/" &amp; A2024 &amp; "&gt;"</f>
        <v>&lt;Flap_Shear_Flag&gt;0&lt;/Flap_Shear_Flag&gt;</v>
      </c>
      <c r="F2024" s="6"/>
      <c r="G2024" s="6"/>
      <c r="H2024" s="6"/>
      <c r="I2024" s="6"/>
      <c r="J2024" s="6"/>
      <c r="K2024" s="6"/>
      <c r="L2024" s="6"/>
      <c r="M2024" s="6"/>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c r="BU2024" s="6"/>
      <c r="BV2024" s="6"/>
      <c r="BW2024" s="6"/>
      <c r="BX2024" s="6"/>
      <c r="BY2024" s="6"/>
      <c r="BZ2024" s="6"/>
      <c r="CA2024" s="6"/>
      <c r="CB2024" s="6"/>
      <c r="CC2024" s="6"/>
      <c r="CD2024" s="6"/>
      <c r="CE2024" s="6"/>
      <c r="CF2024" s="6"/>
      <c r="CG2024" s="6"/>
      <c r="CH2024" s="6"/>
      <c r="CI2024" s="6"/>
      <c r="CJ2024" s="6"/>
      <c r="CK2024" s="6"/>
      <c r="CL2024" s="6"/>
      <c r="CM2024" s="6"/>
      <c r="CN2024" s="6"/>
      <c r="CO2024" s="6"/>
      <c r="CP2024" s="6"/>
      <c r="CQ2024" s="6"/>
      <c r="CR2024" s="6"/>
      <c r="CS2024" s="6"/>
      <c r="CT2024" s="6"/>
      <c r="CU2024" s="6"/>
      <c r="CV2024" s="6"/>
      <c r="CW2024" s="6"/>
      <c r="CX2024" s="6"/>
      <c r="CY2024" s="6"/>
      <c r="CZ2024" s="6"/>
      <c r="DA2024" s="6"/>
      <c r="DB2024" s="6"/>
      <c r="DC2024" s="6"/>
      <c r="DD2024" s="6"/>
    </row>
    <row r="2025" spans="1:108" ht="12.75" hidden="1" customHeight="1" outlineLevel="7">
      <c r="A2025" s="104" t="s">
        <v>116</v>
      </c>
      <c r="B2025" s="28">
        <f t="shared" si="106"/>
        <v>0.25</v>
      </c>
      <c r="C2025" s="11"/>
      <c r="D2025" s="18" t="str">
        <f>"&lt;" &amp; A2025 &amp; "&gt;" &amp; TEXT(B2025,"0.000000") &amp; "&lt;/" &amp; A2025 &amp; "&gt;"</f>
        <v>&lt;Flap_Chord&gt;0.250000&lt;/Flap_Chord&gt;</v>
      </c>
      <c r="F2025" s="6"/>
      <c r="G2025" s="6"/>
      <c r="H2025" s="6"/>
      <c r="I2025" s="6"/>
      <c r="J2025" s="6"/>
      <c r="K2025" s="6"/>
      <c r="L2025" s="6"/>
      <c r="M2025" s="6"/>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c r="BU2025" s="6"/>
      <c r="BV2025" s="6"/>
      <c r="BW2025" s="6"/>
      <c r="BX2025" s="6"/>
      <c r="BY2025" s="6"/>
      <c r="BZ2025" s="6"/>
      <c r="CA2025" s="6"/>
      <c r="CB2025" s="6"/>
      <c r="CC2025" s="6"/>
      <c r="CD2025" s="6"/>
      <c r="CE2025" s="6"/>
      <c r="CF2025" s="6"/>
      <c r="CG2025" s="6"/>
      <c r="CH2025" s="6"/>
      <c r="CI2025" s="6"/>
      <c r="CJ2025" s="6"/>
      <c r="CK2025" s="6"/>
      <c r="CL2025" s="6"/>
      <c r="CM2025" s="6"/>
      <c r="CN2025" s="6"/>
      <c r="CO2025" s="6"/>
      <c r="CP2025" s="6"/>
      <c r="CQ2025" s="6"/>
      <c r="CR2025" s="6"/>
      <c r="CS2025" s="6"/>
      <c r="CT2025" s="6"/>
      <c r="CU2025" s="6"/>
      <c r="CV2025" s="6"/>
      <c r="CW2025" s="6"/>
      <c r="CX2025" s="6"/>
      <c r="CY2025" s="6"/>
      <c r="CZ2025" s="6"/>
      <c r="DA2025" s="6"/>
      <c r="DB2025" s="6"/>
      <c r="DC2025" s="6"/>
      <c r="DD2025" s="6"/>
    </row>
    <row r="2026" spans="1:108" ht="12.75" hidden="1" customHeight="1" outlineLevel="7">
      <c r="A2026" s="104" t="s">
        <v>117</v>
      </c>
      <c r="B2026" s="28">
        <f t="shared" si="106"/>
        <v>10</v>
      </c>
      <c r="C2026" s="11"/>
      <c r="D2026" s="18" t="str">
        <f>"&lt;" &amp; A2026 &amp; "&gt;" &amp; TEXT(B2026,"0.000000") &amp; "&lt;/" &amp; A2026 &amp; "&gt;"</f>
        <v>&lt;Flap_Angle&gt;10.000000&lt;/Flap_Angle&gt;</v>
      </c>
      <c r="F2026" s="6"/>
      <c r="G2026" s="6"/>
      <c r="H2026" s="6"/>
      <c r="I2026" s="6"/>
      <c r="J2026" s="6"/>
      <c r="K2026" s="6"/>
      <c r="L2026" s="6"/>
      <c r="M2026" s="6"/>
      <c r="N2026" s="6"/>
      <c r="O2026" s="6"/>
      <c r="P2026" s="6"/>
      <c r="Q2026" s="6"/>
      <c r="R2026" s="6"/>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c r="BU2026" s="6"/>
      <c r="BV2026" s="6"/>
      <c r="BW2026" s="6"/>
      <c r="BX2026" s="6"/>
      <c r="BY2026" s="6"/>
      <c r="BZ2026" s="6"/>
      <c r="CA2026" s="6"/>
      <c r="CB2026" s="6"/>
      <c r="CC2026" s="6"/>
      <c r="CD2026" s="6"/>
      <c r="CE2026" s="6"/>
      <c r="CF2026" s="6"/>
      <c r="CG2026" s="6"/>
      <c r="CH2026" s="6"/>
      <c r="CI2026" s="6"/>
      <c r="CJ2026" s="6"/>
      <c r="CK2026" s="6"/>
      <c r="CL2026" s="6"/>
      <c r="CM2026" s="6"/>
      <c r="CN2026" s="6"/>
      <c r="CO2026" s="6"/>
      <c r="CP2026" s="6"/>
      <c r="CQ2026" s="6"/>
      <c r="CR2026" s="6"/>
      <c r="CS2026" s="6"/>
      <c r="CT2026" s="6"/>
      <c r="CU2026" s="6"/>
      <c r="CV2026" s="6"/>
      <c r="CW2026" s="6"/>
      <c r="CX2026" s="6"/>
      <c r="CY2026" s="6"/>
      <c r="CZ2026" s="6"/>
      <c r="DA2026" s="6"/>
      <c r="DB2026" s="6"/>
      <c r="DC2026" s="6"/>
      <c r="DD2026" s="6"/>
    </row>
    <row r="2027" spans="1:108" ht="12.75" hidden="1" customHeight="1" outlineLevel="7">
      <c r="A2027" s="104" t="s">
        <v>118</v>
      </c>
      <c r="B2027" s="100"/>
      <c r="C2027" s="11"/>
      <c r="D2027" s="6" t="str">
        <f>"&lt;" &amp; A2027 &amp; "&gt;"</f>
        <v>&lt;/Airfoil&gt;</v>
      </c>
      <c r="F2027" s="6"/>
      <c r="G2027" s="6"/>
      <c r="H2027" s="6"/>
      <c r="I2027" s="6"/>
      <c r="J2027" s="6"/>
      <c r="K2027" s="6"/>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c r="BU2027" s="6"/>
      <c r="BV2027" s="6"/>
      <c r="BW2027" s="6"/>
      <c r="BX2027" s="6"/>
      <c r="BY2027" s="6"/>
      <c r="BZ2027" s="6"/>
      <c r="CA2027" s="6"/>
      <c r="CB2027" s="6"/>
      <c r="CC2027" s="6"/>
      <c r="CD2027" s="6"/>
      <c r="CE2027" s="6"/>
      <c r="CF2027" s="6"/>
      <c r="CG2027" s="6"/>
      <c r="CH2027" s="6"/>
      <c r="CI2027" s="6"/>
      <c r="CJ2027" s="6"/>
      <c r="CK2027" s="6"/>
      <c r="CL2027" s="6"/>
      <c r="CM2027" s="6"/>
      <c r="CN2027" s="6"/>
      <c r="CO2027" s="6"/>
      <c r="CP2027" s="6"/>
      <c r="CQ2027" s="6"/>
      <c r="CR2027" s="6"/>
      <c r="CS2027" s="6"/>
      <c r="CT2027" s="6"/>
      <c r="CU2027" s="6"/>
      <c r="CV2027" s="6"/>
      <c r="CW2027" s="6"/>
      <c r="CX2027" s="6"/>
      <c r="CY2027" s="6"/>
      <c r="CZ2027" s="6"/>
      <c r="DA2027" s="6"/>
      <c r="DB2027" s="6"/>
      <c r="DC2027" s="6"/>
      <c r="DD2027" s="6"/>
    </row>
    <row r="2028" spans="1:108" ht="12.75" hidden="1" customHeight="1" outlineLevel="6">
      <c r="A2028" s="104" t="s">
        <v>308</v>
      </c>
      <c r="B2028" s="100"/>
      <c r="C2028" s="11"/>
      <c r="D2028" s="6" t="str">
        <f>"&lt;" &amp; A2028 &amp; "&gt;"</f>
        <v>&lt;/Sect_Parms&gt;</v>
      </c>
      <c r="F2028" s="6"/>
      <c r="G2028" s="6"/>
      <c r="H2028" s="6"/>
      <c r="I2028" s="6"/>
      <c r="J2028" s="6"/>
      <c r="K2028" s="6"/>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c r="BU2028" s="6"/>
      <c r="BV2028" s="6"/>
      <c r="BW2028" s="6"/>
      <c r="BX2028" s="6"/>
      <c r="BY2028" s="6"/>
      <c r="BZ2028" s="6"/>
      <c r="CA2028" s="6"/>
      <c r="CB2028" s="6"/>
      <c r="CC2028" s="6"/>
      <c r="CD2028" s="6"/>
      <c r="CE2028" s="6"/>
      <c r="CF2028" s="6"/>
      <c r="CG2028" s="6"/>
      <c r="CH2028" s="6"/>
      <c r="CI2028" s="6"/>
      <c r="CJ2028" s="6"/>
      <c r="CK2028" s="6"/>
      <c r="CL2028" s="6"/>
      <c r="CM2028" s="6"/>
      <c r="CN2028" s="6"/>
      <c r="CO2028" s="6"/>
      <c r="CP2028" s="6"/>
      <c r="CQ2028" s="6"/>
      <c r="CR2028" s="6"/>
      <c r="CS2028" s="6"/>
      <c r="CT2028" s="6"/>
      <c r="CU2028" s="6"/>
      <c r="CV2028" s="6"/>
      <c r="CW2028" s="6"/>
      <c r="CX2028" s="6"/>
      <c r="CY2028" s="6"/>
      <c r="CZ2028" s="6"/>
      <c r="DA2028" s="6"/>
      <c r="DB2028" s="6"/>
      <c r="DC2028" s="6"/>
      <c r="DD2028" s="6"/>
    </row>
    <row r="2029" spans="1:108" ht="12.75" hidden="1" customHeight="1" outlineLevel="5">
      <c r="A2029" s="104" t="s">
        <v>305</v>
      </c>
      <c r="B2029" s="110" t="s">
        <v>402</v>
      </c>
      <c r="C2029" s="11"/>
      <c r="D2029" s="6" t="str">
        <f>"&lt;" &amp; A2029 &amp; "&gt;"</f>
        <v>&lt;Sect_Parms&gt;</v>
      </c>
      <c r="F2029" s="6"/>
      <c r="G2029" s="6"/>
      <c r="H2029" s="6"/>
      <c r="I2029" s="6"/>
      <c r="J2029" s="6"/>
      <c r="K2029" s="6"/>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c r="BU2029" s="6"/>
      <c r="BV2029" s="6"/>
      <c r="BW2029" s="6"/>
      <c r="BX2029" s="6"/>
      <c r="BY2029" s="6"/>
      <c r="BZ2029" s="6"/>
      <c r="CA2029" s="6"/>
      <c r="CB2029" s="6"/>
      <c r="CC2029" s="6"/>
      <c r="CD2029" s="6"/>
      <c r="CE2029" s="6"/>
      <c r="CF2029" s="6"/>
      <c r="CG2029" s="6"/>
      <c r="CH2029" s="6"/>
      <c r="CI2029" s="6"/>
      <c r="CJ2029" s="6"/>
      <c r="CK2029" s="6"/>
      <c r="CL2029" s="6"/>
      <c r="CM2029" s="6"/>
      <c r="CN2029" s="6"/>
      <c r="CO2029" s="6"/>
      <c r="CP2029" s="6"/>
      <c r="CQ2029" s="6"/>
      <c r="CR2029" s="6"/>
      <c r="CS2029" s="6"/>
      <c r="CT2029" s="6"/>
      <c r="CU2029" s="6"/>
      <c r="CV2029" s="6"/>
      <c r="CW2029" s="6"/>
      <c r="CX2029" s="6"/>
      <c r="CY2029" s="6"/>
      <c r="CZ2029" s="6"/>
      <c r="DA2029" s="6"/>
      <c r="DB2029" s="6"/>
      <c r="DC2029" s="6"/>
      <c r="DD2029" s="6"/>
    </row>
    <row r="2030" spans="1:108" ht="12.75" hidden="1" customHeight="1" outlineLevel="6">
      <c r="A2030" s="104" t="s">
        <v>306</v>
      </c>
      <c r="B2030" s="28">
        <f>B1497</f>
        <v>1</v>
      </c>
      <c r="C2030" s="11"/>
      <c r="D2030" s="18" t="str">
        <f>"&lt;" &amp; A2030 &amp; "&gt;" &amp; TEXT(B2030,"0.000000") &amp; "&lt;/" &amp; A2030 &amp; "&gt;"</f>
        <v>&lt;X_Off&gt;1.000000&lt;/X_Off&gt;</v>
      </c>
      <c r="F2030" s="6"/>
      <c r="G2030" s="6"/>
      <c r="H2030" s="6"/>
      <c r="I2030" s="6"/>
      <c r="J2030" s="6"/>
      <c r="K2030" s="6"/>
      <c r="L2030" s="6"/>
      <c r="M2030" s="6"/>
      <c r="N2030" s="6"/>
      <c r="O2030" s="6"/>
      <c r="P2030" s="6"/>
      <c r="Q2030" s="6"/>
      <c r="R2030" s="6"/>
      <c r="S2030" s="6"/>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c r="BU2030" s="6"/>
      <c r="BV2030" s="6"/>
      <c r="BW2030" s="6"/>
      <c r="BX2030" s="6"/>
      <c r="BY2030" s="6"/>
      <c r="BZ2030" s="6"/>
      <c r="CA2030" s="6"/>
      <c r="CB2030" s="6"/>
      <c r="CC2030" s="6"/>
      <c r="CD2030" s="6"/>
      <c r="CE2030" s="6"/>
      <c r="CF2030" s="6"/>
      <c r="CG2030" s="6"/>
      <c r="CH2030" s="6"/>
      <c r="CI2030" s="6"/>
      <c r="CJ2030" s="6"/>
      <c r="CK2030" s="6"/>
      <c r="CL2030" s="6"/>
      <c r="CM2030" s="6"/>
      <c r="CN2030" s="6"/>
      <c r="CO2030" s="6"/>
      <c r="CP2030" s="6"/>
      <c r="CQ2030" s="6"/>
      <c r="CR2030" s="6"/>
      <c r="CS2030" s="6"/>
      <c r="CT2030" s="6"/>
      <c r="CU2030" s="6"/>
      <c r="CV2030" s="6"/>
      <c r="CW2030" s="6"/>
      <c r="CX2030" s="6"/>
      <c r="CY2030" s="6"/>
      <c r="CZ2030" s="6"/>
      <c r="DA2030" s="6"/>
      <c r="DB2030" s="6"/>
      <c r="DC2030" s="6"/>
      <c r="DD2030" s="6"/>
    </row>
    <row r="2031" spans="1:108" ht="12.75" hidden="1" customHeight="1" outlineLevel="6">
      <c r="A2031" s="104" t="s">
        <v>307</v>
      </c>
      <c r="B2031" s="28">
        <f>B1498</f>
        <v>0</v>
      </c>
      <c r="C2031" s="11"/>
      <c r="D2031" s="18" t="str">
        <f>"&lt;" &amp; A2031 &amp; "&gt;" &amp; TEXT(B2031,"0.000000") &amp; "&lt;/" &amp; A2031 &amp; "&gt;"</f>
        <v>&lt;Y_Off&gt;0.000000&lt;/Y_Off&gt;</v>
      </c>
      <c r="F2031" s="6"/>
      <c r="G2031" s="6"/>
      <c r="H2031" s="6"/>
      <c r="I2031" s="6"/>
      <c r="J2031" s="6"/>
      <c r="K2031" s="6"/>
      <c r="L2031" s="6"/>
      <c r="M2031" s="6"/>
      <c r="N2031" s="6"/>
      <c r="O2031" s="6"/>
      <c r="P2031" s="6"/>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c r="BU2031" s="6"/>
      <c r="BV2031" s="6"/>
      <c r="BW2031" s="6"/>
      <c r="BX2031" s="6"/>
      <c r="BY2031" s="6"/>
      <c r="BZ2031" s="6"/>
      <c r="CA2031" s="6"/>
      <c r="CB2031" s="6"/>
      <c r="CC2031" s="6"/>
      <c r="CD2031" s="6"/>
      <c r="CE2031" s="6"/>
      <c r="CF2031" s="6"/>
      <c r="CG2031" s="6"/>
      <c r="CH2031" s="6"/>
      <c r="CI2031" s="6"/>
      <c r="CJ2031" s="6"/>
      <c r="CK2031" s="6"/>
      <c r="CL2031" s="6"/>
      <c r="CM2031" s="6"/>
      <c r="CN2031" s="6"/>
      <c r="CO2031" s="6"/>
      <c r="CP2031" s="6"/>
      <c r="CQ2031" s="6"/>
      <c r="CR2031" s="6"/>
      <c r="CS2031" s="6"/>
      <c r="CT2031" s="6"/>
      <c r="CU2031" s="6"/>
      <c r="CV2031" s="6"/>
      <c r="CW2031" s="6"/>
      <c r="CX2031" s="6"/>
      <c r="CY2031" s="6"/>
      <c r="CZ2031" s="6"/>
      <c r="DA2031" s="6"/>
      <c r="DB2031" s="6"/>
      <c r="DC2031" s="6"/>
      <c r="DD2031" s="6"/>
    </row>
    <row r="2032" spans="1:108" ht="12.75" hidden="1" customHeight="1" outlineLevel="6">
      <c r="A2032" s="104" t="s">
        <v>287</v>
      </c>
      <c r="B2032" s="28">
        <f>B1499</f>
        <v>0.02</v>
      </c>
      <c r="C2032" s="11"/>
      <c r="D2032" s="18" t="str">
        <f>"&lt;" &amp; A2032 &amp; "&gt;" &amp; TEXT(B2032,"0.000000") &amp; "&lt;/" &amp; A2032 &amp; "&gt;"</f>
        <v>&lt;Chord&gt;0.020000&lt;/Chord&gt;</v>
      </c>
      <c r="F2032" s="6"/>
      <c r="G2032" s="6"/>
      <c r="H2032" s="6"/>
      <c r="I2032" s="6"/>
      <c r="J2032" s="6"/>
      <c r="K2032" s="6"/>
      <c r="L2032" s="6"/>
      <c r="M2032" s="6"/>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c r="BU2032" s="6"/>
      <c r="BV2032" s="6"/>
      <c r="BW2032" s="6"/>
      <c r="BX2032" s="6"/>
      <c r="BY2032" s="6"/>
      <c r="BZ2032" s="6"/>
      <c r="CA2032" s="6"/>
      <c r="CB2032" s="6"/>
      <c r="CC2032" s="6"/>
      <c r="CD2032" s="6"/>
      <c r="CE2032" s="6"/>
      <c r="CF2032" s="6"/>
      <c r="CG2032" s="6"/>
      <c r="CH2032" s="6"/>
      <c r="CI2032" s="6"/>
      <c r="CJ2032" s="6"/>
      <c r="CK2032" s="6"/>
      <c r="CL2032" s="6"/>
      <c r="CM2032" s="6"/>
      <c r="CN2032" s="6"/>
      <c r="CO2032" s="6"/>
      <c r="CP2032" s="6"/>
      <c r="CQ2032" s="6"/>
      <c r="CR2032" s="6"/>
      <c r="CS2032" s="6"/>
      <c r="CT2032" s="6"/>
      <c r="CU2032" s="6"/>
      <c r="CV2032" s="6"/>
      <c r="CW2032" s="6"/>
      <c r="CX2032" s="6"/>
      <c r="CY2032" s="6"/>
      <c r="CZ2032" s="6"/>
      <c r="DA2032" s="6"/>
      <c r="DB2032" s="6"/>
      <c r="DC2032" s="6"/>
      <c r="DD2032" s="6"/>
    </row>
    <row r="2033" spans="1:108" ht="12.75" hidden="1" customHeight="1" outlineLevel="6">
      <c r="A2033" s="104" t="s">
        <v>9</v>
      </c>
      <c r="B2033" s="28">
        <f>B1500</f>
        <v>2</v>
      </c>
      <c r="C2033" s="11"/>
      <c r="D2033" s="18" t="str">
        <f>"&lt;" &amp; A2033 &amp; "&gt;" &amp; TEXT(B2033,"0.000000") &amp; "&lt;/" &amp; A2033 &amp; "&gt;"</f>
        <v>&lt;Twist&gt;2.000000&lt;/Twist&gt;</v>
      </c>
      <c r="F2033" s="6"/>
      <c r="G2033" s="6"/>
      <c r="H2033" s="6"/>
      <c r="I2033" s="6"/>
      <c r="J2033" s="6"/>
      <c r="K2033" s="6"/>
      <c r="L2033" s="6"/>
      <c r="M2033" s="6"/>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c r="BU2033" s="6"/>
      <c r="BV2033" s="6"/>
      <c r="BW2033" s="6"/>
      <c r="BX2033" s="6"/>
      <c r="BY2033" s="6"/>
      <c r="BZ2033" s="6"/>
      <c r="CA2033" s="6"/>
      <c r="CB2033" s="6"/>
      <c r="CC2033" s="6"/>
      <c r="CD2033" s="6"/>
      <c r="CE2033" s="6"/>
      <c r="CF2033" s="6"/>
      <c r="CG2033" s="6"/>
      <c r="CH2033" s="6"/>
      <c r="CI2033" s="6"/>
      <c r="CJ2033" s="6"/>
      <c r="CK2033" s="6"/>
      <c r="CL2033" s="6"/>
      <c r="CM2033" s="6"/>
      <c r="CN2033" s="6"/>
      <c r="CO2033" s="6"/>
      <c r="CP2033" s="6"/>
      <c r="CQ2033" s="6"/>
      <c r="CR2033" s="6"/>
      <c r="CS2033" s="6"/>
      <c r="CT2033" s="6"/>
      <c r="CU2033" s="6"/>
      <c r="CV2033" s="6"/>
      <c r="CW2033" s="6"/>
      <c r="CX2033" s="6"/>
      <c r="CY2033" s="6"/>
      <c r="CZ2033" s="6"/>
      <c r="DA2033" s="6"/>
      <c r="DB2033" s="6"/>
      <c r="DC2033" s="6"/>
      <c r="DD2033" s="6"/>
    </row>
    <row r="2034" spans="1:108" ht="12.75" hidden="1" customHeight="1" outlineLevel="6">
      <c r="A2034" s="104" t="s">
        <v>2</v>
      </c>
      <c r="B2034" s="100"/>
      <c r="C2034" s="11"/>
      <c r="D2034" s="6" t="str">
        <f>"&lt;" &amp; A2034 &amp; "&gt;"</f>
        <v>&lt;Airfoil&gt;</v>
      </c>
      <c r="F2034" s="6"/>
      <c r="G2034" s="6"/>
      <c r="H2034" s="6"/>
      <c r="I2034" s="6"/>
      <c r="J2034" s="6"/>
      <c r="K2034" s="6"/>
      <c r="L2034" s="6"/>
      <c r="M2034" s="6"/>
      <c r="N2034" s="6"/>
      <c r="O2034" s="6"/>
      <c r="P2034" s="6"/>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c r="BU2034" s="6"/>
      <c r="BV2034" s="6"/>
      <c r="BW2034" s="6"/>
      <c r="BX2034" s="6"/>
      <c r="BY2034" s="6"/>
      <c r="BZ2034" s="6"/>
      <c r="CA2034" s="6"/>
      <c r="CB2034" s="6"/>
      <c r="CC2034" s="6"/>
      <c r="CD2034" s="6"/>
      <c r="CE2034" s="6"/>
      <c r="CF2034" s="6"/>
      <c r="CG2034" s="6"/>
      <c r="CH2034" s="6"/>
      <c r="CI2034" s="6"/>
      <c r="CJ2034" s="6"/>
      <c r="CK2034" s="6"/>
      <c r="CL2034" s="6"/>
      <c r="CM2034" s="6"/>
      <c r="CN2034" s="6"/>
      <c r="CO2034" s="6"/>
      <c r="CP2034" s="6"/>
      <c r="CQ2034" s="6"/>
      <c r="CR2034" s="6"/>
      <c r="CS2034" s="6"/>
      <c r="CT2034" s="6"/>
      <c r="CU2034" s="6"/>
      <c r="CV2034" s="6"/>
      <c r="CW2034" s="6"/>
      <c r="CX2034" s="6"/>
      <c r="CY2034" s="6"/>
      <c r="CZ2034" s="6"/>
      <c r="DA2034" s="6"/>
      <c r="DB2034" s="6"/>
      <c r="DC2034" s="6"/>
      <c r="DD2034" s="6"/>
    </row>
    <row r="2035" spans="1:108" ht="12.75" hidden="1" customHeight="1" outlineLevel="7">
      <c r="A2035" s="104" t="s">
        <v>14</v>
      </c>
      <c r="B2035" s="28">
        <f t="shared" ref="B2035:B2053" si="108">B1502</f>
        <v>1</v>
      </c>
      <c r="C2035" s="11"/>
      <c r="D2035" s="18" t="str">
        <f>"&lt;" &amp; A2035 &amp; "&gt;" &amp; TEXT(B2035,0) &amp; "&lt;/" &amp; A2035 &amp; "&gt;"</f>
        <v>&lt;Type&gt;1&lt;/Type&gt;</v>
      </c>
      <c r="F2035" s="6"/>
      <c r="G2035" s="6"/>
      <c r="H2035" s="6"/>
      <c r="I2035" s="6"/>
      <c r="J2035" s="6"/>
      <c r="K2035" s="6"/>
      <c r="L2035" s="6"/>
      <c r="M2035" s="6"/>
      <c r="N2035" s="6"/>
      <c r="O2035" s="6"/>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c r="BU2035" s="6"/>
      <c r="BV2035" s="6"/>
      <c r="BW2035" s="6"/>
      <c r="BX2035" s="6"/>
      <c r="BY2035" s="6"/>
      <c r="BZ2035" s="6"/>
      <c r="CA2035" s="6"/>
      <c r="CB2035" s="6"/>
      <c r="CC2035" s="6"/>
      <c r="CD2035" s="6"/>
      <c r="CE2035" s="6"/>
      <c r="CF2035" s="6"/>
      <c r="CG2035" s="6"/>
      <c r="CH2035" s="6"/>
      <c r="CI2035" s="6"/>
      <c r="CJ2035" s="6"/>
      <c r="CK2035" s="6"/>
      <c r="CL2035" s="6"/>
      <c r="CM2035" s="6"/>
      <c r="CN2035" s="6"/>
      <c r="CO2035" s="6"/>
      <c r="CP2035" s="6"/>
      <c r="CQ2035" s="6"/>
      <c r="CR2035" s="6"/>
      <c r="CS2035" s="6"/>
      <c r="CT2035" s="6"/>
      <c r="CU2035" s="6"/>
      <c r="CV2035" s="6"/>
      <c r="CW2035" s="6"/>
      <c r="CX2035" s="6"/>
      <c r="CY2035" s="6"/>
      <c r="CZ2035" s="6"/>
      <c r="DA2035" s="6"/>
      <c r="DB2035" s="6"/>
      <c r="DC2035" s="6"/>
      <c r="DD2035" s="6"/>
    </row>
    <row r="2036" spans="1:108" ht="12.75" hidden="1" customHeight="1" outlineLevel="7">
      <c r="A2036" s="104" t="s">
        <v>102</v>
      </c>
      <c r="B2036" s="28">
        <f t="shared" si="108"/>
        <v>0</v>
      </c>
      <c r="C2036" s="11"/>
      <c r="D2036" s="18" t="str">
        <f>"&lt;" &amp; A2036 &amp; "&gt;" &amp; TEXT(B2036,0) &amp; "&lt;/" &amp; A2036 &amp; "&gt;"</f>
        <v>&lt;Inverted_Flag&gt;0&lt;/Inverted_Flag&gt;</v>
      </c>
      <c r="F2036" s="6"/>
      <c r="G2036" s="6"/>
      <c r="H2036" s="6"/>
      <c r="I2036" s="6"/>
      <c r="J2036" s="6"/>
      <c r="K2036" s="6"/>
      <c r="L2036" s="6"/>
      <c r="M2036" s="6"/>
      <c r="N2036" s="6"/>
      <c r="O2036" s="6"/>
      <c r="P2036" s="6"/>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c r="BU2036" s="6"/>
      <c r="BV2036" s="6"/>
      <c r="BW2036" s="6"/>
      <c r="BX2036" s="6"/>
      <c r="BY2036" s="6"/>
      <c r="BZ2036" s="6"/>
      <c r="CA2036" s="6"/>
      <c r="CB2036" s="6"/>
      <c r="CC2036" s="6"/>
      <c r="CD2036" s="6"/>
      <c r="CE2036" s="6"/>
      <c r="CF2036" s="6"/>
      <c r="CG2036" s="6"/>
      <c r="CH2036" s="6"/>
      <c r="CI2036" s="6"/>
      <c r="CJ2036" s="6"/>
      <c r="CK2036" s="6"/>
      <c r="CL2036" s="6"/>
      <c r="CM2036" s="6"/>
      <c r="CN2036" s="6"/>
      <c r="CO2036" s="6"/>
      <c r="CP2036" s="6"/>
      <c r="CQ2036" s="6"/>
      <c r="CR2036" s="6"/>
      <c r="CS2036" s="6"/>
      <c r="CT2036" s="6"/>
      <c r="CU2036" s="6"/>
      <c r="CV2036" s="6"/>
      <c r="CW2036" s="6"/>
      <c r="CX2036" s="6"/>
      <c r="CY2036" s="6"/>
      <c r="CZ2036" s="6"/>
      <c r="DA2036" s="6"/>
      <c r="DB2036" s="6"/>
      <c r="DC2036" s="6"/>
      <c r="DD2036" s="6"/>
    </row>
    <row r="2037" spans="1:108" ht="12.75" hidden="1" customHeight="1" outlineLevel="7">
      <c r="A2037" s="104" t="s">
        <v>4</v>
      </c>
      <c r="B2037" s="28">
        <f t="shared" si="108"/>
        <v>0</v>
      </c>
      <c r="C2037" s="11"/>
      <c r="D2037" s="18" t="str">
        <f t="shared" ref="D2037:D2042" si="109">"&lt;" &amp; A2037 &amp; "&gt;" &amp; TEXT(B2037,"0.000000") &amp; "&lt;/" &amp; A2037 &amp; "&gt;"</f>
        <v>&lt;Camber&gt;0.000000&lt;/Camber&gt;</v>
      </c>
      <c r="F2037" s="6"/>
      <c r="G2037" s="6"/>
      <c r="H2037" s="6"/>
      <c r="I2037" s="6"/>
      <c r="J2037" s="6"/>
      <c r="K2037" s="6"/>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c r="BU2037" s="6"/>
      <c r="BV2037" s="6"/>
      <c r="BW2037" s="6"/>
      <c r="BX2037" s="6"/>
      <c r="BY2037" s="6"/>
      <c r="BZ2037" s="6"/>
      <c r="CA2037" s="6"/>
      <c r="CB2037" s="6"/>
      <c r="CC2037" s="6"/>
      <c r="CD2037" s="6"/>
      <c r="CE2037" s="6"/>
      <c r="CF2037" s="6"/>
      <c r="CG2037" s="6"/>
      <c r="CH2037" s="6"/>
      <c r="CI2037" s="6"/>
      <c r="CJ2037" s="6"/>
      <c r="CK2037" s="6"/>
      <c r="CL2037" s="6"/>
      <c r="CM2037" s="6"/>
      <c r="CN2037" s="6"/>
      <c r="CO2037" s="6"/>
      <c r="CP2037" s="6"/>
      <c r="CQ2037" s="6"/>
      <c r="CR2037" s="6"/>
      <c r="CS2037" s="6"/>
      <c r="CT2037" s="6"/>
      <c r="CU2037" s="6"/>
      <c r="CV2037" s="6"/>
      <c r="CW2037" s="6"/>
      <c r="CX2037" s="6"/>
      <c r="CY2037" s="6"/>
      <c r="CZ2037" s="6"/>
      <c r="DA2037" s="6"/>
      <c r="DB2037" s="6"/>
      <c r="DC2037" s="6"/>
      <c r="DD2037" s="6"/>
    </row>
    <row r="2038" spans="1:108" ht="12.75" hidden="1" customHeight="1" outlineLevel="7">
      <c r="A2038" s="104" t="s">
        <v>103</v>
      </c>
      <c r="B2038" s="28">
        <f t="shared" si="108"/>
        <v>0.5</v>
      </c>
      <c r="C2038" s="11"/>
      <c r="D2038" s="18" t="str">
        <f t="shared" si="109"/>
        <v>&lt;Camber_Loc&gt;0.500000&lt;/Camber_Loc&gt;</v>
      </c>
      <c r="F2038" s="6"/>
      <c r="G2038" s="6"/>
      <c r="H2038" s="6"/>
      <c r="I2038" s="6"/>
      <c r="J2038" s="6"/>
      <c r="K2038" s="6"/>
      <c r="L2038" s="6"/>
      <c r="M2038" s="6"/>
      <c r="N2038" s="6"/>
      <c r="O2038" s="6"/>
      <c r="P2038" s="6"/>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c r="BU2038" s="6"/>
      <c r="BV2038" s="6"/>
      <c r="BW2038" s="6"/>
      <c r="BX2038" s="6"/>
      <c r="BY2038" s="6"/>
      <c r="BZ2038" s="6"/>
      <c r="CA2038" s="6"/>
      <c r="CB2038" s="6"/>
      <c r="CC2038" s="6"/>
      <c r="CD2038" s="6"/>
      <c r="CE2038" s="6"/>
      <c r="CF2038" s="6"/>
      <c r="CG2038" s="6"/>
      <c r="CH2038" s="6"/>
      <c r="CI2038" s="6"/>
      <c r="CJ2038" s="6"/>
      <c r="CK2038" s="6"/>
      <c r="CL2038" s="6"/>
      <c r="CM2038" s="6"/>
      <c r="CN2038" s="6"/>
      <c r="CO2038" s="6"/>
      <c r="CP2038" s="6"/>
      <c r="CQ2038" s="6"/>
      <c r="CR2038" s="6"/>
      <c r="CS2038" s="6"/>
      <c r="CT2038" s="6"/>
      <c r="CU2038" s="6"/>
      <c r="CV2038" s="6"/>
      <c r="CW2038" s="6"/>
      <c r="CX2038" s="6"/>
      <c r="CY2038" s="6"/>
      <c r="CZ2038" s="6"/>
      <c r="DA2038" s="6"/>
      <c r="DB2038" s="6"/>
      <c r="DC2038" s="6"/>
      <c r="DD2038" s="6"/>
    </row>
    <row r="2039" spans="1:108" ht="12.75" hidden="1" customHeight="1" outlineLevel="7">
      <c r="A2039" s="104" t="s">
        <v>5</v>
      </c>
      <c r="B2039" s="28">
        <f t="shared" si="108"/>
        <v>0.2</v>
      </c>
      <c r="C2039" s="11"/>
      <c r="D2039" s="18" t="str">
        <f t="shared" si="109"/>
        <v>&lt;Thickness&gt;0.200000&lt;/Thickness&gt;</v>
      </c>
      <c r="F2039" s="6"/>
      <c r="G2039" s="6"/>
      <c r="H2039" s="6"/>
      <c r="I2039" s="6"/>
      <c r="J2039" s="6"/>
      <c r="K2039" s="6"/>
      <c r="L2039" s="6"/>
      <c r="M2039" s="6"/>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c r="BU2039" s="6"/>
      <c r="BV2039" s="6"/>
      <c r="BW2039" s="6"/>
      <c r="BX2039" s="6"/>
      <c r="BY2039" s="6"/>
      <c r="BZ2039" s="6"/>
      <c r="CA2039" s="6"/>
      <c r="CB2039" s="6"/>
      <c r="CC2039" s="6"/>
      <c r="CD2039" s="6"/>
      <c r="CE2039" s="6"/>
      <c r="CF2039" s="6"/>
      <c r="CG2039" s="6"/>
      <c r="CH2039" s="6"/>
      <c r="CI2039" s="6"/>
      <c r="CJ2039" s="6"/>
      <c r="CK2039" s="6"/>
      <c r="CL2039" s="6"/>
      <c r="CM2039" s="6"/>
      <c r="CN2039" s="6"/>
      <c r="CO2039" s="6"/>
      <c r="CP2039" s="6"/>
      <c r="CQ2039" s="6"/>
      <c r="CR2039" s="6"/>
      <c r="CS2039" s="6"/>
      <c r="CT2039" s="6"/>
      <c r="CU2039" s="6"/>
      <c r="CV2039" s="6"/>
      <c r="CW2039" s="6"/>
      <c r="CX2039" s="6"/>
      <c r="CY2039" s="6"/>
      <c r="CZ2039" s="6"/>
      <c r="DA2039" s="6"/>
      <c r="DB2039" s="6"/>
      <c r="DC2039" s="6"/>
      <c r="DD2039" s="6"/>
    </row>
    <row r="2040" spans="1:108" ht="12.75" hidden="1" customHeight="1" outlineLevel="7">
      <c r="A2040" s="104" t="s">
        <v>104</v>
      </c>
      <c r="B2040" s="28">
        <f t="shared" si="108"/>
        <v>0.3</v>
      </c>
      <c r="C2040" s="11"/>
      <c r="D2040" s="18" t="str">
        <f t="shared" si="109"/>
        <v>&lt;Thickness_Loc&gt;0.300000&lt;/Thickness_Loc&gt;</v>
      </c>
      <c r="F2040" s="6"/>
      <c r="G2040" s="6"/>
      <c r="H2040" s="6"/>
      <c r="I2040" s="6"/>
      <c r="J2040" s="6"/>
      <c r="K2040" s="6"/>
      <c r="L2040" s="6"/>
      <c r="M2040" s="6"/>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c r="BU2040" s="6"/>
      <c r="BV2040" s="6"/>
      <c r="BW2040" s="6"/>
      <c r="BX2040" s="6"/>
      <c r="BY2040" s="6"/>
      <c r="BZ2040" s="6"/>
      <c r="CA2040" s="6"/>
      <c r="CB2040" s="6"/>
      <c r="CC2040" s="6"/>
      <c r="CD2040" s="6"/>
      <c r="CE2040" s="6"/>
      <c r="CF2040" s="6"/>
      <c r="CG2040" s="6"/>
      <c r="CH2040" s="6"/>
      <c r="CI2040" s="6"/>
      <c r="CJ2040" s="6"/>
      <c r="CK2040" s="6"/>
      <c r="CL2040" s="6"/>
      <c r="CM2040" s="6"/>
      <c r="CN2040" s="6"/>
      <c r="CO2040" s="6"/>
      <c r="CP2040" s="6"/>
      <c r="CQ2040" s="6"/>
      <c r="CR2040" s="6"/>
      <c r="CS2040" s="6"/>
      <c r="CT2040" s="6"/>
      <c r="CU2040" s="6"/>
      <c r="CV2040" s="6"/>
      <c r="CW2040" s="6"/>
      <c r="CX2040" s="6"/>
      <c r="CY2040" s="6"/>
      <c r="CZ2040" s="6"/>
      <c r="DA2040" s="6"/>
      <c r="DB2040" s="6"/>
      <c r="DC2040" s="6"/>
      <c r="DD2040" s="6"/>
    </row>
    <row r="2041" spans="1:108" ht="12.75" hidden="1" customHeight="1" outlineLevel="7">
      <c r="A2041" s="104" t="s">
        <v>105</v>
      </c>
      <c r="B2041" s="28">
        <f t="shared" si="108"/>
        <v>4.4075999999999997E-2</v>
      </c>
      <c r="C2041" s="11"/>
      <c r="D2041" s="18" t="str">
        <f t="shared" si="109"/>
        <v>&lt;Radius_Le&gt;0.044076&lt;/Radius_Le&gt;</v>
      </c>
      <c r="F2041" s="6"/>
      <c r="G2041" s="6"/>
      <c r="H2041" s="6"/>
      <c r="I2041" s="6"/>
      <c r="J2041" s="6"/>
      <c r="K2041" s="6"/>
      <c r="L2041" s="6"/>
      <c r="M2041" s="6"/>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c r="BU2041" s="6"/>
      <c r="BV2041" s="6"/>
      <c r="BW2041" s="6"/>
      <c r="BX2041" s="6"/>
      <c r="BY2041" s="6"/>
      <c r="BZ2041" s="6"/>
      <c r="CA2041" s="6"/>
      <c r="CB2041" s="6"/>
      <c r="CC2041" s="6"/>
      <c r="CD2041" s="6"/>
      <c r="CE2041" s="6"/>
      <c r="CF2041" s="6"/>
      <c r="CG2041" s="6"/>
      <c r="CH2041" s="6"/>
      <c r="CI2041" s="6"/>
      <c r="CJ2041" s="6"/>
      <c r="CK2041" s="6"/>
      <c r="CL2041" s="6"/>
      <c r="CM2041" s="6"/>
      <c r="CN2041" s="6"/>
      <c r="CO2041" s="6"/>
      <c r="CP2041" s="6"/>
      <c r="CQ2041" s="6"/>
      <c r="CR2041" s="6"/>
      <c r="CS2041" s="6"/>
      <c r="CT2041" s="6"/>
      <c r="CU2041" s="6"/>
      <c r="CV2041" s="6"/>
      <c r="CW2041" s="6"/>
      <c r="CX2041" s="6"/>
      <c r="CY2041" s="6"/>
      <c r="CZ2041" s="6"/>
      <c r="DA2041" s="6"/>
      <c r="DB2041" s="6"/>
      <c r="DC2041" s="6"/>
      <c r="DD2041" s="6"/>
    </row>
    <row r="2042" spans="1:108" ht="12.75" hidden="1" customHeight="1" outlineLevel="7">
      <c r="A2042" s="104" t="s">
        <v>106</v>
      </c>
      <c r="B2042" s="28">
        <f t="shared" si="108"/>
        <v>0</v>
      </c>
      <c r="C2042" s="11"/>
      <c r="D2042" s="18" t="str">
        <f t="shared" si="109"/>
        <v>&lt;Radius_Te&gt;0.000000&lt;/Radius_Te&gt;</v>
      </c>
      <c r="F2042" s="6"/>
      <c r="G2042" s="6"/>
      <c r="H2042" s="6"/>
      <c r="I2042" s="6"/>
      <c r="J2042" s="6"/>
      <c r="K2042" s="6"/>
      <c r="L2042" s="6"/>
      <c r="M2042" s="6"/>
      <c r="N2042" s="6"/>
      <c r="O2042" s="6"/>
      <c r="P2042" s="6"/>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c r="BU2042" s="6"/>
      <c r="BV2042" s="6"/>
      <c r="BW2042" s="6"/>
      <c r="BX2042" s="6"/>
      <c r="BY2042" s="6"/>
      <c r="BZ2042" s="6"/>
      <c r="CA2042" s="6"/>
      <c r="CB2042" s="6"/>
      <c r="CC2042" s="6"/>
      <c r="CD2042" s="6"/>
      <c r="CE2042" s="6"/>
      <c r="CF2042" s="6"/>
      <c r="CG2042" s="6"/>
      <c r="CH2042" s="6"/>
      <c r="CI2042" s="6"/>
      <c r="CJ2042" s="6"/>
      <c r="CK2042" s="6"/>
      <c r="CL2042" s="6"/>
      <c r="CM2042" s="6"/>
      <c r="CN2042" s="6"/>
      <c r="CO2042" s="6"/>
      <c r="CP2042" s="6"/>
      <c r="CQ2042" s="6"/>
      <c r="CR2042" s="6"/>
      <c r="CS2042" s="6"/>
      <c r="CT2042" s="6"/>
      <c r="CU2042" s="6"/>
      <c r="CV2042" s="6"/>
      <c r="CW2042" s="6"/>
      <c r="CX2042" s="6"/>
      <c r="CY2042" s="6"/>
      <c r="CZ2042" s="6"/>
      <c r="DA2042" s="6"/>
      <c r="DB2042" s="6"/>
      <c r="DC2042" s="6"/>
      <c r="DD2042" s="6"/>
    </row>
    <row r="2043" spans="1:108" ht="12.75" hidden="1" customHeight="1" outlineLevel="7">
      <c r="A2043" s="104" t="s">
        <v>107</v>
      </c>
      <c r="B2043" s="28">
        <f t="shared" si="108"/>
        <v>63</v>
      </c>
      <c r="C2043" s="11"/>
      <c r="D2043" s="18" t="str">
        <f>"&lt;" &amp; A2043 &amp; "&gt;" &amp; TEXT(B2043,0) &amp; "&lt;/" &amp; A2043 &amp; "&gt;"</f>
        <v>&lt;Six_Series&gt;63&lt;/Six_Series&gt;</v>
      </c>
      <c r="F2043" s="6"/>
      <c r="G2043" s="6"/>
      <c r="H2043" s="6"/>
      <c r="I2043" s="6"/>
      <c r="J2043" s="6"/>
      <c r="K2043" s="6"/>
      <c r="L2043" s="6"/>
      <c r="M2043" s="6"/>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c r="BU2043" s="6"/>
      <c r="BV2043" s="6"/>
      <c r="BW2043" s="6"/>
      <c r="BX2043" s="6"/>
      <c r="BY2043" s="6"/>
      <c r="BZ2043" s="6"/>
      <c r="CA2043" s="6"/>
      <c r="CB2043" s="6"/>
      <c r="CC2043" s="6"/>
      <c r="CD2043" s="6"/>
      <c r="CE2043" s="6"/>
      <c r="CF2043" s="6"/>
      <c r="CG2043" s="6"/>
      <c r="CH2043" s="6"/>
      <c r="CI2043" s="6"/>
      <c r="CJ2043" s="6"/>
      <c r="CK2043" s="6"/>
      <c r="CL2043" s="6"/>
      <c r="CM2043" s="6"/>
      <c r="CN2043" s="6"/>
      <c r="CO2043" s="6"/>
      <c r="CP2043" s="6"/>
      <c r="CQ2043" s="6"/>
      <c r="CR2043" s="6"/>
      <c r="CS2043" s="6"/>
      <c r="CT2043" s="6"/>
      <c r="CU2043" s="6"/>
      <c r="CV2043" s="6"/>
      <c r="CW2043" s="6"/>
      <c r="CX2043" s="6"/>
      <c r="CY2043" s="6"/>
      <c r="CZ2043" s="6"/>
      <c r="DA2043" s="6"/>
      <c r="DB2043" s="6"/>
      <c r="DC2043" s="6"/>
      <c r="DD2043" s="6"/>
    </row>
    <row r="2044" spans="1:108" ht="12.75" hidden="1" customHeight="1" outlineLevel="7">
      <c r="A2044" s="104" t="s">
        <v>108</v>
      </c>
      <c r="B2044" s="28">
        <f t="shared" si="108"/>
        <v>0</v>
      </c>
      <c r="C2044" s="11"/>
      <c r="D2044" s="18" t="str">
        <f>"&lt;" &amp; A2044 &amp; "&gt;" &amp; TEXT(B2044,"0.000000") &amp; "&lt;/" &amp; A2044 &amp; "&gt;"</f>
        <v>&lt;Ideal_Cl&gt;0.000000&lt;/Ideal_Cl&gt;</v>
      </c>
      <c r="F2044" s="6"/>
      <c r="G2044" s="6"/>
      <c r="H2044" s="6"/>
      <c r="I2044" s="6"/>
      <c r="J2044" s="6"/>
      <c r="K2044" s="6"/>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c r="BU2044" s="6"/>
      <c r="BV2044" s="6"/>
      <c r="BW2044" s="6"/>
      <c r="BX2044" s="6"/>
      <c r="BY2044" s="6"/>
      <c r="BZ2044" s="6"/>
      <c r="CA2044" s="6"/>
      <c r="CB2044" s="6"/>
      <c r="CC2044" s="6"/>
      <c r="CD2044" s="6"/>
      <c r="CE2044" s="6"/>
      <c r="CF2044" s="6"/>
      <c r="CG2044" s="6"/>
      <c r="CH2044" s="6"/>
      <c r="CI2044" s="6"/>
      <c r="CJ2044" s="6"/>
      <c r="CK2044" s="6"/>
      <c r="CL2044" s="6"/>
      <c r="CM2044" s="6"/>
      <c r="CN2044" s="6"/>
      <c r="CO2044" s="6"/>
      <c r="CP2044" s="6"/>
      <c r="CQ2044" s="6"/>
      <c r="CR2044" s="6"/>
      <c r="CS2044" s="6"/>
      <c r="CT2044" s="6"/>
      <c r="CU2044" s="6"/>
      <c r="CV2044" s="6"/>
      <c r="CW2044" s="6"/>
      <c r="CX2044" s="6"/>
      <c r="CY2044" s="6"/>
      <c r="CZ2044" s="6"/>
      <c r="DA2044" s="6"/>
      <c r="DB2044" s="6"/>
      <c r="DC2044" s="6"/>
      <c r="DD2044" s="6"/>
    </row>
    <row r="2045" spans="1:108" ht="12.75" hidden="1" customHeight="1" outlineLevel="7">
      <c r="A2045" s="104" t="s">
        <v>109</v>
      </c>
      <c r="B2045" s="28">
        <f t="shared" si="108"/>
        <v>0</v>
      </c>
      <c r="C2045" s="11"/>
      <c r="D2045" s="18" t="str">
        <f>"&lt;" &amp; A2045 &amp; "&gt;" &amp; TEXT(B2045,"0.000000") &amp; "&lt;/" &amp; A2045 &amp; "&gt;"</f>
        <v>&lt;A&gt;0.000000&lt;/A&gt;</v>
      </c>
      <c r="F2045" s="6"/>
      <c r="G2045" s="6"/>
      <c r="H2045" s="6"/>
      <c r="I2045" s="6"/>
      <c r="J2045" s="6"/>
      <c r="K2045" s="6"/>
      <c r="L2045" s="6"/>
      <c r="M2045" s="6"/>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c r="BU2045" s="6"/>
      <c r="BV2045" s="6"/>
      <c r="BW2045" s="6"/>
      <c r="BX2045" s="6"/>
      <c r="BY2045" s="6"/>
      <c r="BZ2045" s="6"/>
      <c r="CA2045" s="6"/>
      <c r="CB2045" s="6"/>
      <c r="CC2045" s="6"/>
      <c r="CD2045" s="6"/>
      <c r="CE2045" s="6"/>
      <c r="CF2045" s="6"/>
      <c r="CG2045" s="6"/>
      <c r="CH2045" s="6"/>
      <c r="CI2045" s="6"/>
      <c r="CJ2045" s="6"/>
      <c r="CK2045" s="6"/>
      <c r="CL2045" s="6"/>
      <c r="CM2045" s="6"/>
      <c r="CN2045" s="6"/>
      <c r="CO2045" s="6"/>
      <c r="CP2045" s="6"/>
      <c r="CQ2045" s="6"/>
      <c r="CR2045" s="6"/>
      <c r="CS2045" s="6"/>
      <c r="CT2045" s="6"/>
      <c r="CU2045" s="6"/>
      <c r="CV2045" s="6"/>
      <c r="CW2045" s="6"/>
      <c r="CX2045" s="6"/>
      <c r="CY2045" s="6"/>
      <c r="CZ2045" s="6"/>
      <c r="DA2045" s="6"/>
      <c r="DB2045" s="6"/>
      <c r="DC2045" s="6"/>
      <c r="DD2045" s="6"/>
    </row>
    <row r="2046" spans="1:108" ht="12.75" hidden="1" customHeight="1" outlineLevel="7">
      <c r="A2046" s="104" t="s">
        <v>110</v>
      </c>
      <c r="B2046" s="28">
        <f t="shared" si="108"/>
        <v>0</v>
      </c>
      <c r="C2046" s="11"/>
      <c r="D2046" s="18" t="str">
        <f>"&lt;" &amp; A2046 &amp; "&gt;" &amp; TEXT(B2046,0) &amp; "&lt;/" &amp; A2046 &amp; "&gt;"</f>
        <v>&lt;Slat_Flag&gt;0&lt;/Slat_Flag&gt;</v>
      </c>
      <c r="F2046" s="6"/>
      <c r="G2046" s="6"/>
      <c r="H2046" s="6"/>
      <c r="I2046" s="6"/>
      <c r="J2046" s="6"/>
      <c r="K2046" s="6"/>
      <c r="L2046" s="6"/>
      <c r="M2046" s="6"/>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c r="BU2046" s="6"/>
      <c r="BV2046" s="6"/>
      <c r="BW2046" s="6"/>
      <c r="BX2046" s="6"/>
      <c r="BY2046" s="6"/>
      <c r="BZ2046" s="6"/>
      <c r="CA2046" s="6"/>
      <c r="CB2046" s="6"/>
      <c r="CC2046" s="6"/>
      <c r="CD2046" s="6"/>
      <c r="CE2046" s="6"/>
      <c r="CF2046" s="6"/>
      <c r="CG2046" s="6"/>
      <c r="CH2046" s="6"/>
      <c r="CI2046" s="6"/>
      <c r="CJ2046" s="6"/>
      <c r="CK2046" s="6"/>
      <c r="CL2046" s="6"/>
      <c r="CM2046" s="6"/>
      <c r="CN2046" s="6"/>
      <c r="CO2046" s="6"/>
      <c r="CP2046" s="6"/>
      <c r="CQ2046" s="6"/>
      <c r="CR2046" s="6"/>
      <c r="CS2046" s="6"/>
      <c r="CT2046" s="6"/>
      <c r="CU2046" s="6"/>
      <c r="CV2046" s="6"/>
      <c r="CW2046" s="6"/>
      <c r="CX2046" s="6"/>
      <c r="CY2046" s="6"/>
      <c r="CZ2046" s="6"/>
      <c r="DA2046" s="6"/>
      <c r="DB2046" s="6"/>
      <c r="DC2046" s="6"/>
      <c r="DD2046" s="6"/>
    </row>
    <row r="2047" spans="1:108" ht="12.75" hidden="1" customHeight="1" outlineLevel="7">
      <c r="A2047" s="104" t="s">
        <v>111</v>
      </c>
      <c r="B2047" s="28">
        <f t="shared" si="108"/>
        <v>0</v>
      </c>
      <c r="C2047" s="11"/>
      <c r="D2047" s="18" t="str">
        <f>"&lt;" &amp; A2047 &amp; "&gt;" &amp; TEXT(B2047,0) &amp; "&lt;/" &amp; A2047 &amp; "&gt;"</f>
        <v>&lt;Slat_Shear_Flag&gt;0&lt;/Slat_Shear_Flag&gt;</v>
      </c>
      <c r="F2047" s="6"/>
      <c r="G2047" s="6"/>
      <c r="H2047" s="6"/>
      <c r="I2047" s="6"/>
      <c r="J2047" s="6"/>
      <c r="K2047" s="6"/>
      <c r="L2047" s="6"/>
      <c r="M2047" s="6"/>
      <c r="N2047" s="6"/>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c r="BU2047" s="6"/>
      <c r="BV2047" s="6"/>
      <c r="BW2047" s="6"/>
      <c r="BX2047" s="6"/>
      <c r="BY2047" s="6"/>
      <c r="BZ2047" s="6"/>
      <c r="CA2047" s="6"/>
      <c r="CB2047" s="6"/>
      <c r="CC2047" s="6"/>
      <c r="CD2047" s="6"/>
      <c r="CE2047" s="6"/>
      <c r="CF2047" s="6"/>
      <c r="CG2047" s="6"/>
      <c r="CH2047" s="6"/>
      <c r="CI2047" s="6"/>
      <c r="CJ2047" s="6"/>
      <c r="CK2047" s="6"/>
      <c r="CL2047" s="6"/>
      <c r="CM2047" s="6"/>
      <c r="CN2047" s="6"/>
      <c r="CO2047" s="6"/>
      <c r="CP2047" s="6"/>
      <c r="CQ2047" s="6"/>
      <c r="CR2047" s="6"/>
      <c r="CS2047" s="6"/>
      <c r="CT2047" s="6"/>
      <c r="CU2047" s="6"/>
      <c r="CV2047" s="6"/>
      <c r="CW2047" s="6"/>
      <c r="CX2047" s="6"/>
      <c r="CY2047" s="6"/>
      <c r="CZ2047" s="6"/>
      <c r="DA2047" s="6"/>
      <c r="DB2047" s="6"/>
      <c r="DC2047" s="6"/>
      <c r="DD2047" s="6"/>
    </row>
    <row r="2048" spans="1:108" ht="12.75" hidden="1" customHeight="1" outlineLevel="7">
      <c r="A2048" s="104" t="s">
        <v>112</v>
      </c>
      <c r="B2048" s="28">
        <f t="shared" si="108"/>
        <v>0.25</v>
      </c>
      <c r="C2048" s="11"/>
      <c r="D2048" s="18" t="str">
        <f>"&lt;" &amp; A2048 &amp; "&gt;" &amp; TEXT(B2048,"0.000000") &amp; "&lt;/" &amp; A2048 &amp; "&gt;"</f>
        <v>&lt;Slat_Chord&gt;0.250000&lt;/Slat_Chord&gt;</v>
      </c>
      <c r="F2048" s="6"/>
      <c r="G2048" s="6"/>
      <c r="H2048" s="6"/>
      <c r="I2048" s="6"/>
      <c r="J2048" s="6"/>
      <c r="K2048" s="6"/>
      <c r="L2048" s="6"/>
      <c r="M2048" s="6"/>
      <c r="N2048" s="6"/>
      <c r="O2048" s="6"/>
      <c r="P2048" s="6"/>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c r="BU2048" s="6"/>
      <c r="BV2048" s="6"/>
      <c r="BW2048" s="6"/>
      <c r="BX2048" s="6"/>
      <c r="BY2048" s="6"/>
      <c r="BZ2048" s="6"/>
      <c r="CA2048" s="6"/>
      <c r="CB2048" s="6"/>
      <c r="CC2048" s="6"/>
      <c r="CD2048" s="6"/>
      <c r="CE2048" s="6"/>
      <c r="CF2048" s="6"/>
      <c r="CG2048" s="6"/>
      <c r="CH2048" s="6"/>
      <c r="CI2048" s="6"/>
      <c r="CJ2048" s="6"/>
      <c r="CK2048" s="6"/>
      <c r="CL2048" s="6"/>
      <c r="CM2048" s="6"/>
      <c r="CN2048" s="6"/>
      <c r="CO2048" s="6"/>
      <c r="CP2048" s="6"/>
      <c r="CQ2048" s="6"/>
      <c r="CR2048" s="6"/>
      <c r="CS2048" s="6"/>
      <c r="CT2048" s="6"/>
      <c r="CU2048" s="6"/>
      <c r="CV2048" s="6"/>
      <c r="CW2048" s="6"/>
      <c r="CX2048" s="6"/>
      <c r="CY2048" s="6"/>
      <c r="CZ2048" s="6"/>
      <c r="DA2048" s="6"/>
      <c r="DB2048" s="6"/>
      <c r="DC2048" s="6"/>
      <c r="DD2048" s="6"/>
    </row>
    <row r="2049" spans="1:108" ht="12.75" hidden="1" customHeight="1" outlineLevel="7">
      <c r="A2049" s="104" t="s">
        <v>113</v>
      </c>
      <c r="B2049" s="28">
        <f t="shared" si="108"/>
        <v>10</v>
      </c>
      <c r="C2049" s="11"/>
      <c r="D2049" s="18" t="str">
        <f>"&lt;" &amp; A2049 &amp; "&gt;" &amp; TEXT(B2049,"0.000000") &amp; "&lt;/" &amp; A2049 &amp; "&gt;"</f>
        <v>&lt;Slat_Angle&gt;10.000000&lt;/Slat_Angle&gt;</v>
      </c>
      <c r="F2049" s="6"/>
      <c r="G2049" s="6"/>
      <c r="H2049" s="6"/>
      <c r="I2049" s="6"/>
      <c r="J2049" s="6"/>
      <c r="K2049" s="6"/>
      <c r="L2049" s="6"/>
      <c r="M2049" s="6"/>
      <c r="N2049" s="6"/>
      <c r="O2049" s="6"/>
      <c r="P2049" s="6"/>
      <c r="Q2049" s="6"/>
      <c r="R2049" s="6"/>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c r="BU2049" s="6"/>
      <c r="BV2049" s="6"/>
      <c r="BW2049" s="6"/>
      <c r="BX2049" s="6"/>
      <c r="BY2049" s="6"/>
      <c r="BZ2049" s="6"/>
      <c r="CA2049" s="6"/>
      <c r="CB2049" s="6"/>
      <c r="CC2049" s="6"/>
      <c r="CD2049" s="6"/>
      <c r="CE2049" s="6"/>
      <c r="CF2049" s="6"/>
      <c r="CG2049" s="6"/>
      <c r="CH2049" s="6"/>
      <c r="CI2049" s="6"/>
      <c r="CJ2049" s="6"/>
      <c r="CK2049" s="6"/>
      <c r="CL2049" s="6"/>
      <c r="CM2049" s="6"/>
      <c r="CN2049" s="6"/>
      <c r="CO2049" s="6"/>
      <c r="CP2049" s="6"/>
      <c r="CQ2049" s="6"/>
      <c r="CR2049" s="6"/>
      <c r="CS2049" s="6"/>
      <c r="CT2049" s="6"/>
      <c r="CU2049" s="6"/>
      <c r="CV2049" s="6"/>
      <c r="CW2049" s="6"/>
      <c r="CX2049" s="6"/>
      <c r="CY2049" s="6"/>
      <c r="CZ2049" s="6"/>
      <c r="DA2049" s="6"/>
      <c r="DB2049" s="6"/>
      <c r="DC2049" s="6"/>
      <c r="DD2049" s="6"/>
    </row>
    <row r="2050" spans="1:108" ht="12.75" hidden="1" customHeight="1" outlineLevel="7">
      <c r="A2050" s="104" t="s">
        <v>114</v>
      </c>
      <c r="B2050" s="28">
        <f t="shared" si="108"/>
        <v>0</v>
      </c>
      <c r="C2050" s="11"/>
      <c r="D2050" s="18" t="str">
        <f>"&lt;" &amp; A2050 &amp; "&gt;" &amp; TEXT(B2050,0) &amp; "&lt;/" &amp; A2050 &amp; "&gt;"</f>
        <v>&lt;Flap_Flag&gt;0&lt;/Flap_Flag&gt;</v>
      </c>
      <c r="F2050" s="6"/>
      <c r="G2050" s="6"/>
      <c r="H2050" s="6"/>
      <c r="I2050" s="6"/>
      <c r="J2050" s="6"/>
      <c r="K2050" s="6"/>
      <c r="L2050" s="6"/>
      <c r="M2050" s="6"/>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c r="BU2050" s="6"/>
      <c r="BV2050" s="6"/>
      <c r="BW2050" s="6"/>
      <c r="BX2050" s="6"/>
      <c r="BY2050" s="6"/>
      <c r="BZ2050" s="6"/>
      <c r="CA2050" s="6"/>
      <c r="CB2050" s="6"/>
      <c r="CC2050" s="6"/>
      <c r="CD2050" s="6"/>
      <c r="CE2050" s="6"/>
      <c r="CF2050" s="6"/>
      <c r="CG2050" s="6"/>
      <c r="CH2050" s="6"/>
      <c r="CI2050" s="6"/>
      <c r="CJ2050" s="6"/>
      <c r="CK2050" s="6"/>
      <c r="CL2050" s="6"/>
      <c r="CM2050" s="6"/>
      <c r="CN2050" s="6"/>
      <c r="CO2050" s="6"/>
      <c r="CP2050" s="6"/>
      <c r="CQ2050" s="6"/>
      <c r="CR2050" s="6"/>
      <c r="CS2050" s="6"/>
      <c r="CT2050" s="6"/>
      <c r="CU2050" s="6"/>
      <c r="CV2050" s="6"/>
      <c r="CW2050" s="6"/>
      <c r="CX2050" s="6"/>
      <c r="CY2050" s="6"/>
      <c r="CZ2050" s="6"/>
      <c r="DA2050" s="6"/>
      <c r="DB2050" s="6"/>
      <c r="DC2050" s="6"/>
      <c r="DD2050" s="6"/>
    </row>
    <row r="2051" spans="1:108" ht="12.75" hidden="1" customHeight="1" outlineLevel="7">
      <c r="A2051" s="104" t="s">
        <v>115</v>
      </c>
      <c r="B2051" s="28">
        <f t="shared" si="108"/>
        <v>0</v>
      </c>
      <c r="C2051" s="11"/>
      <c r="D2051" s="18" t="str">
        <f>"&lt;" &amp; A2051 &amp; "&gt;" &amp; TEXT(B2051,0) &amp; "&lt;/" &amp; A2051 &amp; "&gt;"</f>
        <v>&lt;Flap_Shear_Flag&gt;0&lt;/Flap_Shear_Flag&gt;</v>
      </c>
      <c r="F2051" s="6"/>
      <c r="G2051" s="6"/>
      <c r="H2051" s="6"/>
      <c r="I2051" s="6"/>
      <c r="J2051" s="6"/>
      <c r="K2051" s="6"/>
      <c r="L2051" s="6"/>
      <c r="M2051" s="6"/>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c r="BU2051" s="6"/>
      <c r="BV2051" s="6"/>
      <c r="BW2051" s="6"/>
      <c r="BX2051" s="6"/>
      <c r="BY2051" s="6"/>
      <c r="BZ2051" s="6"/>
      <c r="CA2051" s="6"/>
      <c r="CB2051" s="6"/>
      <c r="CC2051" s="6"/>
      <c r="CD2051" s="6"/>
      <c r="CE2051" s="6"/>
      <c r="CF2051" s="6"/>
      <c r="CG2051" s="6"/>
      <c r="CH2051" s="6"/>
      <c r="CI2051" s="6"/>
      <c r="CJ2051" s="6"/>
      <c r="CK2051" s="6"/>
      <c r="CL2051" s="6"/>
      <c r="CM2051" s="6"/>
      <c r="CN2051" s="6"/>
      <c r="CO2051" s="6"/>
      <c r="CP2051" s="6"/>
      <c r="CQ2051" s="6"/>
      <c r="CR2051" s="6"/>
      <c r="CS2051" s="6"/>
      <c r="CT2051" s="6"/>
      <c r="CU2051" s="6"/>
      <c r="CV2051" s="6"/>
      <c r="CW2051" s="6"/>
      <c r="CX2051" s="6"/>
      <c r="CY2051" s="6"/>
      <c r="CZ2051" s="6"/>
      <c r="DA2051" s="6"/>
      <c r="DB2051" s="6"/>
      <c r="DC2051" s="6"/>
      <c r="DD2051" s="6"/>
    </row>
    <row r="2052" spans="1:108" ht="12.75" hidden="1" customHeight="1" outlineLevel="7">
      <c r="A2052" s="104" t="s">
        <v>116</v>
      </c>
      <c r="B2052" s="28">
        <f t="shared" si="108"/>
        <v>0.25</v>
      </c>
      <c r="C2052" s="11"/>
      <c r="D2052" s="18" t="str">
        <f>"&lt;" &amp; A2052 &amp; "&gt;" &amp; TEXT(B2052,"0.000000") &amp; "&lt;/" &amp; A2052 &amp; "&gt;"</f>
        <v>&lt;Flap_Chord&gt;0.250000&lt;/Flap_Chord&gt;</v>
      </c>
      <c r="F2052" s="6"/>
      <c r="G2052" s="6"/>
      <c r="H2052" s="6"/>
      <c r="I2052" s="6"/>
      <c r="J2052" s="6"/>
      <c r="K2052" s="6"/>
      <c r="L2052" s="6"/>
      <c r="M2052" s="6"/>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c r="BU2052" s="6"/>
      <c r="BV2052" s="6"/>
      <c r="BW2052" s="6"/>
      <c r="BX2052" s="6"/>
      <c r="BY2052" s="6"/>
      <c r="BZ2052" s="6"/>
      <c r="CA2052" s="6"/>
      <c r="CB2052" s="6"/>
      <c r="CC2052" s="6"/>
      <c r="CD2052" s="6"/>
      <c r="CE2052" s="6"/>
      <c r="CF2052" s="6"/>
      <c r="CG2052" s="6"/>
      <c r="CH2052" s="6"/>
      <c r="CI2052" s="6"/>
      <c r="CJ2052" s="6"/>
      <c r="CK2052" s="6"/>
      <c r="CL2052" s="6"/>
      <c r="CM2052" s="6"/>
      <c r="CN2052" s="6"/>
      <c r="CO2052" s="6"/>
      <c r="CP2052" s="6"/>
      <c r="CQ2052" s="6"/>
      <c r="CR2052" s="6"/>
      <c r="CS2052" s="6"/>
      <c r="CT2052" s="6"/>
      <c r="CU2052" s="6"/>
      <c r="CV2052" s="6"/>
      <c r="CW2052" s="6"/>
      <c r="CX2052" s="6"/>
      <c r="CY2052" s="6"/>
      <c r="CZ2052" s="6"/>
      <c r="DA2052" s="6"/>
      <c r="DB2052" s="6"/>
      <c r="DC2052" s="6"/>
      <c r="DD2052" s="6"/>
    </row>
    <row r="2053" spans="1:108" ht="12.75" hidden="1" customHeight="1" outlineLevel="7">
      <c r="A2053" s="104" t="s">
        <v>117</v>
      </c>
      <c r="B2053" s="28">
        <f t="shared" si="108"/>
        <v>10</v>
      </c>
      <c r="C2053" s="11"/>
      <c r="D2053" s="18" t="str">
        <f>"&lt;" &amp; A2053 &amp; "&gt;" &amp; TEXT(B2053,"0.000000") &amp; "&lt;/" &amp; A2053 &amp; "&gt;"</f>
        <v>&lt;Flap_Angle&gt;10.000000&lt;/Flap_Angle&gt;</v>
      </c>
      <c r="F2053" s="6"/>
      <c r="G2053" s="6"/>
      <c r="H2053" s="6"/>
      <c r="I2053" s="6"/>
      <c r="J2053" s="6"/>
      <c r="K2053" s="6"/>
      <c r="L2053" s="6"/>
      <c r="M2053" s="6"/>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c r="BU2053" s="6"/>
      <c r="BV2053" s="6"/>
      <c r="BW2053" s="6"/>
      <c r="BX2053" s="6"/>
      <c r="BY2053" s="6"/>
      <c r="BZ2053" s="6"/>
      <c r="CA2053" s="6"/>
      <c r="CB2053" s="6"/>
      <c r="CC2053" s="6"/>
      <c r="CD2053" s="6"/>
      <c r="CE2053" s="6"/>
      <c r="CF2053" s="6"/>
      <c r="CG2053" s="6"/>
      <c r="CH2053" s="6"/>
      <c r="CI2053" s="6"/>
      <c r="CJ2053" s="6"/>
      <c r="CK2053" s="6"/>
      <c r="CL2053" s="6"/>
      <c r="CM2053" s="6"/>
      <c r="CN2053" s="6"/>
      <c r="CO2053" s="6"/>
      <c r="CP2053" s="6"/>
      <c r="CQ2053" s="6"/>
      <c r="CR2053" s="6"/>
      <c r="CS2053" s="6"/>
      <c r="CT2053" s="6"/>
      <c r="CU2053" s="6"/>
      <c r="CV2053" s="6"/>
      <c r="CW2053" s="6"/>
      <c r="CX2053" s="6"/>
      <c r="CY2053" s="6"/>
      <c r="CZ2053" s="6"/>
      <c r="DA2053" s="6"/>
      <c r="DB2053" s="6"/>
      <c r="DC2053" s="6"/>
      <c r="DD2053" s="6"/>
    </row>
    <row r="2054" spans="1:108" ht="12.75" hidden="1" customHeight="1" outlineLevel="7">
      <c r="A2054" s="104" t="s">
        <v>118</v>
      </c>
      <c r="B2054" s="100"/>
      <c r="C2054" s="11"/>
      <c r="D2054" s="6" t="str">
        <f>"&lt;" &amp; A2054 &amp; "&gt;"</f>
        <v>&lt;/Airfoil&gt;</v>
      </c>
      <c r="F2054" s="6"/>
      <c r="G2054" s="6"/>
      <c r="H2054" s="6"/>
      <c r="I2054" s="6"/>
      <c r="J2054" s="6"/>
      <c r="K2054" s="6"/>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c r="BU2054" s="6"/>
      <c r="BV2054" s="6"/>
      <c r="BW2054" s="6"/>
      <c r="BX2054" s="6"/>
      <c r="BY2054" s="6"/>
      <c r="BZ2054" s="6"/>
      <c r="CA2054" s="6"/>
      <c r="CB2054" s="6"/>
      <c r="CC2054" s="6"/>
      <c r="CD2054" s="6"/>
      <c r="CE2054" s="6"/>
      <c r="CF2054" s="6"/>
      <c r="CG2054" s="6"/>
      <c r="CH2054" s="6"/>
      <c r="CI2054" s="6"/>
      <c r="CJ2054" s="6"/>
      <c r="CK2054" s="6"/>
      <c r="CL2054" s="6"/>
      <c r="CM2054" s="6"/>
      <c r="CN2054" s="6"/>
      <c r="CO2054" s="6"/>
      <c r="CP2054" s="6"/>
      <c r="CQ2054" s="6"/>
      <c r="CR2054" s="6"/>
      <c r="CS2054" s="6"/>
      <c r="CT2054" s="6"/>
      <c r="CU2054" s="6"/>
      <c r="CV2054" s="6"/>
      <c r="CW2054" s="6"/>
      <c r="CX2054" s="6"/>
      <c r="CY2054" s="6"/>
      <c r="CZ2054" s="6"/>
      <c r="DA2054" s="6"/>
      <c r="DB2054" s="6"/>
      <c r="DC2054" s="6"/>
      <c r="DD2054" s="6"/>
    </row>
    <row r="2055" spans="1:108" ht="12.75" hidden="1" customHeight="1" outlineLevel="6">
      <c r="A2055" s="104" t="s">
        <v>308</v>
      </c>
      <c r="B2055" s="100"/>
      <c r="C2055" s="11"/>
      <c r="D2055" s="6" t="str">
        <f>"&lt;" &amp; A2055 &amp; "&gt;"</f>
        <v>&lt;/Sect_Parms&gt;</v>
      </c>
      <c r="F2055" s="6"/>
      <c r="G2055" s="6"/>
      <c r="H2055" s="6"/>
      <c r="I2055" s="6"/>
      <c r="J2055" s="6"/>
      <c r="K2055" s="6"/>
      <c r="L2055" s="6"/>
      <c r="M2055" s="6"/>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c r="BU2055" s="6"/>
      <c r="BV2055" s="6"/>
      <c r="BW2055" s="6"/>
      <c r="BX2055" s="6"/>
      <c r="BY2055" s="6"/>
      <c r="BZ2055" s="6"/>
      <c r="CA2055" s="6"/>
      <c r="CB2055" s="6"/>
      <c r="CC2055" s="6"/>
      <c r="CD2055" s="6"/>
      <c r="CE2055" s="6"/>
      <c r="CF2055" s="6"/>
      <c r="CG2055" s="6"/>
      <c r="CH2055" s="6"/>
      <c r="CI2055" s="6"/>
      <c r="CJ2055" s="6"/>
      <c r="CK2055" s="6"/>
      <c r="CL2055" s="6"/>
      <c r="CM2055" s="6"/>
      <c r="CN2055" s="6"/>
      <c r="CO2055" s="6"/>
      <c r="CP2055" s="6"/>
      <c r="CQ2055" s="6"/>
      <c r="CR2055" s="6"/>
      <c r="CS2055" s="6"/>
      <c r="CT2055" s="6"/>
      <c r="CU2055" s="6"/>
      <c r="CV2055" s="6"/>
      <c r="CW2055" s="6"/>
      <c r="CX2055" s="6"/>
      <c r="CY2055" s="6"/>
      <c r="CZ2055" s="6"/>
      <c r="DA2055" s="6"/>
      <c r="DB2055" s="6"/>
      <c r="DC2055" s="6"/>
      <c r="DD2055" s="6"/>
    </row>
    <row r="2056" spans="1:108" ht="12.75" hidden="1" customHeight="1" outlineLevel="5">
      <c r="A2056" s="104" t="s">
        <v>309</v>
      </c>
      <c r="B2056" s="100"/>
      <c r="C2056" s="11"/>
      <c r="D2056" s="6" t="str">
        <f>"&lt;" &amp; A2056 &amp; "&gt;"</f>
        <v>&lt;/Prop_Parms&gt;</v>
      </c>
      <c r="F2056" s="6"/>
      <c r="G2056" s="6"/>
      <c r="H2056" s="6"/>
      <c r="I2056" s="6"/>
      <c r="J2056" s="6"/>
      <c r="K2056" s="6"/>
      <c r="L2056" s="6"/>
      <c r="M2056" s="6"/>
      <c r="N2056" s="6"/>
      <c r="O2056" s="6"/>
      <c r="P2056" s="6"/>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c r="BU2056" s="6"/>
      <c r="BV2056" s="6"/>
      <c r="BW2056" s="6"/>
      <c r="BX2056" s="6"/>
      <c r="BY2056" s="6"/>
      <c r="BZ2056" s="6"/>
      <c r="CA2056" s="6"/>
      <c r="CB2056" s="6"/>
      <c r="CC2056" s="6"/>
      <c r="CD2056" s="6"/>
      <c r="CE2056" s="6"/>
      <c r="CF2056" s="6"/>
      <c r="CG2056" s="6"/>
      <c r="CH2056" s="6"/>
      <c r="CI2056" s="6"/>
      <c r="CJ2056" s="6"/>
      <c r="CK2056" s="6"/>
      <c r="CL2056" s="6"/>
      <c r="CM2056" s="6"/>
      <c r="CN2056" s="6"/>
      <c r="CO2056" s="6"/>
      <c r="CP2056" s="6"/>
      <c r="CQ2056" s="6"/>
      <c r="CR2056" s="6"/>
      <c r="CS2056" s="6"/>
      <c r="CT2056" s="6"/>
      <c r="CU2056" s="6"/>
      <c r="CV2056" s="6"/>
      <c r="CW2056" s="6"/>
      <c r="CX2056" s="6"/>
      <c r="CY2056" s="6"/>
      <c r="CZ2056" s="6"/>
      <c r="DA2056" s="6"/>
      <c r="DB2056" s="6"/>
      <c r="DC2056" s="6"/>
      <c r="DD2056" s="6"/>
    </row>
    <row r="2057" spans="1:108" ht="12.75" hidden="1" customHeight="1" outlineLevel="4">
      <c r="A2057" s="104" t="s">
        <v>138</v>
      </c>
      <c r="B2057" s="100"/>
      <c r="C2057" s="11" t="str">
        <f>C1890</f>
        <v>No</v>
      </c>
      <c r="D2057" s="133" t="str">
        <f>IF(C2057="Yes",("&lt;"&amp;A2057&amp;"&gt;"),("&lt;"&amp;A2057&amp;"--&gt;"))</f>
        <v>&lt;/Component--&gt;</v>
      </c>
      <c r="F2057" s="6"/>
      <c r="G2057" s="6"/>
      <c r="H2057" s="6"/>
      <c r="I2057" s="6"/>
      <c r="J2057" s="6"/>
      <c r="K2057" s="6"/>
      <c r="L2057" s="6"/>
      <c r="M2057" s="6"/>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c r="BU2057" s="6"/>
      <c r="BV2057" s="6"/>
      <c r="BW2057" s="6"/>
      <c r="BX2057" s="6"/>
      <c r="BY2057" s="6"/>
      <c r="BZ2057" s="6"/>
      <c r="CA2057" s="6"/>
      <c r="CB2057" s="6"/>
      <c r="CC2057" s="6"/>
      <c r="CD2057" s="6"/>
      <c r="CE2057" s="6"/>
      <c r="CF2057" s="6"/>
      <c r="CG2057" s="6"/>
      <c r="CH2057" s="6"/>
      <c r="CI2057" s="6"/>
      <c r="CJ2057" s="6"/>
      <c r="CK2057" s="6"/>
      <c r="CL2057" s="6"/>
      <c r="CM2057" s="6"/>
      <c r="CN2057" s="6"/>
      <c r="CO2057" s="6"/>
      <c r="CP2057" s="6"/>
      <c r="CQ2057" s="6"/>
      <c r="CR2057" s="6"/>
      <c r="CS2057" s="6"/>
      <c r="CT2057" s="6"/>
      <c r="CU2057" s="6"/>
      <c r="CV2057" s="6"/>
      <c r="CW2057" s="6"/>
      <c r="CX2057" s="6"/>
      <c r="CY2057" s="6"/>
      <c r="CZ2057" s="6"/>
      <c r="DA2057" s="6"/>
      <c r="DB2057" s="6"/>
      <c r="DC2057" s="6"/>
      <c r="DD2057" s="6"/>
    </row>
    <row r="2058" spans="1:108" ht="12.75" hidden="1" customHeight="1" outlineLevel="3" collapsed="1">
      <c r="A2058" s="104" t="s">
        <v>40</v>
      </c>
      <c r="B2058" s="110" t="s">
        <v>542</v>
      </c>
      <c r="C2058" s="27" t="str">
        <f>IF(n_e&gt;1,IF(Type_e="Jet","Yes","No"),IF(n_e&lt;2,"Yes","No"))</f>
        <v>Yes</v>
      </c>
      <c r="D2058" s="6" t="str">
        <f>IF(C2058="Yes",("&lt;"&amp;A2058&amp;"&gt;"),("&lt;!--"&amp;A2058&amp;"&gt;"))</f>
        <v>&lt;Component&gt;</v>
      </c>
      <c r="F2058" s="6"/>
      <c r="G2058" s="6"/>
      <c r="H2058" s="6"/>
      <c r="I2058" s="6"/>
      <c r="J2058" s="6"/>
      <c r="K2058" s="6"/>
      <c r="L2058" s="6"/>
      <c r="M2058" s="6"/>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c r="BU2058" s="6"/>
      <c r="BV2058" s="6"/>
      <c r="BW2058" s="6"/>
      <c r="BX2058" s="6"/>
      <c r="BY2058" s="6"/>
      <c r="BZ2058" s="6"/>
      <c r="CA2058" s="6"/>
      <c r="CB2058" s="6"/>
      <c r="CC2058" s="6"/>
      <c r="CD2058" s="6"/>
      <c r="CE2058" s="6"/>
      <c r="CF2058" s="6"/>
      <c r="CG2058" s="6"/>
      <c r="CH2058" s="6"/>
      <c r="CI2058" s="6"/>
      <c r="CJ2058" s="6"/>
      <c r="CK2058" s="6"/>
      <c r="CL2058" s="6"/>
      <c r="CM2058" s="6"/>
      <c r="CN2058" s="6"/>
      <c r="CO2058" s="6"/>
      <c r="CP2058" s="6"/>
      <c r="CQ2058" s="6"/>
      <c r="CR2058" s="6"/>
      <c r="CS2058" s="6"/>
      <c r="CT2058" s="6"/>
      <c r="CU2058" s="6"/>
      <c r="CV2058" s="6"/>
      <c r="CW2058" s="6"/>
      <c r="CX2058" s="6"/>
      <c r="CY2058" s="6"/>
      <c r="CZ2058" s="6"/>
      <c r="DA2058" s="6"/>
      <c r="DB2058" s="6"/>
      <c r="DC2058" s="6"/>
      <c r="DD2058" s="6"/>
    </row>
    <row r="2059" spans="1:108" ht="12.75" hidden="1" customHeight="1" outlineLevel="4">
      <c r="A2059" s="104" t="s">
        <v>14</v>
      </c>
      <c r="B2059" s="100" t="s">
        <v>41</v>
      </c>
      <c r="C2059" s="11"/>
      <c r="D2059" s="18" t="str">
        <f>"&lt;" &amp; A2059 &amp; "&gt;" &amp; TEXT(B2059,"0.000000") &amp; "&lt;/" &amp; A2059 &amp; "&gt;"</f>
        <v>&lt;Type&gt;Mswing&lt;/Type&gt;</v>
      </c>
      <c r="F2059" s="6"/>
      <c r="G2059" s="6"/>
      <c r="H2059" s="6"/>
      <c r="I2059" s="6"/>
      <c r="J2059" s="6"/>
      <c r="K2059" s="6"/>
      <c r="L2059" s="6"/>
      <c r="M2059" s="6"/>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c r="BU2059" s="6"/>
      <c r="BV2059" s="6"/>
      <c r="BW2059" s="6"/>
      <c r="BX2059" s="6"/>
      <c r="BY2059" s="6"/>
      <c r="BZ2059" s="6"/>
      <c r="CA2059" s="6"/>
      <c r="CB2059" s="6"/>
      <c r="CC2059" s="6"/>
      <c r="CD2059" s="6"/>
      <c r="CE2059" s="6"/>
      <c r="CF2059" s="6"/>
      <c r="CG2059" s="6"/>
      <c r="CH2059" s="6"/>
      <c r="CI2059" s="6"/>
      <c r="CJ2059" s="6"/>
      <c r="CK2059" s="6"/>
      <c r="CL2059" s="6"/>
      <c r="CM2059" s="6"/>
      <c r="CN2059" s="6"/>
      <c r="CO2059" s="6"/>
      <c r="CP2059" s="6"/>
      <c r="CQ2059" s="6"/>
      <c r="CR2059" s="6"/>
      <c r="CS2059" s="6"/>
      <c r="CT2059" s="6"/>
      <c r="CU2059" s="6"/>
      <c r="CV2059" s="6"/>
      <c r="CW2059" s="6"/>
      <c r="CX2059" s="6"/>
      <c r="CY2059" s="6"/>
      <c r="CZ2059" s="6"/>
      <c r="DA2059" s="6"/>
      <c r="DB2059" s="6"/>
      <c r="DC2059" s="6"/>
      <c r="DD2059" s="6"/>
    </row>
    <row r="2060" spans="1:108" ht="12.75" hidden="1" customHeight="1" outlineLevel="4" collapsed="1">
      <c r="A2060" s="104" t="s">
        <v>42</v>
      </c>
      <c r="B2060" s="100"/>
      <c r="C2060" s="11"/>
      <c r="D2060" s="6" t="str">
        <f>"&lt;" &amp; A2060 &amp; "&gt;"</f>
        <v>&lt;General_Parms&gt;</v>
      </c>
      <c r="F2060" s="6"/>
      <c r="G2060" s="6"/>
      <c r="H2060" s="6"/>
      <c r="I2060" s="6"/>
      <c r="J2060" s="6"/>
      <c r="K2060" s="6"/>
      <c r="L2060" s="6"/>
      <c r="M2060" s="6"/>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c r="BU2060" s="6"/>
      <c r="BV2060" s="6"/>
      <c r="BW2060" s="6"/>
      <c r="BX2060" s="6"/>
      <c r="BY2060" s="6"/>
      <c r="BZ2060" s="6"/>
      <c r="CA2060" s="6"/>
      <c r="CB2060" s="6"/>
      <c r="CC2060" s="6"/>
      <c r="CD2060" s="6"/>
      <c r="CE2060" s="6"/>
      <c r="CF2060" s="6"/>
      <c r="CG2060" s="6"/>
      <c r="CH2060" s="6"/>
      <c r="CI2060" s="6"/>
      <c r="CJ2060" s="6"/>
      <c r="CK2060" s="6"/>
      <c r="CL2060" s="6"/>
      <c r="CM2060" s="6"/>
      <c r="CN2060" s="6"/>
      <c r="CO2060" s="6"/>
      <c r="CP2060" s="6"/>
      <c r="CQ2060" s="6"/>
      <c r="CR2060" s="6"/>
      <c r="CS2060" s="6"/>
      <c r="CT2060" s="6"/>
      <c r="CU2060" s="6"/>
      <c r="CV2060" s="6"/>
      <c r="CW2060" s="6"/>
      <c r="CX2060" s="6"/>
      <c r="CY2060" s="6"/>
      <c r="CZ2060" s="6"/>
      <c r="DA2060" s="6"/>
      <c r="DB2060" s="6"/>
      <c r="DC2060" s="6"/>
      <c r="DD2060" s="6"/>
    </row>
    <row r="2061" spans="1:108" ht="12.75" hidden="1" customHeight="1" outlineLevel="5">
      <c r="A2061" s="104" t="s">
        <v>1</v>
      </c>
      <c r="B2061" s="28" t="str">
        <f t="shared" ref="B2061:B2104" si="110">B1528</f>
        <v>pylon</v>
      </c>
      <c r="C2061" s="11"/>
      <c r="D2061" s="18" t="str">
        <f>"&lt;" &amp; A2061 &amp; "&gt;" &amp; TEXT(B2061,"0.000000") &amp; "&lt;/" &amp; A2061 &amp; "&gt;"</f>
        <v>&lt;Name&gt;pylon&lt;/Name&gt;</v>
      </c>
      <c r="F2061" s="6"/>
      <c r="G2061" s="6"/>
      <c r="H2061" s="6"/>
      <c r="I2061" s="6"/>
      <c r="J2061" s="6"/>
      <c r="K2061" s="6"/>
      <c r="L2061" s="6"/>
      <c r="M2061" s="6"/>
      <c r="N2061" s="6"/>
      <c r="O2061" s="6"/>
      <c r="P2061" s="6"/>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c r="BU2061" s="6"/>
      <c r="BV2061" s="6"/>
      <c r="BW2061" s="6"/>
      <c r="BX2061" s="6"/>
      <c r="BY2061" s="6"/>
      <c r="BZ2061" s="6"/>
      <c r="CA2061" s="6"/>
      <c r="CB2061" s="6"/>
      <c r="CC2061" s="6"/>
      <c r="CD2061" s="6"/>
      <c r="CE2061" s="6"/>
      <c r="CF2061" s="6"/>
      <c r="CG2061" s="6"/>
      <c r="CH2061" s="6"/>
      <c r="CI2061" s="6"/>
      <c r="CJ2061" s="6"/>
      <c r="CK2061" s="6"/>
      <c r="CL2061" s="6"/>
      <c r="CM2061" s="6"/>
      <c r="CN2061" s="6"/>
      <c r="CO2061" s="6"/>
      <c r="CP2061" s="6"/>
      <c r="CQ2061" s="6"/>
      <c r="CR2061" s="6"/>
      <c r="CS2061" s="6"/>
      <c r="CT2061" s="6"/>
      <c r="CU2061" s="6"/>
      <c r="CV2061" s="6"/>
      <c r="CW2061" s="6"/>
      <c r="CX2061" s="6"/>
      <c r="CY2061" s="6"/>
      <c r="CZ2061" s="6"/>
      <c r="DA2061" s="6"/>
      <c r="DB2061" s="6"/>
      <c r="DC2061" s="6"/>
      <c r="DD2061" s="6"/>
    </row>
    <row r="2062" spans="1:108" ht="12.75" hidden="1" customHeight="1" outlineLevel="5">
      <c r="A2062" s="104" t="s">
        <v>43</v>
      </c>
      <c r="B2062" s="28">
        <f t="shared" si="110"/>
        <v>0</v>
      </c>
      <c r="C2062" s="11"/>
      <c r="D2062" s="18" t="str">
        <f>"&lt;" &amp; A2062 &amp; "&gt;" &amp; TEXT(B2062,"0.000000") &amp; "&lt;/" &amp; A2062 &amp; "&gt;"</f>
        <v>&lt;ColorR&gt;0.000000&lt;/ColorR&gt;</v>
      </c>
      <c r="F2062" s="6"/>
      <c r="G2062" s="6"/>
      <c r="H2062" s="6"/>
      <c r="I2062" s="6"/>
      <c r="J2062" s="6"/>
      <c r="K2062" s="6"/>
      <c r="L2062" s="6"/>
      <c r="M2062" s="6"/>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c r="BU2062" s="6"/>
      <c r="BV2062" s="6"/>
      <c r="BW2062" s="6"/>
      <c r="BX2062" s="6"/>
      <c r="BY2062" s="6"/>
      <c r="BZ2062" s="6"/>
      <c r="CA2062" s="6"/>
      <c r="CB2062" s="6"/>
      <c r="CC2062" s="6"/>
      <c r="CD2062" s="6"/>
      <c r="CE2062" s="6"/>
      <c r="CF2062" s="6"/>
      <c r="CG2062" s="6"/>
      <c r="CH2062" s="6"/>
      <c r="CI2062" s="6"/>
      <c r="CJ2062" s="6"/>
      <c r="CK2062" s="6"/>
      <c r="CL2062" s="6"/>
      <c r="CM2062" s="6"/>
      <c r="CN2062" s="6"/>
      <c r="CO2062" s="6"/>
      <c r="CP2062" s="6"/>
      <c r="CQ2062" s="6"/>
      <c r="CR2062" s="6"/>
      <c r="CS2062" s="6"/>
      <c r="CT2062" s="6"/>
      <c r="CU2062" s="6"/>
      <c r="CV2062" s="6"/>
      <c r="CW2062" s="6"/>
      <c r="CX2062" s="6"/>
      <c r="CY2062" s="6"/>
      <c r="CZ2062" s="6"/>
      <c r="DA2062" s="6"/>
      <c r="DB2062" s="6"/>
      <c r="DC2062" s="6"/>
      <c r="DD2062" s="6"/>
    </row>
    <row r="2063" spans="1:108" ht="12.75" hidden="1" customHeight="1" outlineLevel="5">
      <c r="A2063" s="104" t="s">
        <v>44</v>
      </c>
      <c r="B2063" s="28">
        <f t="shared" si="110"/>
        <v>255</v>
      </c>
      <c r="C2063" s="11"/>
      <c r="D2063" s="18" t="str">
        <f>"&lt;" &amp; A2063 &amp; "&gt;" &amp; TEXT(B2063,"0.000000") &amp; "&lt;/" &amp; A2063 &amp; "&gt;"</f>
        <v>&lt;ColorG&gt;255.000000&lt;/ColorG&gt;</v>
      </c>
      <c r="F2063" s="6"/>
      <c r="G2063" s="6"/>
      <c r="H2063" s="6"/>
      <c r="I2063" s="6"/>
      <c r="J2063" s="6"/>
      <c r="K2063" s="6"/>
      <c r="L2063" s="6"/>
      <c r="M2063" s="6"/>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c r="BU2063" s="6"/>
      <c r="BV2063" s="6"/>
      <c r="BW2063" s="6"/>
      <c r="BX2063" s="6"/>
      <c r="BY2063" s="6"/>
      <c r="BZ2063" s="6"/>
      <c r="CA2063" s="6"/>
      <c r="CB2063" s="6"/>
      <c r="CC2063" s="6"/>
      <c r="CD2063" s="6"/>
      <c r="CE2063" s="6"/>
      <c r="CF2063" s="6"/>
      <c r="CG2063" s="6"/>
      <c r="CH2063" s="6"/>
      <c r="CI2063" s="6"/>
      <c r="CJ2063" s="6"/>
      <c r="CK2063" s="6"/>
      <c r="CL2063" s="6"/>
      <c r="CM2063" s="6"/>
      <c r="CN2063" s="6"/>
      <c r="CO2063" s="6"/>
      <c r="CP2063" s="6"/>
      <c r="CQ2063" s="6"/>
      <c r="CR2063" s="6"/>
      <c r="CS2063" s="6"/>
      <c r="CT2063" s="6"/>
      <c r="CU2063" s="6"/>
      <c r="CV2063" s="6"/>
      <c r="CW2063" s="6"/>
      <c r="CX2063" s="6"/>
      <c r="CY2063" s="6"/>
      <c r="CZ2063" s="6"/>
      <c r="DA2063" s="6"/>
      <c r="DB2063" s="6"/>
      <c r="DC2063" s="6"/>
      <c r="DD2063" s="6"/>
    </row>
    <row r="2064" spans="1:108" ht="12.75" hidden="1" customHeight="1" outlineLevel="5">
      <c r="A2064" s="104" t="s">
        <v>45</v>
      </c>
      <c r="B2064" s="28">
        <f t="shared" si="110"/>
        <v>0</v>
      </c>
      <c r="C2064" s="11"/>
      <c r="D2064" s="18" t="str">
        <f>"&lt;" &amp; A2064 &amp; "&gt;" &amp; TEXT(B2064,"0.000000") &amp; "&lt;/" &amp; A2064 &amp; "&gt;"</f>
        <v>&lt;ColorB&gt;0.000000&lt;/ColorB&gt;</v>
      </c>
      <c r="F2064" s="6"/>
      <c r="G2064" s="6"/>
      <c r="H2064" s="6"/>
      <c r="I2064" s="6"/>
      <c r="J2064" s="6"/>
      <c r="K2064" s="6"/>
      <c r="L2064" s="6"/>
      <c r="M2064" s="6"/>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c r="BU2064" s="6"/>
      <c r="BV2064" s="6"/>
      <c r="BW2064" s="6"/>
      <c r="BX2064" s="6"/>
      <c r="BY2064" s="6"/>
      <c r="BZ2064" s="6"/>
      <c r="CA2064" s="6"/>
      <c r="CB2064" s="6"/>
      <c r="CC2064" s="6"/>
      <c r="CD2064" s="6"/>
      <c r="CE2064" s="6"/>
      <c r="CF2064" s="6"/>
      <c r="CG2064" s="6"/>
      <c r="CH2064" s="6"/>
      <c r="CI2064" s="6"/>
      <c r="CJ2064" s="6"/>
      <c r="CK2064" s="6"/>
      <c r="CL2064" s="6"/>
      <c r="CM2064" s="6"/>
      <c r="CN2064" s="6"/>
      <c r="CO2064" s="6"/>
      <c r="CP2064" s="6"/>
      <c r="CQ2064" s="6"/>
      <c r="CR2064" s="6"/>
      <c r="CS2064" s="6"/>
      <c r="CT2064" s="6"/>
      <c r="CU2064" s="6"/>
      <c r="CV2064" s="6"/>
      <c r="CW2064" s="6"/>
      <c r="CX2064" s="6"/>
      <c r="CY2064" s="6"/>
      <c r="CZ2064" s="6"/>
      <c r="DA2064" s="6"/>
      <c r="DB2064" s="6"/>
      <c r="DC2064" s="6"/>
      <c r="DD2064" s="6"/>
    </row>
    <row r="2065" spans="1:108" ht="12.75" hidden="1" customHeight="1" outlineLevel="5">
      <c r="A2065" s="104" t="s">
        <v>46</v>
      </c>
      <c r="B2065" s="28">
        <f t="shared" si="110"/>
        <v>0</v>
      </c>
      <c r="C2065" s="11"/>
      <c r="D2065" s="18" t="str">
        <f t="shared" ref="D2065:D2074" si="111">"&lt;" &amp; A2065 &amp; "&gt;" &amp; TEXT(B2065,0) &amp; "&lt;/" &amp; A2065 &amp; "&gt;"</f>
        <v>&lt;Symmetry&gt;0&lt;/Symmetry&gt;</v>
      </c>
      <c r="F2065" s="6"/>
      <c r="G2065" s="6"/>
      <c r="H2065" s="6"/>
      <c r="I2065" s="6"/>
      <c r="J2065" s="6"/>
      <c r="K2065" s="6"/>
      <c r="L2065" s="6"/>
      <c r="M2065" s="6"/>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c r="BU2065" s="6"/>
      <c r="BV2065" s="6"/>
      <c r="BW2065" s="6"/>
      <c r="BX2065" s="6"/>
      <c r="BY2065" s="6"/>
      <c r="BZ2065" s="6"/>
      <c r="CA2065" s="6"/>
      <c r="CB2065" s="6"/>
      <c r="CC2065" s="6"/>
      <c r="CD2065" s="6"/>
      <c r="CE2065" s="6"/>
      <c r="CF2065" s="6"/>
      <c r="CG2065" s="6"/>
      <c r="CH2065" s="6"/>
      <c r="CI2065" s="6"/>
      <c r="CJ2065" s="6"/>
      <c r="CK2065" s="6"/>
      <c r="CL2065" s="6"/>
      <c r="CM2065" s="6"/>
      <c r="CN2065" s="6"/>
      <c r="CO2065" s="6"/>
      <c r="CP2065" s="6"/>
      <c r="CQ2065" s="6"/>
      <c r="CR2065" s="6"/>
      <c r="CS2065" s="6"/>
      <c r="CT2065" s="6"/>
      <c r="CU2065" s="6"/>
      <c r="CV2065" s="6"/>
      <c r="CW2065" s="6"/>
      <c r="CX2065" s="6"/>
      <c r="CY2065" s="6"/>
      <c r="CZ2065" s="6"/>
      <c r="DA2065" s="6"/>
      <c r="DB2065" s="6"/>
      <c r="DC2065" s="6"/>
      <c r="DD2065" s="6"/>
    </row>
    <row r="2066" spans="1:108" ht="12.75" hidden="1" customHeight="1" outlineLevel="5">
      <c r="A2066" s="104" t="s">
        <v>47</v>
      </c>
      <c r="B2066" s="28">
        <f t="shared" si="110"/>
        <v>0</v>
      </c>
      <c r="C2066" s="11"/>
      <c r="D2066" s="18" t="str">
        <f t="shared" si="111"/>
        <v>&lt;RelXFormFlag&gt;0&lt;/RelXFormFlag&gt;</v>
      </c>
      <c r="F2066" s="6"/>
      <c r="G2066" s="6"/>
      <c r="H2066" s="6"/>
      <c r="I2066" s="6"/>
      <c r="J2066" s="6"/>
      <c r="K2066" s="6"/>
      <c r="L2066" s="6"/>
      <c r="M2066" s="6"/>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c r="BU2066" s="6"/>
      <c r="BV2066" s="6"/>
      <c r="BW2066" s="6"/>
      <c r="BX2066" s="6"/>
      <c r="BY2066" s="6"/>
      <c r="BZ2066" s="6"/>
      <c r="CA2066" s="6"/>
      <c r="CB2066" s="6"/>
      <c r="CC2066" s="6"/>
      <c r="CD2066" s="6"/>
      <c r="CE2066" s="6"/>
      <c r="CF2066" s="6"/>
      <c r="CG2066" s="6"/>
      <c r="CH2066" s="6"/>
      <c r="CI2066" s="6"/>
      <c r="CJ2066" s="6"/>
      <c r="CK2066" s="6"/>
      <c r="CL2066" s="6"/>
      <c r="CM2066" s="6"/>
      <c r="CN2066" s="6"/>
      <c r="CO2066" s="6"/>
      <c r="CP2066" s="6"/>
      <c r="CQ2066" s="6"/>
      <c r="CR2066" s="6"/>
      <c r="CS2066" s="6"/>
      <c r="CT2066" s="6"/>
      <c r="CU2066" s="6"/>
      <c r="CV2066" s="6"/>
      <c r="CW2066" s="6"/>
      <c r="CX2066" s="6"/>
      <c r="CY2066" s="6"/>
      <c r="CZ2066" s="6"/>
      <c r="DA2066" s="6"/>
      <c r="DB2066" s="6"/>
      <c r="DC2066" s="6"/>
      <c r="DD2066" s="6"/>
    </row>
    <row r="2067" spans="1:108" ht="12.75" hidden="1" customHeight="1" outlineLevel="5">
      <c r="A2067" s="104" t="s">
        <v>48</v>
      </c>
      <c r="B2067" s="28">
        <f t="shared" si="110"/>
        <v>2</v>
      </c>
      <c r="C2067" s="11"/>
      <c r="D2067" s="18" t="str">
        <f t="shared" si="111"/>
        <v>&lt;MaterialID&gt;2&lt;/MaterialID&gt;</v>
      </c>
      <c r="F2067" s="6"/>
      <c r="G2067" s="6"/>
      <c r="H2067" s="6"/>
      <c r="I2067" s="6"/>
      <c r="J2067" s="6"/>
      <c r="K2067" s="6"/>
      <c r="L2067" s="6"/>
      <c r="M2067" s="6"/>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c r="BU2067" s="6"/>
      <c r="BV2067" s="6"/>
      <c r="BW2067" s="6"/>
      <c r="BX2067" s="6"/>
      <c r="BY2067" s="6"/>
      <c r="BZ2067" s="6"/>
      <c r="CA2067" s="6"/>
      <c r="CB2067" s="6"/>
      <c r="CC2067" s="6"/>
      <c r="CD2067" s="6"/>
      <c r="CE2067" s="6"/>
      <c r="CF2067" s="6"/>
      <c r="CG2067" s="6"/>
      <c r="CH2067" s="6"/>
      <c r="CI2067" s="6"/>
      <c r="CJ2067" s="6"/>
      <c r="CK2067" s="6"/>
      <c r="CL2067" s="6"/>
      <c r="CM2067" s="6"/>
      <c r="CN2067" s="6"/>
      <c r="CO2067" s="6"/>
      <c r="CP2067" s="6"/>
      <c r="CQ2067" s="6"/>
      <c r="CR2067" s="6"/>
      <c r="CS2067" s="6"/>
      <c r="CT2067" s="6"/>
      <c r="CU2067" s="6"/>
      <c r="CV2067" s="6"/>
      <c r="CW2067" s="6"/>
      <c r="CX2067" s="6"/>
      <c r="CY2067" s="6"/>
      <c r="CZ2067" s="6"/>
      <c r="DA2067" s="6"/>
      <c r="DB2067" s="6"/>
      <c r="DC2067" s="6"/>
      <c r="DD2067" s="6"/>
    </row>
    <row r="2068" spans="1:108" ht="12.75" hidden="1" customHeight="1" outlineLevel="5">
      <c r="A2068" s="104" t="s">
        <v>49</v>
      </c>
      <c r="B2068" s="28">
        <f t="shared" si="110"/>
        <v>1</v>
      </c>
      <c r="C2068" s="11"/>
      <c r="D2068" s="18" t="str">
        <f t="shared" si="111"/>
        <v>&lt;OutputFlag&gt;1&lt;/OutputFlag&gt;</v>
      </c>
      <c r="F2068" s="6"/>
      <c r="G2068" s="6"/>
      <c r="H2068" s="6"/>
      <c r="I2068" s="6"/>
      <c r="J2068" s="6"/>
      <c r="K2068" s="6"/>
      <c r="L2068" s="6"/>
      <c r="M2068" s="6"/>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c r="BU2068" s="6"/>
      <c r="BV2068" s="6"/>
      <c r="BW2068" s="6"/>
      <c r="BX2068" s="6"/>
      <c r="BY2068" s="6"/>
      <c r="BZ2068" s="6"/>
      <c r="CA2068" s="6"/>
      <c r="CB2068" s="6"/>
      <c r="CC2068" s="6"/>
      <c r="CD2068" s="6"/>
      <c r="CE2068" s="6"/>
      <c r="CF2068" s="6"/>
      <c r="CG2068" s="6"/>
      <c r="CH2068" s="6"/>
      <c r="CI2068" s="6"/>
      <c r="CJ2068" s="6"/>
      <c r="CK2068" s="6"/>
      <c r="CL2068" s="6"/>
      <c r="CM2068" s="6"/>
      <c r="CN2068" s="6"/>
      <c r="CO2068" s="6"/>
      <c r="CP2068" s="6"/>
      <c r="CQ2068" s="6"/>
      <c r="CR2068" s="6"/>
      <c r="CS2068" s="6"/>
      <c r="CT2068" s="6"/>
      <c r="CU2068" s="6"/>
      <c r="CV2068" s="6"/>
      <c r="CW2068" s="6"/>
      <c r="CX2068" s="6"/>
      <c r="CY2068" s="6"/>
      <c r="CZ2068" s="6"/>
      <c r="DA2068" s="6"/>
      <c r="DB2068" s="6"/>
      <c r="DC2068" s="6"/>
      <c r="DD2068" s="6"/>
    </row>
    <row r="2069" spans="1:108" ht="12.75" hidden="1" customHeight="1" outlineLevel="5">
      <c r="A2069" s="104" t="s">
        <v>50</v>
      </c>
      <c r="B2069" s="28">
        <f t="shared" si="110"/>
        <v>0</v>
      </c>
      <c r="C2069" s="11"/>
      <c r="D2069" s="18" t="str">
        <f t="shared" si="111"/>
        <v>&lt;OutputNameID&gt;0&lt;/OutputNameID&gt;</v>
      </c>
      <c r="F2069" s="6"/>
      <c r="G2069" s="6"/>
      <c r="H2069" s="6"/>
      <c r="I2069" s="6"/>
      <c r="J2069" s="6"/>
      <c r="K2069" s="6"/>
      <c r="L2069" s="6"/>
      <c r="M2069" s="6"/>
      <c r="N2069" s="6"/>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c r="BU2069" s="6"/>
      <c r="BV2069" s="6"/>
      <c r="BW2069" s="6"/>
      <c r="BX2069" s="6"/>
      <c r="BY2069" s="6"/>
      <c r="BZ2069" s="6"/>
      <c r="CA2069" s="6"/>
      <c r="CB2069" s="6"/>
      <c r="CC2069" s="6"/>
      <c r="CD2069" s="6"/>
      <c r="CE2069" s="6"/>
      <c r="CF2069" s="6"/>
      <c r="CG2069" s="6"/>
      <c r="CH2069" s="6"/>
      <c r="CI2069" s="6"/>
      <c r="CJ2069" s="6"/>
      <c r="CK2069" s="6"/>
      <c r="CL2069" s="6"/>
      <c r="CM2069" s="6"/>
      <c r="CN2069" s="6"/>
      <c r="CO2069" s="6"/>
      <c r="CP2069" s="6"/>
      <c r="CQ2069" s="6"/>
      <c r="CR2069" s="6"/>
      <c r="CS2069" s="6"/>
      <c r="CT2069" s="6"/>
      <c r="CU2069" s="6"/>
      <c r="CV2069" s="6"/>
      <c r="CW2069" s="6"/>
      <c r="CX2069" s="6"/>
      <c r="CY2069" s="6"/>
      <c r="CZ2069" s="6"/>
      <c r="DA2069" s="6"/>
      <c r="DB2069" s="6"/>
      <c r="DC2069" s="6"/>
      <c r="DD2069" s="6"/>
    </row>
    <row r="2070" spans="1:108" ht="12.75" hidden="1" customHeight="1" outlineLevel="5">
      <c r="A2070" s="104" t="s">
        <v>51</v>
      </c>
      <c r="B2070" s="28">
        <f t="shared" si="110"/>
        <v>1</v>
      </c>
      <c r="C2070" s="11"/>
      <c r="D2070" s="18" t="str">
        <f t="shared" si="111"/>
        <v>&lt;DisplayChildrenFlag&gt;1&lt;/DisplayChildrenFlag&gt;</v>
      </c>
      <c r="F2070" s="6"/>
      <c r="G2070" s="6"/>
      <c r="H2070" s="6"/>
      <c r="I2070" s="6"/>
      <c r="J2070" s="6"/>
      <c r="K2070" s="6"/>
      <c r="L2070" s="6"/>
      <c r="M2070" s="6"/>
      <c r="N2070" s="6"/>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c r="BU2070" s="6"/>
      <c r="BV2070" s="6"/>
      <c r="BW2070" s="6"/>
      <c r="BX2070" s="6"/>
      <c r="BY2070" s="6"/>
      <c r="BZ2070" s="6"/>
      <c r="CA2070" s="6"/>
      <c r="CB2070" s="6"/>
      <c r="CC2070" s="6"/>
      <c r="CD2070" s="6"/>
      <c r="CE2070" s="6"/>
      <c r="CF2070" s="6"/>
      <c r="CG2070" s="6"/>
      <c r="CH2070" s="6"/>
      <c r="CI2070" s="6"/>
      <c r="CJ2070" s="6"/>
      <c r="CK2070" s="6"/>
      <c r="CL2070" s="6"/>
      <c r="CM2070" s="6"/>
      <c r="CN2070" s="6"/>
      <c r="CO2070" s="6"/>
      <c r="CP2070" s="6"/>
      <c r="CQ2070" s="6"/>
      <c r="CR2070" s="6"/>
      <c r="CS2070" s="6"/>
      <c r="CT2070" s="6"/>
      <c r="CU2070" s="6"/>
      <c r="CV2070" s="6"/>
      <c r="CW2070" s="6"/>
      <c r="CX2070" s="6"/>
      <c r="CY2070" s="6"/>
      <c r="CZ2070" s="6"/>
      <c r="DA2070" s="6"/>
      <c r="DB2070" s="6"/>
      <c r="DC2070" s="6"/>
      <c r="DD2070" s="6"/>
    </row>
    <row r="2071" spans="1:108" ht="12.75" hidden="1" customHeight="1" outlineLevel="5">
      <c r="A2071" s="104" t="s">
        <v>52</v>
      </c>
      <c r="B2071" s="28">
        <f t="shared" si="110"/>
        <v>21</v>
      </c>
      <c r="C2071" s="11"/>
      <c r="D2071" s="18" t="str">
        <f t="shared" si="111"/>
        <v>&lt;NumPnts&gt;21&lt;/NumPnts&gt;</v>
      </c>
      <c r="F2071" s="6"/>
      <c r="G2071" s="6"/>
      <c r="H2071" s="6"/>
      <c r="I2071" s="6"/>
      <c r="J2071" s="6"/>
      <c r="K2071" s="6"/>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c r="BU2071" s="6"/>
      <c r="BV2071" s="6"/>
      <c r="BW2071" s="6"/>
      <c r="BX2071" s="6"/>
      <c r="BY2071" s="6"/>
      <c r="BZ2071" s="6"/>
      <c r="CA2071" s="6"/>
      <c r="CB2071" s="6"/>
      <c r="CC2071" s="6"/>
      <c r="CD2071" s="6"/>
      <c r="CE2071" s="6"/>
      <c r="CF2071" s="6"/>
      <c r="CG2071" s="6"/>
      <c r="CH2071" s="6"/>
      <c r="CI2071" s="6"/>
      <c r="CJ2071" s="6"/>
      <c r="CK2071" s="6"/>
      <c r="CL2071" s="6"/>
      <c r="CM2071" s="6"/>
      <c r="CN2071" s="6"/>
      <c r="CO2071" s="6"/>
      <c r="CP2071" s="6"/>
      <c r="CQ2071" s="6"/>
      <c r="CR2071" s="6"/>
      <c r="CS2071" s="6"/>
      <c r="CT2071" s="6"/>
      <c r="CU2071" s="6"/>
      <c r="CV2071" s="6"/>
      <c r="CW2071" s="6"/>
      <c r="CX2071" s="6"/>
      <c r="CY2071" s="6"/>
      <c r="CZ2071" s="6"/>
      <c r="DA2071" s="6"/>
      <c r="DB2071" s="6"/>
      <c r="DC2071" s="6"/>
      <c r="DD2071" s="6"/>
    </row>
    <row r="2072" spans="1:108" ht="12.75" hidden="1" customHeight="1" outlineLevel="5">
      <c r="A2072" s="104" t="s">
        <v>53</v>
      </c>
      <c r="B2072" s="28">
        <f t="shared" si="110"/>
        <v>11</v>
      </c>
      <c r="C2072" s="11"/>
      <c r="D2072" s="18" t="str">
        <f t="shared" si="111"/>
        <v>&lt;NumXsecs&gt;11&lt;/NumXsecs&gt;</v>
      </c>
      <c r="F2072" s="6"/>
      <c r="G2072" s="6"/>
      <c r="H2072" s="6"/>
      <c r="I2072" s="6"/>
      <c r="J2072" s="6"/>
      <c r="K2072" s="6"/>
      <c r="L2072" s="6"/>
      <c r="M2072" s="6"/>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c r="BU2072" s="6"/>
      <c r="BV2072" s="6"/>
      <c r="BW2072" s="6"/>
      <c r="BX2072" s="6"/>
      <c r="BY2072" s="6"/>
      <c r="BZ2072" s="6"/>
      <c r="CA2072" s="6"/>
      <c r="CB2072" s="6"/>
      <c r="CC2072" s="6"/>
      <c r="CD2072" s="6"/>
      <c r="CE2072" s="6"/>
      <c r="CF2072" s="6"/>
      <c r="CG2072" s="6"/>
      <c r="CH2072" s="6"/>
      <c r="CI2072" s="6"/>
      <c r="CJ2072" s="6"/>
      <c r="CK2072" s="6"/>
      <c r="CL2072" s="6"/>
      <c r="CM2072" s="6"/>
      <c r="CN2072" s="6"/>
      <c r="CO2072" s="6"/>
      <c r="CP2072" s="6"/>
      <c r="CQ2072" s="6"/>
      <c r="CR2072" s="6"/>
      <c r="CS2072" s="6"/>
      <c r="CT2072" s="6"/>
      <c r="CU2072" s="6"/>
      <c r="CV2072" s="6"/>
      <c r="CW2072" s="6"/>
      <c r="CX2072" s="6"/>
      <c r="CY2072" s="6"/>
      <c r="CZ2072" s="6"/>
      <c r="DA2072" s="6"/>
      <c r="DB2072" s="6"/>
      <c r="DC2072" s="6"/>
      <c r="DD2072" s="6"/>
    </row>
    <row r="2073" spans="1:108" ht="12.75" hidden="1" customHeight="1" outlineLevel="5">
      <c r="A2073" s="104" t="s">
        <v>54</v>
      </c>
      <c r="B2073" s="28">
        <f t="shared" si="110"/>
        <v>0</v>
      </c>
      <c r="C2073" s="11"/>
      <c r="D2073" s="18" t="str">
        <f t="shared" si="111"/>
        <v>&lt;MassPrior&gt;0&lt;/MassPrior&gt;</v>
      </c>
      <c r="F2073" s="6"/>
      <c r="G2073" s="6"/>
      <c r="H2073" s="6"/>
      <c r="I2073" s="6"/>
      <c r="J2073" s="6"/>
      <c r="K2073" s="6"/>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c r="BU2073" s="6"/>
      <c r="BV2073" s="6"/>
      <c r="BW2073" s="6"/>
      <c r="BX2073" s="6"/>
      <c r="BY2073" s="6"/>
      <c r="BZ2073" s="6"/>
      <c r="CA2073" s="6"/>
      <c r="CB2073" s="6"/>
      <c r="CC2073" s="6"/>
      <c r="CD2073" s="6"/>
      <c r="CE2073" s="6"/>
      <c r="CF2073" s="6"/>
      <c r="CG2073" s="6"/>
      <c r="CH2073" s="6"/>
      <c r="CI2073" s="6"/>
      <c r="CJ2073" s="6"/>
      <c r="CK2073" s="6"/>
      <c r="CL2073" s="6"/>
      <c r="CM2073" s="6"/>
      <c r="CN2073" s="6"/>
      <c r="CO2073" s="6"/>
      <c r="CP2073" s="6"/>
      <c r="CQ2073" s="6"/>
      <c r="CR2073" s="6"/>
      <c r="CS2073" s="6"/>
      <c r="CT2073" s="6"/>
      <c r="CU2073" s="6"/>
      <c r="CV2073" s="6"/>
      <c r="CW2073" s="6"/>
      <c r="CX2073" s="6"/>
      <c r="CY2073" s="6"/>
      <c r="CZ2073" s="6"/>
      <c r="DA2073" s="6"/>
      <c r="DB2073" s="6"/>
      <c r="DC2073" s="6"/>
      <c r="DD2073" s="6"/>
    </row>
    <row r="2074" spans="1:108" ht="12.75" hidden="1" customHeight="1" outlineLevel="5">
      <c r="A2074" s="104" t="s">
        <v>55</v>
      </c>
      <c r="B2074" s="28">
        <f t="shared" si="110"/>
        <v>0</v>
      </c>
      <c r="C2074" s="11"/>
      <c r="D2074" s="18" t="str">
        <f t="shared" si="111"/>
        <v>&lt;ShellFlag&gt;0&lt;/ShellFlag&gt;</v>
      </c>
      <c r="F2074" s="6"/>
      <c r="G2074" s="6"/>
      <c r="H2074" s="6"/>
      <c r="I2074" s="6"/>
      <c r="J2074" s="6"/>
      <c r="K2074" s="6"/>
      <c r="L2074" s="6"/>
      <c r="M2074" s="6"/>
      <c r="N2074" s="6"/>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c r="BU2074" s="6"/>
      <c r="BV2074" s="6"/>
      <c r="BW2074" s="6"/>
      <c r="BX2074" s="6"/>
      <c r="BY2074" s="6"/>
      <c r="BZ2074" s="6"/>
      <c r="CA2074" s="6"/>
      <c r="CB2074" s="6"/>
      <c r="CC2074" s="6"/>
      <c r="CD2074" s="6"/>
      <c r="CE2074" s="6"/>
      <c r="CF2074" s="6"/>
      <c r="CG2074" s="6"/>
      <c r="CH2074" s="6"/>
      <c r="CI2074" s="6"/>
      <c r="CJ2074" s="6"/>
      <c r="CK2074" s="6"/>
      <c r="CL2074" s="6"/>
      <c r="CM2074" s="6"/>
      <c r="CN2074" s="6"/>
      <c r="CO2074" s="6"/>
      <c r="CP2074" s="6"/>
      <c r="CQ2074" s="6"/>
      <c r="CR2074" s="6"/>
      <c r="CS2074" s="6"/>
      <c r="CT2074" s="6"/>
      <c r="CU2074" s="6"/>
      <c r="CV2074" s="6"/>
      <c r="CW2074" s="6"/>
      <c r="CX2074" s="6"/>
      <c r="CY2074" s="6"/>
      <c r="CZ2074" s="6"/>
      <c r="DA2074" s="6"/>
      <c r="DB2074" s="6"/>
      <c r="DC2074" s="6"/>
      <c r="DD2074" s="6"/>
    </row>
    <row r="2075" spans="1:108" ht="12.75" hidden="1" customHeight="1" outlineLevel="5">
      <c r="A2075" s="104" t="s">
        <v>56</v>
      </c>
      <c r="B2075" s="38">
        <f t="shared" si="110"/>
        <v>0</v>
      </c>
      <c r="C2075" s="11"/>
      <c r="D2075" s="18" t="str">
        <f t="shared" ref="D2075:D2089" si="112">"&lt;" &amp; A2075 &amp; "&gt;" &amp; TEXT(B2075,"0.000000") &amp; "&lt;/" &amp; A2075 &amp; "&gt;"</f>
        <v>&lt;Tran_X&gt;0.000000&lt;/Tran_X&gt;</v>
      </c>
      <c r="F2075" s="6"/>
      <c r="G2075" s="6"/>
      <c r="H2075" s="6"/>
      <c r="I2075" s="6"/>
      <c r="J2075" s="6"/>
      <c r="K2075" s="6"/>
      <c r="L2075" s="6"/>
      <c r="M2075" s="6"/>
      <c r="N2075" s="6"/>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c r="BU2075" s="6"/>
      <c r="BV2075" s="6"/>
      <c r="BW2075" s="6"/>
      <c r="BX2075" s="6"/>
      <c r="BY2075" s="6"/>
      <c r="BZ2075" s="6"/>
      <c r="CA2075" s="6"/>
      <c r="CB2075" s="6"/>
      <c r="CC2075" s="6"/>
      <c r="CD2075" s="6"/>
      <c r="CE2075" s="6"/>
      <c r="CF2075" s="6"/>
      <c r="CG2075" s="6"/>
      <c r="CH2075" s="6"/>
      <c r="CI2075" s="6"/>
      <c r="CJ2075" s="6"/>
      <c r="CK2075" s="6"/>
      <c r="CL2075" s="6"/>
      <c r="CM2075" s="6"/>
      <c r="CN2075" s="6"/>
      <c r="CO2075" s="6"/>
      <c r="CP2075" s="6"/>
      <c r="CQ2075" s="6"/>
      <c r="CR2075" s="6"/>
      <c r="CS2075" s="6"/>
      <c r="CT2075" s="6"/>
      <c r="CU2075" s="6"/>
      <c r="CV2075" s="6"/>
      <c r="CW2075" s="6"/>
      <c r="CX2075" s="6"/>
      <c r="CY2075" s="6"/>
      <c r="CZ2075" s="6"/>
      <c r="DA2075" s="6"/>
      <c r="DB2075" s="6"/>
      <c r="DC2075" s="6"/>
      <c r="DD2075" s="6"/>
    </row>
    <row r="2076" spans="1:108" ht="12.75" hidden="1" customHeight="1" outlineLevel="5">
      <c r="A2076" s="104" t="s">
        <v>57</v>
      </c>
      <c r="B2076" s="38">
        <f t="shared" si="110"/>
        <v>0</v>
      </c>
      <c r="C2076" s="11"/>
      <c r="D2076" s="18" t="str">
        <f t="shared" si="112"/>
        <v>&lt;Tran_Y&gt;0.000000&lt;/Tran_Y&gt;</v>
      </c>
      <c r="F2076" s="6"/>
      <c r="G2076" s="6"/>
      <c r="H2076" s="6"/>
      <c r="I2076" s="6"/>
      <c r="J2076" s="6"/>
      <c r="K2076" s="6"/>
      <c r="L2076" s="6"/>
      <c r="M2076" s="6"/>
      <c r="N2076" s="6"/>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c r="BU2076" s="6"/>
      <c r="BV2076" s="6"/>
      <c r="BW2076" s="6"/>
      <c r="BX2076" s="6"/>
      <c r="BY2076" s="6"/>
      <c r="BZ2076" s="6"/>
      <c r="CA2076" s="6"/>
      <c r="CB2076" s="6"/>
      <c r="CC2076" s="6"/>
      <c r="CD2076" s="6"/>
      <c r="CE2076" s="6"/>
      <c r="CF2076" s="6"/>
      <c r="CG2076" s="6"/>
      <c r="CH2076" s="6"/>
      <c r="CI2076" s="6"/>
      <c r="CJ2076" s="6"/>
      <c r="CK2076" s="6"/>
      <c r="CL2076" s="6"/>
      <c r="CM2076" s="6"/>
      <c r="CN2076" s="6"/>
      <c r="CO2076" s="6"/>
      <c r="CP2076" s="6"/>
      <c r="CQ2076" s="6"/>
      <c r="CR2076" s="6"/>
      <c r="CS2076" s="6"/>
      <c r="CT2076" s="6"/>
      <c r="CU2076" s="6"/>
      <c r="CV2076" s="6"/>
      <c r="CW2076" s="6"/>
      <c r="CX2076" s="6"/>
      <c r="CY2076" s="6"/>
      <c r="CZ2076" s="6"/>
      <c r="DA2076" s="6"/>
      <c r="DB2076" s="6"/>
      <c r="DC2076" s="6"/>
      <c r="DD2076" s="6"/>
    </row>
    <row r="2077" spans="1:108" ht="12.75" hidden="1" customHeight="1" outlineLevel="5">
      <c r="A2077" s="104" t="s">
        <v>58</v>
      </c>
      <c r="B2077" s="38">
        <f t="shared" si="110"/>
        <v>0.82173499999999999</v>
      </c>
      <c r="C2077" s="11"/>
      <c r="D2077" s="18" t="str">
        <f t="shared" si="112"/>
        <v>&lt;Tran_Z&gt;0.821735&lt;/Tran_Z&gt;</v>
      </c>
      <c r="F2077" s="6"/>
      <c r="G2077" s="6"/>
      <c r="H2077" s="6"/>
      <c r="I2077" s="6"/>
      <c r="J2077" s="6"/>
      <c r="K2077" s="6"/>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c r="BU2077" s="6"/>
      <c r="BV2077" s="6"/>
      <c r="BW2077" s="6"/>
      <c r="BX2077" s="6"/>
      <c r="BY2077" s="6"/>
      <c r="BZ2077" s="6"/>
      <c r="CA2077" s="6"/>
      <c r="CB2077" s="6"/>
      <c r="CC2077" s="6"/>
      <c r="CD2077" s="6"/>
      <c r="CE2077" s="6"/>
      <c r="CF2077" s="6"/>
      <c r="CG2077" s="6"/>
      <c r="CH2077" s="6"/>
      <c r="CI2077" s="6"/>
      <c r="CJ2077" s="6"/>
      <c r="CK2077" s="6"/>
      <c r="CL2077" s="6"/>
      <c r="CM2077" s="6"/>
      <c r="CN2077" s="6"/>
      <c r="CO2077" s="6"/>
      <c r="CP2077" s="6"/>
      <c r="CQ2077" s="6"/>
      <c r="CR2077" s="6"/>
      <c r="CS2077" s="6"/>
      <c r="CT2077" s="6"/>
      <c r="CU2077" s="6"/>
      <c r="CV2077" s="6"/>
      <c r="CW2077" s="6"/>
      <c r="CX2077" s="6"/>
      <c r="CY2077" s="6"/>
      <c r="CZ2077" s="6"/>
      <c r="DA2077" s="6"/>
      <c r="DB2077" s="6"/>
      <c r="DC2077" s="6"/>
      <c r="DD2077" s="6"/>
    </row>
    <row r="2078" spans="1:108" ht="12.75" hidden="1" customHeight="1" outlineLevel="5">
      <c r="A2078" s="104" t="s">
        <v>59</v>
      </c>
      <c r="B2078" s="28">
        <f t="shared" si="110"/>
        <v>0</v>
      </c>
      <c r="C2078" s="11"/>
      <c r="D2078" s="18" t="str">
        <f t="shared" si="112"/>
        <v>&lt;TranRel_X&gt;0.000000&lt;/TranRel_X&gt;</v>
      </c>
      <c r="F2078" s="6"/>
      <c r="G2078" s="6"/>
      <c r="H2078" s="6"/>
      <c r="I2078" s="6"/>
      <c r="J2078" s="6"/>
      <c r="K2078" s="6"/>
      <c r="L2078" s="6"/>
      <c r="M2078" s="6"/>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c r="BU2078" s="6"/>
      <c r="BV2078" s="6"/>
      <c r="BW2078" s="6"/>
      <c r="BX2078" s="6"/>
      <c r="BY2078" s="6"/>
      <c r="BZ2078" s="6"/>
      <c r="CA2078" s="6"/>
      <c r="CB2078" s="6"/>
      <c r="CC2078" s="6"/>
      <c r="CD2078" s="6"/>
      <c r="CE2078" s="6"/>
      <c r="CF2078" s="6"/>
      <c r="CG2078" s="6"/>
      <c r="CH2078" s="6"/>
      <c r="CI2078" s="6"/>
      <c r="CJ2078" s="6"/>
      <c r="CK2078" s="6"/>
      <c r="CL2078" s="6"/>
      <c r="CM2078" s="6"/>
      <c r="CN2078" s="6"/>
      <c r="CO2078" s="6"/>
      <c r="CP2078" s="6"/>
      <c r="CQ2078" s="6"/>
      <c r="CR2078" s="6"/>
      <c r="CS2078" s="6"/>
      <c r="CT2078" s="6"/>
      <c r="CU2078" s="6"/>
      <c r="CV2078" s="6"/>
      <c r="CW2078" s="6"/>
      <c r="CX2078" s="6"/>
      <c r="CY2078" s="6"/>
      <c r="CZ2078" s="6"/>
      <c r="DA2078" s="6"/>
      <c r="DB2078" s="6"/>
      <c r="DC2078" s="6"/>
      <c r="DD2078" s="6"/>
    </row>
    <row r="2079" spans="1:108" ht="12.75" hidden="1" customHeight="1" outlineLevel="5">
      <c r="A2079" s="104" t="s">
        <v>60</v>
      </c>
      <c r="B2079" s="28">
        <f t="shared" si="110"/>
        <v>0</v>
      </c>
      <c r="C2079" s="11"/>
      <c r="D2079" s="18" t="str">
        <f t="shared" si="112"/>
        <v>&lt;TranRel_Y&gt;0.000000&lt;/TranRel_Y&gt;</v>
      </c>
      <c r="F2079" s="6"/>
      <c r="G2079" s="6"/>
      <c r="H2079" s="6"/>
      <c r="I2079" s="6"/>
      <c r="J2079" s="6"/>
      <c r="K2079" s="6"/>
      <c r="L2079" s="6"/>
      <c r="M2079" s="6"/>
      <c r="N2079" s="6"/>
      <c r="O2079" s="6"/>
      <c r="P2079" s="6"/>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c r="BU2079" s="6"/>
      <c r="BV2079" s="6"/>
      <c r="BW2079" s="6"/>
      <c r="BX2079" s="6"/>
      <c r="BY2079" s="6"/>
      <c r="BZ2079" s="6"/>
      <c r="CA2079" s="6"/>
      <c r="CB2079" s="6"/>
      <c r="CC2079" s="6"/>
      <c r="CD2079" s="6"/>
      <c r="CE2079" s="6"/>
      <c r="CF2079" s="6"/>
      <c r="CG2079" s="6"/>
      <c r="CH2079" s="6"/>
      <c r="CI2079" s="6"/>
      <c r="CJ2079" s="6"/>
      <c r="CK2079" s="6"/>
      <c r="CL2079" s="6"/>
      <c r="CM2079" s="6"/>
      <c r="CN2079" s="6"/>
      <c r="CO2079" s="6"/>
      <c r="CP2079" s="6"/>
      <c r="CQ2079" s="6"/>
      <c r="CR2079" s="6"/>
      <c r="CS2079" s="6"/>
      <c r="CT2079" s="6"/>
      <c r="CU2079" s="6"/>
      <c r="CV2079" s="6"/>
      <c r="CW2079" s="6"/>
      <c r="CX2079" s="6"/>
      <c r="CY2079" s="6"/>
      <c r="CZ2079" s="6"/>
      <c r="DA2079" s="6"/>
      <c r="DB2079" s="6"/>
      <c r="DC2079" s="6"/>
      <c r="DD2079" s="6"/>
    </row>
    <row r="2080" spans="1:108" ht="12.75" hidden="1" customHeight="1" outlineLevel="5">
      <c r="A2080" s="104" t="s">
        <v>61</v>
      </c>
      <c r="B2080" s="28">
        <f t="shared" si="110"/>
        <v>0</v>
      </c>
      <c r="C2080" s="11"/>
      <c r="D2080" s="18" t="str">
        <f t="shared" si="112"/>
        <v>&lt;TranRel_Z&gt;0.000000&lt;/TranRel_Z&gt;</v>
      </c>
      <c r="F2080" s="6"/>
      <c r="G2080" s="6"/>
      <c r="H2080" s="6"/>
      <c r="I2080" s="6"/>
      <c r="J2080" s="6"/>
      <c r="K2080" s="6"/>
      <c r="L2080" s="6"/>
      <c r="M2080" s="6"/>
      <c r="N2080" s="6"/>
      <c r="O2080" s="6"/>
      <c r="P2080" s="6"/>
      <c r="Q2080" s="6"/>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c r="BU2080" s="6"/>
      <c r="BV2080" s="6"/>
      <c r="BW2080" s="6"/>
      <c r="BX2080" s="6"/>
      <c r="BY2080" s="6"/>
      <c r="BZ2080" s="6"/>
      <c r="CA2080" s="6"/>
      <c r="CB2080" s="6"/>
      <c r="CC2080" s="6"/>
      <c r="CD2080" s="6"/>
      <c r="CE2080" s="6"/>
      <c r="CF2080" s="6"/>
      <c r="CG2080" s="6"/>
      <c r="CH2080" s="6"/>
      <c r="CI2080" s="6"/>
      <c r="CJ2080" s="6"/>
      <c r="CK2080" s="6"/>
      <c r="CL2080" s="6"/>
      <c r="CM2080" s="6"/>
      <c r="CN2080" s="6"/>
      <c r="CO2080" s="6"/>
      <c r="CP2080" s="6"/>
      <c r="CQ2080" s="6"/>
      <c r="CR2080" s="6"/>
      <c r="CS2080" s="6"/>
      <c r="CT2080" s="6"/>
      <c r="CU2080" s="6"/>
      <c r="CV2080" s="6"/>
      <c r="CW2080" s="6"/>
      <c r="CX2080" s="6"/>
      <c r="CY2080" s="6"/>
      <c r="CZ2080" s="6"/>
      <c r="DA2080" s="6"/>
      <c r="DB2080" s="6"/>
      <c r="DC2080" s="6"/>
      <c r="DD2080" s="6"/>
    </row>
    <row r="2081" spans="1:108" ht="12.75" hidden="1" customHeight="1" outlineLevel="5">
      <c r="A2081" s="104" t="s">
        <v>62</v>
      </c>
      <c r="B2081" s="28">
        <f t="shared" si="110"/>
        <v>90</v>
      </c>
      <c r="C2081" s="11"/>
      <c r="D2081" s="18" t="str">
        <f t="shared" si="112"/>
        <v>&lt;Rot_X&gt;90.000000&lt;/Rot_X&gt;</v>
      </c>
      <c r="F2081" s="6"/>
      <c r="G2081" s="6"/>
      <c r="H2081" s="6"/>
      <c r="I2081" s="6"/>
      <c r="J2081" s="6"/>
      <c r="K2081" s="6"/>
      <c r="L2081" s="6"/>
      <c r="M2081" s="6"/>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c r="BU2081" s="6"/>
      <c r="BV2081" s="6"/>
      <c r="BW2081" s="6"/>
      <c r="BX2081" s="6"/>
      <c r="BY2081" s="6"/>
      <c r="BZ2081" s="6"/>
      <c r="CA2081" s="6"/>
      <c r="CB2081" s="6"/>
      <c r="CC2081" s="6"/>
      <c r="CD2081" s="6"/>
      <c r="CE2081" s="6"/>
      <c r="CF2081" s="6"/>
      <c r="CG2081" s="6"/>
      <c r="CH2081" s="6"/>
      <c r="CI2081" s="6"/>
      <c r="CJ2081" s="6"/>
      <c r="CK2081" s="6"/>
      <c r="CL2081" s="6"/>
      <c r="CM2081" s="6"/>
      <c r="CN2081" s="6"/>
      <c r="CO2081" s="6"/>
      <c r="CP2081" s="6"/>
      <c r="CQ2081" s="6"/>
      <c r="CR2081" s="6"/>
      <c r="CS2081" s="6"/>
      <c r="CT2081" s="6"/>
      <c r="CU2081" s="6"/>
      <c r="CV2081" s="6"/>
      <c r="CW2081" s="6"/>
      <c r="CX2081" s="6"/>
      <c r="CY2081" s="6"/>
      <c r="CZ2081" s="6"/>
      <c r="DA2081" s="6"/>
      <c r="DB2081" s="6"/>
      <c r="DC2081" s="6"/>
      <c r="DD2081" s="6"/>
    </row>
    <row r="2082" spans="1:108" ht="12.75" hidden="1" customHeight="1" outlineLevel="5">
      <c r="A2082" s="104" t="s">
        <v>63</v>
      </c>
      <c r="B2082" s="28">
        <f t="shared" si="110"/>
        <v>0</v>
      </c>
      <c r="C2082" s="11"/>
      <c r="D2082" s="18" t="str">
        <f t="shared" si="112"/>
        <v>&lt;Rot_Y&gt;0.000000&lt;/Rot_Y&gt;</v>
      </c>
      <c r="F2082" s="6"/>
      <c r="G2082" s="6"/>
      <c r="H2082" s="6"/>
      <c r="I2082" s="6"/>
      <c r="J2082" s="6"/>
      <c r="K2082" s="6"/>
      <c r="L2082" s="6"/>
      <c r="M2082" s="6"/>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c r="BU2082" s="6"/>
      <c r="BV2082" s="6"/>
      <c r="BW2082" s="6"/>
      <c r="BX2082" s="6"/>
      <c r="BY2082" s="6"/>
      <c r="BZ2082" s="6"/>
      <c r="CA2082" s="6"/>
      <c r="CB2082" s="6"/>
      <c r="CC2082" s="6"/>
      <c r="CD2082" s="6"/>
      <c r="CE2082" s="6"/>
      <c r="CF2082" s="6"/>
      <c r="CG2082" s="6"/>
      <c r="CH2082" s="6"/>
      <c r="CI2082" s="6"/>
      <c r="CJ2082" s="6"/>
      <c r="CK2082" s="6"/>
      <c r="CL2082" s="6"/>
      <c r="CM2082" s="6"/>
      <c r="CN2082" s="6"/>
      <c r="CO2082" s="6"/>
      <c r="CP2082" s="6"/>
      <c r="CQ2082" s="6"/>
      <c r="CR2082" s="6"/>
      <c r="CS2082" s="6"/>
      <c r="CT2082" s="6"/>
      <c r="CU2082" s="6"/>
      <c r="CV2082" s="6"/>
      <c r="CW2082" s="6"/>
      <c r="CX2082" s="6"/>
      <c r="CY2082" s="6"/>
      <c r="CZ2082" s="6"/>
      <c r="DA2082" s="6"/>
      <c r="DB2082" s="6"/>
      <c r="DC2082" s="6"/>
      <c r="DD2082" s="6"/>
    </row>
    <row r="2083" spans="1:108" ht="12.75" hidden="1" customHeight="1" outlineLevel="5">
      <c r="A2083" s="104" t="s">
        <v>64</v>
      </c>
      <c r="B2083" s="28">
        <f t="shared" si="110"/>
        <v>0</v>
      </c>
      <c r="C2083" s="11"/>
      <c r="D2083" s="18" t="str">
        <f t="shared" si="112"/>
        <v>&lt;Rot_Z&gt;0.000000&lt;/Rot_Z&gt;</v>
      </c>
      <c r="F2083" s="6"/>
      <c r="G2083" s="6"/>
      <c r="H2083" s="6"/>
      <c r="I2083" s="6"/>
      <c r="J2083" s="6"/>
      <c r="K2083" s="6"/>
      <c r="L2083" s="6"/>
      <c r="M2083" s="6"/>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c r="BU2083" s="6"/>
      <c r="BV2083" s="6"/>
      <c r="BW2083" s="6"/>
      <c r="BX2083" s="6"/>
      <c r="BY2083" s="6"/>
      <c r="BZ2083" s="6"/>
      <c r="CA2083" s="6"/>
      <c r="CB2083" s="6"/>
      <c r="CC2083" s="6"/>
      <c r="CD2083" s="6"/>
      <c r="CE2083" s="6"/>
      <c r="CF2083" s="6"/>
      <c r="CG2083" s="6"/>
      <c r="CH2083" s="6"/>
      <c r="CI2083" s="6"/>
      <c r="CJ2083" s="6"/>
      <c r="CK2083" s="6"/>
      <c r="CL2083" s="6"/>
      <c r="CM2083" s="6"/>
      <c r="CN2083" s="6"/>
      <c r="CO2083" s="6"/>
      <c r="CP2083" s="6"/>
      <c r="CQ2083" s="6"/>
      <c r="CR2083" s="6"/>
      <c r="CS2083" s="6"/>
      <c r="CT2083" s="6"/>
      <c r="CU2083" s="6"/>
      <c r="CV2083" s="6"/>
      <c r="CW2083" s="6"/>
      <c r="CX2083" s="6"/>
      <c r="CY2083" s="6"/>
      <c r="CZ2083" s="6"/>
      <c r="DA2083" s="6"/>
      <c r="DB2083" s="6"/>
      <c r="DC2083" s="6"/>
      <c r="DD2083" s="6"/>
    </row>
    <row r="2084" spans="1:108" ht="12.75" hidden="1" customHeight="1" outlineLevel="5">
      <c r="A2084" s="104" t="s">
        <v>65</v>
      </c>
      <c r="B2084" s="28">
        <f t="shared" si="110"/>
        <v>0</v>
      </c>
      <c r="C2084" s="11"/>
      <c r="D2084" s="18" t="str">
        <f t="shared" si="112"/>
        <v>&lt;RotRel_X&gt;0.000000&lt;/RotRel_X&gt;</v>
      </c>
      <c r="F2084" s="6"/>
      <c r="G2084" s="6"/>
      <c r="H2084" s="6"/>
      <c r="I2084" s="6"/>
      <c r="J2084" s="6"/>
      <c r="K2084" s="6"/>
      <c r="L2084" s="6"/>
      <c r="M2084" s="6"/>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c r="BU2084" s="6"/>
      <c r="BV2084" s="6"/>
      <c r="BW2084" s="6"/>
      <c r="BX2084" s="6"/>
      <c r="BY2084" s="6"/>
      <c r="BZ2084" s="6"/>
      <c r="CA2084" s="6"/>
      <c r="CB2084" s="6"/>
      <c r="CC2084" s="6"/>
      <c r="CD2084" s="6"/>
      <c r="CE2084" s="6"/>
      <c r="CF2084" s="6"/>
      <c r="CG2084" s="6"/>
      <c r="CH2084" s="6"/>
      <c r="CI2084" s="6"/>
      <c r="CJ2084" s="6"/>
      <c r="CK2084" s="6"/>
      <c r="CL2084" s="6"/>
      <c r="CM2084" s="6"/>
      <c r="CN2084" s="6"/>
      <c r="CO2084" s="6"/>
      <c r="CP2084" s="6"/>
      <c r="CQ2084" s="6"/>
      <c r="CR2084" s="6"/>
      <c r="CS2084" s="6"/>
      <c r="CT2084" s="6"/>
      <c r="CU2084" s="6"/>
      <c r="CV2084" s="6"/>
      <c r="CW2084" s="6"/>
      <c r="CX2084" s="6"/>
      <c r="CY2084" s="6"/>
      <c r="CZ2084" s="6"/>
      <c r="DA2084" s="6"/>
      <c r="DB2084" s="6"/>
      <c r="DC2084" s="6"/>
      <c r="DD2084" s="6"/>
    </row>
    <row r="2085" spans="1:108" ht="12.75" hidden="1" customHeight="1" outlineLevel="5">
      <c r="A2085" s="104" t="s">
        <v>66</v>
      </c>
      <c r="B2085" s="28">
        <f t="shared" si="110"/>
        <v>0</v>
      </c>
      <c r="C2085" s="11"/>
      <c r="D2085" s="18" t="str">
        <f t="shared" si="112"/>
        <v>&lt;RotRel_Y&gt;0.000000&lt;/RotRel_Y&gt;</v>
      </c>
      <c r="F2085" s="6"/>
      <c r="G2085" s="6"/>
      <c r="H2085" s="6"/>
      <c r="I2085" s="6"/>
      <c r="J2085" s="6"/>
      <c r="K2085" s="6"/>
      <c r="L2085" s="6"/>
      <c r="M2085" s="6"/>
      <c r="N2085" s="6"/>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c r="BU2085" s="6"/>
      <c r="BV2085" s="6"/>
      <c r="BW2085" s="6"/>
      <c r="BX2085" s="6"/>
      <c r="BY2085" s="6"/>
      <c r="BZ2085" s="6"/>
      <c r="CA2085" s="6"/>
      <c r="CB2085" s="6"/>
      <c r="CC2085" s="6"/>
      <c r="CD2085" s="6"/>
      <c r="CE2085" s="6"/>
      <c r="CF2085" s="6"/>
      <c r="CG2085" s="6"/>
      <c r="CH2085" s="6"/>
      <c r="CI2085" s="6"/>
      <c r="CJ2085" s="6"/>
      <c r="CK2085" s="6"/>
      <c r="CL2085" s="6"/>
      <c r="CM2085" s="6"/>
      <c r="CN2085" s="6"/>
      <c r="CO2085" s="6"/>
      <c r="CP2085" s="6"/>
      <c r="CQ2085" s="6"/>
      <c r="CR2085" s="6"/>
      <c r="CS2085" s="6"/>
      <c r="CT2085" s="6"/>
      <c r="CU2085" s="6"/>
      <c r="CV2085" s="6"/>
      <c r="CW2085" s="6"/>
      <c r="CX2085" s="6"/>
      <c r="CY2085" s="6"/>
      <c r="CZ2085" s="6"/>
      <c r="DA2085" s="6"/>
      <c r="DB2085" s="6"/>
      <c r="DC2085" s="6"/>
      <c r="DD2085" s="6"/>
    </row>
    <row r="2086" spans="1:108" ht="12.75" hidden="1" customHeight="1" outlineLevel="5">
      <c r="A2086" s="104" t="s">
        <v>67</v>
      </c>
      <c r="B2086" s="28">
        <f t="shared" si="110"/>
        <v>0</v>
      </c>
      <c r="C2086" s="11"/>
      <c r="D2086" s="18" t="str">
        <f t="shared" si="112"/>
        <v>&lt;RotRel_Z&gt;0.000000&lt;/RotRel_Z&gt;</v>
      </c>
      <c r="F2086" s="6"/>
      <c r="G2086" s="6"/>
      <c r="H2086" s="6"/>
      <c r="I2086" s="6"/>
      <c r="J2086" s="6"/>
      <c r="K2086" s="6"/>
      <c r="L2086" s="6"/>
      <c r="M2086" s="6"/>
      <c r="N2086" s="6"/>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c r="BU2086" s="6"/>
      <c r="BV2086" s="6"/>
      <c r="BW2086" s="6"/>
      <c r="BX2086" s="6"/>
      <c r="BY2086" s="6"/>
      <c r="BZ2086" s="6"/>
      <c r="CA2086" s="6"/>
      <c r="CB2086" s="6"/>
      <c r="CC2086" s="6"/>
      <c r="CD2086" s="6"/>
      <c r="CE2086" s="6"/>
      <c r="CF2086" s="6"/>
      <c r="CG2086" s="6"/>
      <c r="CH2086" s="6"/>
      <c r="CI2086" s="6"/>
      <c r="CJ2086" s="6"/>
      <c r="CK2086" s="6"/>
      <c r="CL2086" s="6"/>
      <c r="CM2086" s="6"/>
      <c r="CN2086" s="6"/>
      <c r="CO2086" s="6"/>
      <c r="CP2086" s="6"/>
      <c r="CQ2086" s="6"/>
      <c r="CR2086" s="6"/>
      <c r="CS2086" s="6"/>
      <c r="CT2086" s="6"/>
      <c r="CU2086" s="6"/>
      <c r="CV2086" s="6"/>
      <c r="CW2086" s="6"/>
      <c r="CX2086" s="6"/>
      <c r="CY2086" s="6"/>
      <c r="CZ2086" s="6"/>
      <c r="DA2086" s="6"/>
      <c r="DB2086" s="6"/>
      <c r="DC2086" s="6"/>
      <c r="DD2086" s="6"/>
    </row>
    <row r="2087" spans="1:108" ht="12.75" hidden="1" customHeight="1" outlineLevel="5">
      <c r="A2087" s="104" t="s">
        <v>68</v>
      </c>
      <c r="B2087" s="28">
        <f t="shared" si="110"/>
        <v>0</v>
      </c>
      <c r="C2087" s="11"/>
      <c r="D2087" s="18" t="str">
        <f t="shared" si="112"/>
        <v>&lt;Origin&gt;0.000000&lt;/Origin&gt;</v>
      </c>
      <c r="F2087" s="6"/>
      <c r="G2087" s="6"/>
      <c r="H2087" s="6"/>
      <c r="I2087" s="6"/>
      <c r="J2087" s="6"/>
      <c r="K2087" s="6"/>
      <c r="L2087" s="6"/>
      <c r="M2087" s="6"/>
      <c r="N2087" s="6"/>
      <c r="O2087" s="6"/>
      <c r="P2087" s="6"/>
      <c r="Q2087" s="6"/>
      <c r="R2087" s="6"/>
      <c r="S2087" s="6"/>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c r="BU2087" s="6"/>
      <c r="BV2087" s="6"/>
      <c r="BW2087" s="6"/>
      <c r="BX2087" s="6"/>
      <c r="BY2087" s="6"/>
      <c r="BZ2087" s="6"/>
      <c r="CA2087" s="6"/>
      <c r="CB2087" s="6"/>
      <c r="CC2087" s="6"/>
      <c r="CD2087" s="6"/>
      <c r="CE2087" s="6"/>
      <c r="CF2087" s="6"/>
      <c r="CG2087" s="6"/>
      <c r="CH2087" s="6"/>
      <c r="CI2087" s="6"/>
      <c r="CJ2087" s="6"/>
      <c r="CK2087" s="6"/>
      <c r="CL2087" s="6"/>
      <c r="CM2087" s="6"/>
      <c r="CN2087" s="6"/>
      <c r="CO2087" s="6"/>
      <c r="CP2087" s="6"/>
      <c r="CQ2087" s="6"/>
      <c r="CR2087" s="6"/>
      <c r="CS2087" s="6"/>
      <c r="CT2087" s="6"/>
      <c r="CU2087" s="6"/>
      <c r="CV2087" s="6"/>
      <c r="CW2087" s="6"/>
      <c r="CX2087" s="6"/>
      <c r="CY2087" s="6"/>
      <c r="CZ2087" s="6"/>
      <c r="DA2087" s="6"/>
      <c r="DB2087" s="6"/>
      <c r="DC2087" s="6"/>
      <c r="DD2087" s="6"/>
    </row>
    <row r="2088" spans="1:108" ht="12.75" hidden="1" customHeight="1" outlineLevel="5">
      <c r="A2088" s="104" t="s">
        <v>69</v>
      </c>
      <c r="B2088" s="28">
        <f t="shared" si="110"/>
        <v>1</v>
      </c>
      <c r="C2088" s="11"/>
      <c r="D2088" s="18" t="str">
        <f t="shared" si="112"/>
        <v>&lt;Density&gt;1.000000&lt;/Density&gt;</v>
      </c>
      <c r="F2088" s="6"/>
      <c r="G2088" s="6"/>
      <c r="H2088" s="6"/>
      <c r="I2088" s="6"/>
      <c r="J2088" s="6"/>
      <c r="K2088" s="6"/>
      <c r="L2088" s="6"/>
      <c r="M2088" s="6"/>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c r="BU2088" s="6"/>
      <c r="BV2088" s="6"/>
      <c r="BW2088" s="6"/>
      <c r="BX2088" s="6"/>
      <c r="BY2088" s="6"/>
      <c r="BZ2088" s="6"/>
      <c r="CA2088" s="6"/>
      <c r="CB2088" s="6"/>
      <c r="CC2088" s="6"/>
      <c r="CD2088" s="6"/>
      <c r="CE2088" s="6"/>
      <c r="CF2088" s="6"/>
      <c r="CG2088" s="6"/>
      <c r="CH2088" s="6"/>
      <c r="CI2088" s="6"/>
      <c r="CJ2088" s="6"/>
      <c r="CK2088" s="6"/>
      <c r="CL2088" s="6"/>
      <c r="CM2088" s="6"/>
      <c r="CN2088" s="6"/>
      <c r="CO2088" s="6"/>
      <c r="CP2088" s="6"/>
      <c r="CQ2088" s="6"/>
      <c r="CR2088" s="6"/>
      <c r="CS2088" s="6"/>
      <c r="CT2088" s="6"/>
      <c r="CU2088" s="6"/>
      <c r="CV2088" s="6"/>
      <c r="CW2088" s="6"/>
      <c r="CX2088" s="6"/>
      <c r="CY2088" s="6"/>
      <c r="CZ2088" s="6"/>
      <c r="DA2088" s="6"/>
      <c r="DB2088" s="6"/>
      <c r="DC2088" s="6"/>
      <c r="DD2088" s="6"/>
    </row>
    <row r="2089" spans="1:108" ht="12.75" hidden="1" customHeight="1" outlineLevel="5">
      <c r="A2089" s="104" t="s">
        <v>70</v>
      </c>
      <c r="B2089" s="28">
        <f t="shared" si="110"/>
        <v>1</v>
      </c>
      <c r="C2089" s="11"/>
      <c r="D2089" s="18" t="str">
        <f t="shared" si="112"/>
        <v>&lt;ShellMassArea&gt;1.000000&lt;/ShellMassArea&gt;</v>
      </c>
      <c r="F2089" s="6"/>
      <c r="G2089" s="6"/>
      <c r="H2089" s="6"/>
      <c r="I2089" s="6"/>
      <c r="J2089" s="6"/>
      <c r="K2089" s="6"/>
      <c r="L2089" s="6"/>
      <c r="M2089" s="6"/>
      <c r="N2089" s="6"/>
      <c r="O2089" s="6"/>
      <c r="P2089" s="6"/>
      <c r="Q2089" s="6"/>
      <c r="R2089" s="6"/>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c r="BU2089" s="6"/>
      <c r="BV2089" s="6"/>
      <c r="BW2089" s="6"/>
      <c r="BX2089" s="6"/>
      <c r="BY2089" s="6"/>
      <c r="BZ2089" s="6"/>
      <c r="CA2089" s="6"/>
      <c r="CB2089" s="6"/>
      <c r="CC2089" s="6"/>
      <c r="CD2089" s="6"/>
      <c r="CE2089" s="6"/>
      <c r="CF2089" s="6"/>
      <c r="CG2089" s="6"/>
      <c r="CH2089" s="6"/>
      <c r="CI2089" s="6"/>
      <c r="CJ2089" s="6"/>
      <c r="CK2089" s="6"/>
      <c r="CL2089" s="6"/>
      <c r="CM2089" s="6"/>
      <c r="CN2089" s="6"/>
      <c r="CO2089" s="6"/>
      <c r="CP2089" s="6"/>
      <c r="CQ2089" s="6"/>
      <c r="CR2089" s="6"/>
      <c r="CS2089" s="6"/>
      <c r="CT2089" s="6"/>
      <c r="CU2089" s="6"/>
      <c r="CV2089" s="6"/>
      <c r="CW2089" s="6"/>
      <c r="CX2089" s="6"/>
      <c r="CY2089" s="6"/>
      <c r="CZ2089" s="6"/>
      <c r="DA2089" s="6"/>
      <c r="DB2089" s="6"/>
      <c r="DC2089" s="6"/>
      <c r="DD2089" s="6"/>
    </row>
    <row r="2090" spans="1:108" ht="12.75" hidden="1" customHeight="1" outlineLevel="5">
      <c r="A2090" s="104" t="s">
        <v>71</v>
      </c>
      <c r="B2090" s="28">
        <f t="shared" si="110"/>
        <v>0</v>
      </c>
      <c r="C2090" s="11"/>
      <c r="D2090" s="18" t="str">
        <f>"&lt;" &amp; A2090 &amp; "&gt;" &amp; TEXT(B2090,0) &amp; "&lt;/" &amp; A2090 &amp; "&gt;"</f>
        <v>&lt;RefFlag&gt;0&lt;/RefFlag&gt;</v>
      </c>
      <c r="F2090" s="6"/>
      <c r="G2090" s="6"/>
      <c r="H2090" s="6"/>
      <c r="I2090" s="6"/>
      <c r="J2090" s="6"/>
      <c r="K2090" s="6"/>
      <c r="L2090" s="6"/>
      <c r="M2090" s="6"/>
      <c r="N2090" s="6"/>
      <c r="O2090" s="6"/>
      <c r="P2090" s="6"/>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c r="BU2090" s="6"/>
      <c r="BV2090" s="6"/>
      <c r="BW2090" s="6"/>
      <c r="BX2090" s="6"/>
      <c r="BY2090" s="6"/>
      <c r="BZ2090" s="6"/>
      <c r="CA2090" s="6"/>
      <c r="CB2090" s="6"/>
      <c r="CC2090" s="6"/>
      <c r="CD2090" s="6"/>
      <c r="CE2090" s="6"/>
      <c r="CF2090" s="6"/>
      <c r="CG2090" s="6"/>
      <c r="CH2090" s="6"/>
      <c r="CI2090" s="6"/>
      <c r="CJ2090" s="6"/>
      <c r="CK2090" s="6"/>
      <c r="CL2090" s="6"/>
      <c r="CM2090" s="6"/>
      <c r="CN2090" s="6"/>
      <c r="CO2090" s="6"/>
      <c r="CP2090" s="6"/>
      <c r="CQ2090" s="6"/>
      <c r="CR2090" s="6"/>
      <c r="CS2090" s="6"/>
      <c r="CT2090" s="6"/>
      <c r="CU2090" s="6"/>
      <c r="CV2090" s="6"/>
      <c r="CW2090" s="6"/>
      <c r="CX2090" s="6"/>
      <c r="CY2090" s="6"/>
      <c r="CZ2090" s="6"/>
      <c r="DA2090" s="6"/>
      <c r="DB2090" s="6"/>
      <c r="DC2090" s="6"/>
      <c r="DD2090" s="6"/>
    </row>
    <row r="2091" spans="1:108" ht="12.75" hidden="1" customHeight="1" outlineLevel="5">
      <c r="A2091" s="104" t="s">
        <v>72</v>
      </c>
      <c r="B2091" s="28">
        <f t="shared" si="110"/>
        <v>100</v>
      </c>
      <c r="C2091" s="11"/>
      <c r="D2091" s="18" t="str">
        <f>"&lt;" &amp; A2091 &amp; "&gt;" &amp; TEXT(B2091,"0.000000") &amp; "&lt;/" &amp; A2091 &amp; "&gt;"</f>
        <v>&lt;RefArea&gt;100.000000&lt;/RefArea&gt;</v>
      </c>
      <c r="F2091" s="6"/>
      <c r="G2091" s="6"/>
      <c r="H2091" s="6"/>
      <c r="I2091" s="6"/>
      <c r="J2091" s="6"/>
      <c r="K2091" s="6"/>
      <c r="L2091" s="6"/>
      <c r="M2091" s="6"/>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c r="BU2091" s="6"/>
      <c r="BV2091" s="6"/>
      <c r="BW2091" s="6"/>
      <c r="BX2091" s="6"/>
      <c r="BY2091" s="6"/>
      <c r="BZ2091" s="6"/>
      <c r="CA2091" s="6"/>
      <c r="CB2091" s="6"/>
      <c r="CC2091" s="6"/>
      <c r="CD2091" s="6"/>
      <c r="CE2091" s="6"/>
      <c r="CF2091" s="6"/>
      <c r="CG2091" s="6"/>
      <c r="CH2091" s="6"/>
      <c r="CI2091" s="6"/>
      <c r="CJ2091" s="6"/>
      <c r="CK2091" s="6"/>
      <c r="CL2091" s="6"/>
      <c r="CM2091" s="6"/>
      <c r="CN2091" s="6"/>
      <c r="CO2091" s="6"/>
      <c r="CP2091" s="6"/>
      <c r="CQ2091" s="6"/>
      <c r="CR2091" s="6"/>
      <c r="CS2091" s="6"/>
      <c r="CT2091" s="6"/>
      <c r="CU2091" s="6"/>
      <c r="CV2091" s="6"/>
      <c r="CW2091" s="6"/>
      <c r="CX2091" s="6"/>
      <c r="CY2091" s="6"/>
      <c r="CZ2091" s="6"/>
      <c r="DA2091" s="6"/>
      <c r="DB2091" s="6"/>
      <c r="DC2091" s="6"/>
      <c r="DD2091" s="6"/>
    </row>
    <row r="2092" spans="1:108" ht="12.75" hidden="1" customHeight="1" outlineLevel="5">
      <c r="A2092" s="104" t="s">
        <v>73</v>
      </c>
      <c r="B2092" s="28">
        <f t="shared" si="110"/>
        <v>10</v>
      </c>
      <c r="C2092" s="11"/>
      <c r="D2092" s="18" t="str">
        <f>"&lt;" &amp; A2092 &amp; "&gt;" &amp; TEXT(B2092,"0.000000") &amp; "&lt;/" &amp; A2092 &amp; "&gt;"</f>
        <v>&lt;RefSpan&gt;10.000000&lt;/RefSpan&gt;</v>
      </c>
      <c r="F2092" s="6"/>
      <c r="G2092" s="6"/>
      <c r="H2092" s="6"/>
      <c r="I2092" s="6"/>
      <c r="J2092" s="6"/>
      <c r="K2092" s="6"/>
      <c r="L2092" s="6"/>
      <c r="M2092" s="6"/>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c r="BU2092" s="6"/>
      <c r="BV2092" s="6"/>
      <c r="BW2092" s="6"/>
      <c r="BX2092" s="6"/>
      <c r="BY2092" s="6"/>
      <c r="BZ2092" s="6"/>
      <c r="CA2092" s="6"/>
      <c r="CB2092" s="6"/>
      <c r="CC2092" s="6"/>
      <c r="CD2092" s="6"/>
      <c r="CE2092" s="6"/>
      <c r="CF2092" s="6"/>
      <c r="CG2092" s="6"/>
      <c r="CH2092" s="6"/>
      <c r="CI2092" s="6"/>
      <c r="CJ2092" s="6"/>
      <c r="CK2092" s="6"/>
      <c r="CL2092" s="6"/>
      <c r="CM2092" s="6"/>
      <c r="CN2092" s="6"/>
      <c r="CO2092" s="6"/>
      <c r="CP2092" s="6"/>
      <c r="CQ2092" s="6"/>
      <c r="CR2092" s="6"/>
      <c r="CS2092" s="6"/>
      <c r="CT2092" s="6"/>
      <c r="CU2092" s="6"/>
      <c r="CV2092" s="6"/>
      <c r="CW2092" s="6"/>
      <c r="CX2092" s="6"/>
      <c r="CY2092" s="6"/>
      <c r="CZ2092" s="6"/>
      <c r="DA2092" s="6"/>
      <c r="DB2092" s="6"/>
      <c r="DC2092" s="6"/>
      <c r="DD2092" s="6"/>
    </row>
    <row r="2093" spans="1:108" ht="12.75" hidden="1" customHeight="1" outlineLevel="5">
      <c r="A2093" s="104" t="s">
        <v>74</v>
      </c>
      <c r="B2093" s="28">
        <f t="shared" si="110"/>
        <v>1</v>
      </c>
      <c r="C2093" s="11"/>
      <c r="D2093" s="18" t="str">
        <f>"&lt;" &amp; A2093 &amp; "&gt;" &amp; TEXT(B2093,"0.000000") &amp; "&lt;/" &amp; A2093 &amp; "&gt;"</f>
        <v>&lt;RefCbar&gt;1.000000&lt;/RefCbar&gt;</v>
      </c>
      <c r="F2093" s="6"/>
      <c r="G2093" s="6"/>
      <c r="H2093" s="6"/>
      <c r="I2093" s="6"/>
      <c r="J2093" s="6"/>
      <c r="K2093" s="6"/>
      <c r="L2093" s="6"/>
      <c r="M2093" s="6"/>
      <c r="N2093" s="6"/>
      <c r="O2093" s="6"/>
      <c r="P2093" s="6"/>
      <c r="Q2093" s="6"/>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c r="BU2093" s="6"/>
      <c r="BV2093" s="6"/>
      <c r="BW2093" s="6"/>
      <c r="BX2093" s="6"/>
      <c r="BY2093" s="6"/>
      <c r="BZ2093" s="6"/>
      <c r="CA2093" s="6"/>
      <c r="CB2093" s="6"/>
      <c r="CC2093" s="6"/>
      <c r="CD2093" s="6"/>
      <c r="CE2093" s="6"/>
      <c r="CF2093" s="6"/>
      <c r="CG2093" s="6"/>
      <c r="CH2093" s="6"/>
      <c r="CI2093" s="6"/>
      <c r="CJ2093" s="6"/>
      <c r="CK2093" s="6"/>
      <c r="CL2093" s="6"/>
      <c r="CM2093" s="6"/>
      <c r="CN2093" s="6"/>
      <c r="CO2093" s="6"/>
      <c r="CP2093" s="6"/>
      <c r="CQ2093" s="6"/>
      <c r="CR2093" s="6"/>
      <c r="CS2093" s="6"/>
      <c r="CT2093" s="6"/>
      <c r="CU2093" s="6"/>
      <c r="CV2093" s="6"/>
      <c r="CW2093" s="6"/>
      <c r="CX2093" s="6"/>
      <c r="CY2093" s="6"/>
      <c r="CZ2093" s="6"/>
      <c r="DA2093" s="6"/>
      <c r="DB2093" s="6"/>
      <c r="DC2093" s="6"/>
      <c r="DD2093" s="6"/>
    </row>
    <row r="2094" spans="1:108" ht="12.75" hidden="1" customHeight="1" outlineLevel="5">
      <c r="A2094" s="104" t="s">
        <v>75</v>
      </c>
      <c r="B2094" s="28">
        <f t="shared" si="110"/>
        <v>1</v>
      </c>
      <c r="C2094" s="11"/>
      <c r="D2094" s="18" t="str">
        <f>"&lt;" &amp; A2094 &amp; "&gt;" &amp; TEXT(B2094,0) &amp; "&lt;/" &amp; A2094 &amp; "&gt;"</f>
        <v>&lt;AutoRefAreaFlag&gt;1&lt;/AutoRefAreaFlag&gt;</v>
      </c>
      <c r="F2094" s="6"/>
      <c r="G2094" s="6"/>
      <c r="H2094" s="6"/>
      <c r="I2094" s="6"/>
      <c r="J2094" s="6"/>
      <c r="K2094" s="6"/>
      <c r="L2094" s="6"/>
      <c r="M2094" s="6"/>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c r="BU2094" s="6"/>
      <c r="BV2094" s="6"/>
      <c r="BW2094" s="6"/>
      <c r="BX2094" s="6"/>
      <c r="BY2094" s="6"/>
      <c r="BZ2094" s="6"/>
      <c r="CA2094" s="6"/>
      <c r="CB2094" s="6"/>
      <c r="CC2094" s="6"/>
      <c r="CD2094" s="6"/>
      <c r="CE2094" s="6"/>
      <c r="CF2094" s="6"/>
      <c r="CG2094" s="6"/>
      <c r="CH2094" s="6"/>
      <c r="CI2094" s="6"/>
      <c r="CJ2094" s="6"/>
      <c r="CK2094" s="6"/>
      <c r="CL2094" s="6"/>
      <c r="CM2094" s="6"/>
      <c r="CN2094" s="6"/>
      <c r="CO2094" s="6"/>
      <c r="CP2094" s="6"/>
      <c r="CQ2094" s="6"/>
      <c r="CR2094" s="6"/>
      <c r="CS2094" s="6"/>
      <c r="CT2094" s="6"/>
      <c r="CU2094" s="6"/>
      <c r="CV2094" s="6"/>
      <c r="CW2094" s="6"/>
      <c r="CX2094" s="6"/>
      <c r="CY2094" s="6"/>
      <c r="CZ2094" s="6"/>
      <c r="DA2094" s="6"/>
      <c r="DB2094" s="6"/>
      <c r="DC2094" s="6"/>
      <c r="DD2094" s="6"/>
    </row>
    <row r="2095" spans="1:108" ht="12.75" hidden="1" customHeight="1" outlineLevel="5">
      <c r="A2095" s="104" t="s">
        <v>76</v>
      </c>
      <c r="B2095" s="28">
        <f t="shared" si="110"/>
        <v>1</v>
      </c>
      <c r="C2095" s="11"/>
      <c r="D2095" s="18" t="str">
        <f>"&lt;" &amp; A2095 &amp; "&gt;" &amp; TEXT(B2095,0) &amp; "&lt;/" &amp; A2095 &amp; "&gt;"</f>
        <v>&lt;AutoRefSpanFlag&gt;1&lt;/AutoRefSpanFlag&gt;</v>
      </c>
      <c r="F2095" s="6"/>
      <c r="G2095" s="6"/>
      <c r="H2095" s="6"/>
      <c r="I2095" s="6"/>
      <c r="J2095" s="6"/>
      <c r="K2095" s="6"/>
      <c r="L2095" s="6"/>
      <c r="M2095" s="6"/>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c r="BU2095" s="6"/>
      <c r="BV2095" s="6"/>
      <c r="BW2095" s="6"/>
      <c r="BX2095" s="6"/>
      <c r="BY2095" s="6"/>
      <c r="BZ2095" s="6"/>
      <c r="CA2095" s="6"/>
      <c r="CB2095" s="6"/>
      <c r="CC2095" s="6"/>
      <c r="CD2095" s="6"/>
      <c r="CE2095" s="6"/>
      <c r="CF2095" s="6"/>
      <c r="CG2095" s="6"/>
      <c r="CH2095" s="6"/>
      <c r="CI2095" s="6"/>
      <c r="CJ2095" s="6"/>
      <c r="CK2095" s="6"/>
      <c r="CL2095" s="6"/>
      <c r="CM2095" s="6"/>
      <c r="CN2095" s="6"/>
      <c r="CO2095" s="6"/>
      <c r="CP2095" s="6"/>
      <c r="CQ2095" s="6"/>
      <c r="CR2095" s="6"/>
      <c r="CS2095" s="6"/>
      <c r="CT2095" s="6"/>
      <c r="CU2095" s="6"/>
      <c r="CV2095" s="6"/>
      <c r="CW2095" s="6"/>
      <c r="CX2095" s="6"/>
      <c r="CY2095" s="6"/>
      <c r="CZ2095" s="6"/>
      <c r="DA2095" s="6"/>
      <c r="DB2095" s="6"/>
      <c r="DC2095" s="6"/>
      <c r="DD2095" s="6"/>
    </row>
    <row r="2096" spans="1:108" ht="12.75" hidden="1" customHeight="1" outlineLevel="5">
      <c r="A2096" s="104" t="s">
        <v>77</v>
      </c>
      <c r="B2096" s="28">
        <f t="shared" si="110"/>
        <v>1</v>
      </c>
      <c r="C2096" s="11"/>
      <c r="D2096" s="18" t="str">
        <f>"&lt;" &amp; A2096 &amp; "&gt;" &amp; TEXT(B2096,0) &amp; "&lt;/" &amp; A2096 &amp; "&gt;"</f>
        <v>&lt;AutoRefCbarFlag&gt;1&lt;/AutoRefCbarFlag&gt;</v>
      </c>
      <c r="F2096" s="6"/>
      <c r="G2096" s="6"/>
      <c r="H2096" s="6"/>
      <c r="I2096" s="6"/>
      <c r="J2096" s="6"/>
      <c r="K2096" s="6"/>
      <c r="L2096" s="6"/>
      <c r="M2096" s="6"/>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c r="BU2096" s="6"/>
      <c r="BV2096" s="6"/>
      <c r="BW2096" s="6"/>
      <c r="BX2096" s="6"/>
      <c r="BY2096" s="6"/>
      <c r="BZ2096" s="6"/>
      <c r="CA2096" s="6"/>
      <c r="CB2096" s="6"/>
      <c r="CC2096" s="6"/>
      <c r="CD2096" s="6"/>
      <c r="CE2096" s="6"/>
      <c r="CF2096" s="6"/>
      <c r="CG2096" s="6"/>
      <c r="CH2096" s="6"/>
      <c r="CI2096" s="6"/>
      <c r="CJ2096" s="6"/>
      <c r="CK2096" s="6"/>
      <c r="CL2096" s="6"/>
      <c r="CM2096" s="6"/>
      <c r="CN2096" s="6"/>
      <c r="CO2096" s="6"/>
      <c r="CP2096" s="6"/>
      <c r="CQ2096" s="6"/>
      <c r="CR2096" s="6"/>
      <c r="CS2096" s="6"/>
      <c r="CT2096" s="6"/>
      <c r="CU2096" s="6"/>
      <c r="CV2096" s="6"/>
      <c r="CW2096" s="6"/>
      <c r="CX2096" s="6"/>
      <c r="CY2096" s="6"/>
      <c r="CZ2096" s="6"/>
      <c r="DA2096" s="6"/>
      <c r="DB2096" s="6"/>
      <c r="DC2096" s="6"/>
      <c r="DD2096" s="6"/>
    </row>
    <row r="2097" spans="1:108" ht="12.75" hidden="1" customHeight="1" outlineLevel="5">
      <c r="A2097" s="104" t="s">
        <v>78</v>
      </c>
      <c r="B2097" s="28">
        <f t="shared" si="110"/>
        <v>0</v>
      </c>
      <c r="C2097" s="11"/>
      <c r="D2097" s="18" t="str">
        <f>"&lt;" &amp; A2097 &amp; "&gt;" &amp; TEXT(B2097,"0.000000") &amp; "&lt;/" &amp; A2097 &amp; "&gt;"</f>
        <v>&lt;AeroCenter_X&gt;0.000000&lt;/AeroCenter_X&gt;</v>
      </c>
      <c r="F2097" s="6"/>
      <c r="G2097" s="6"/>
      <c r="H2097" s="6"/>
      <c r="I2097" s="6"/>
      <c r="J2097" s="6"/>
      <c r="K2097" s="6"/>
      <c r="L2097" s="6"/>
      <c r="M2097" s="6"/>
      <c r="N2097" s="6"/>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c r="BU2097" s="6"/>
      <c r="BV2097" s="6"/>
      <c r="BW2097" s="6"/>
      <c r="BX2097" s="6"/>
      <c r="BY2097" s="6"/>
      <c r="BZ2097" s="6"/>
      <c r="CA2097" s="6"/>
      <c r="CB2097" s="6"/>
      <c r="CC2097" s="6"/>
      <c r="CD2097" s="6"/>
      <c r="CE2097" s="6"/>
      <c r="CF2097" s="6"/>
      <c r="CG2097" s="6"/>
      <c r="CH2097" s="6"/>
      <c r="CI2097" s="6"/>
      <c r="CJ2097" s="6"/>
      <c r="CK2097" s="6"/>
      <c r="CL2097" s="6"/>
      <c r="CM2097" s="6"/>
      <c r="CN2097" s="6"/>
      <c r="CO2097" s="6"/>
      <c r="CP2097" s="6"/>
      <c r="CQ2097" s="6"/>
      <c r="CR2097" s="6"/>
      <c r="CS2097" s="6"/>
      <c r="CT2097" s="6"/>
      <c r="CU2097" s="6"/>
      <c r="CV2097" s="6"/>
      <c r="CW2097" s="6"/>
      <c r="CX2097" s="6"/>
      <c r="CY2097" s="6"/>
      <c r="CZ2097" s="6"/>
      <c r="DA2097" s="6"/>
      <c r="DB2097" s="6"/>
      <c r="DC2097" s="6"/>
      <c r="DD2097" s="6"/>
    </row>
    <row r="2098" spans="1:108" ht="12.75" hidden="1" customHeight="1" outlineLevel="5">
      <c r="A2098" s="104" t="s">
        <v>79</v>
      </c>
      <c r="B2098" s="28">
        <f t="shared" si="110"/>
        <v>0</v>
      </c>
      <c r="C2098" s="11"/>
      <c r="D2098" s="18" t="str">
        <f>"&lt;" &amp; A2098 &amp; "&gt;" &amp; TEXT(B2098,"0.000000") &amp; "&lt;/" &amp; A2098 &amp; "&gt;"</f>
        <v>&lt;AeroCenter_Y&gt;0.000000&lt;/AeroCenter_Y&gt;</v>
      </c>
      <c r="F2098" s="6"/>
      <c r="G2098" s="6"/>
      <c r="H2098" s="6"/>
      <c r="I2098" s="6"/>
      <c r="J2098" s="6"/>
      <c r="K2098" s="6"/>
      <c r="L2098" s="6"/>
      <c r="M2098" s="6"/>
      <c r="N2098" s="6"/>
      <c r="O2098" s="6"/>
      <c r="P2098" s="6"/>
      <c r="Q2098" s="6"/>
      <c r="R2098" s="6"/>
      <c r="S2098" s="6"/>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c r="BU2098" s="6"/>
      <c r="BV2098" s="6"/>
      <c r="BW2098" s="6"/>
      <c r="BX2098" s="6"/>
      <c r="BY2098" s="6"/>
      <c r="BZ2098" s="6"/>
      <c r="CA2098" s="6"/>
      <c r="CB2098" s="6"/>
      <c r="CC2098" s="6"/>
      <c r="CD2098" s="6"/>
      <c r="CE2098" s="6"/>
      <c r="CF2098" s="6"/>
      <c r="CG2098" s="6"/>
      <c r="CH2098" s="6"/>
      <c r="CI2098" s="6"/>
      <c r="CJ2098" s="6"/>
      <c r="CK2098" s="6"/>
      <c r="CL2098" s="6"/>
      <c r="CM2098" s="6"/>
      <c r="CN2098" s="6"/>
      <c r="CO2098" s="6"/>
      <c r="CP2098" s="6"/>
      <c r="CQ2098" s="6"/>
      <c r="CR2098" s="6"/>
      <c r="CS2098" s="6"/>
      <c r="CT2098" s="6"/>
      <c r="CU2098" s="6"/>
      <c r="CV2098" s="6"/>
      <c r="CW2098" s="6"/>
      <c r="CX2098" s="6"/>
      <c r="CY2098" s="6"/>
      <c r="CZ2098" s="6"/>
      <c r="DA2098" s="6"/>
      <c r="DB2098" s="6"/>
      <c r="DC2098" s="6"/>
      <c r="DD2098" s="6"/>
    </row>
    <row r="2099" spans="1:108" ht="12.75" hidden="1" customHeight="1" outlineLevel="5">
      <c r="A2099" s="104" t="s">
        <v>80</v>
      </c>
      <c r="B2099" s="28">
        <f t="shared" si="110"/>
        <v>0</v>
      </c>
      <c r="C2099" s="11"/>
      <c r="D2099" s="18" t="str">
        <f>"&lt;" &amp; A2099 &amp; "&gt;" &amp; TEXT(B2099,"0.000000") &amp; "&lt;/" &amp; A2099 &amp; "&gt;"</f>
        <v>&lt;AeroCenter_Z&gt;0.000000&lt;/AeroCenter_Z&gt;</v>
      </c>
      <c r="F2099" s="6"/>
      <c r="G2099" s="6"/>
      <c r="H2099" s="6"/>
      <c r="I2099" s="6"/>
      <c r="J2099" s="6"/>
      <c r="K2099" s="6"/>
      <c r="L2099" s="6"/>
      <c r="M2099" s="6"/>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c r="BU2099" s="6"/>
      <c r="BV2099" s="6"/>
      <c r="BW2099" s="6"/>
      <c r="BX2099" s="6"/>
      <c r="BY2099" s="6"/>
      <c r="BZ2099" s="6"/>
      <c r="CA2099" s="6"/>
      <c r="CB2099" s="6"/>
      <c r="CC2099" s="6"/>
      <c r="CD2099" s="6"/>
      <c r="CE2099" s="6"/>
      <c r="CF2099" s="6"/>
      <c r="CG2099" s="6"/>
      <c r="CH2099" s="6"/>
      <c r="CI2099" s="6"/>
      <c r="CJ2099" s="6"/>
      <c r="CK2099" s="6"/>
      <c r="CL2099" s="6"/>
      <c r="CM2099" s="6"/>
      <c r="CN2099" s="6"/>
      <c r="CO2099" s="6"/>
      <c r="CP2099" s="6"/>
      <c r="CQ2099" s="6"/>
      <c r="CR2099" s="6"/>
      <c r="CS2099" s="6"/>
      <c r="CT2099" s="6"/>
      <c r="CU2099" s="6"/>
      <c r="CV2099" s="6"/>
      <c r="CW2099" s="6"/>
      <c r="CX2099" s="6"/>
      <c r="CY2099" s="6"/>
      <c r="CZ2099" s="6"/>
      <c r="DA2099" s="6"/>
      <c r="DB2099" s="6"/>
      <c r="DC2099" s="6"/>
      <c r="DD2099" s="6"/>
    </row>
    <row r="2100" spans="1:108" ht="12.75" hidden="1" customHeight="1" outlineLevel="5">
      <c r="A2100" s="104" t="s">
        <v>81</v>
      </c>
      <c r="B2100" s="28">
        <f t="shared" si="110"/>
        <v>1</v>
      </c>
      <c r="C2100" s="11"/>
      <c r="D2100" s="18" t="str">
        <f>"&lt;" &amp; A2100 &amp; "&gt;" &amp; TEXT(B2100,0) &amp; "&lt;/" &amp; A2100 &amp; "&gt;"</f>
        <v>&lt;AutoAeroCenterFlag&gt;1&lt;/AutoAeroCenterFlag&gt;</v>
      </c>
      <c r="F2100" s="6"/>
      <c r="G2100" s="6"/>
      <c r="H2100" s="6"/>
      <c r="I2100" s="6"/>
      <c r="J2100" s="6"/>
      <c r="K2100" s="6"/>
      <c r="L2100" s="6"/>
      <c r="M2100" s="6"/>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c r="BU2100" s="6"/>
      <c r="BV2100" s="6"/>
      <c r="BW2100" s="6"/>
      <c r="BX2100" s="6"/>
      <c r="BY2100" s="6"/>
      <c r="BZ2100" s="6"/>
      <c r="CA2100" s="6"/>
      <c r="CB2100" s="6"/>
      <c r="CC2100" s="6"/>
      <c r="CD2100" s="6"/>
      <c r="CE2100" s="6"/>
      <c r="CF2100" s="6"/>
      <c r="CG2100" s="6"/>
      <c r="CH2100" s="6"/>
      <c r="CI2100" s="6"/>
      <c r="CJ2100" s="6"/>
      <c r="CK2100" s="6"/>
      <c r="CL2100" s="6"/>
      <c r="CM2100" s="6"/>
      <c r="CN2100" s="6"/>
      <c r="CO2100" s="6"/>
      <c r="CP2100" s="6"/>
      <c r="CQ2100" s="6"/>
      <c r="CR2100" s="6"/>
      <c r="CS2100" s="6"/>
      <c r="CT2100" s="6"/>
      <c r="CU2100" s="6"/>
      <c r="CV2100" s="6"/>
      <c r="CW2100" s="6"/>
      <c r="CX2100" s="6"/>
      <c r="CY2100" s="6"/>
      <c r="CZ2100" s="6"/>
      <c r="DA2100" s="6"/>
      <c r="DB2100" s="6"/>
      <c r="DC2100" s="6"/>
      <c r="DD2100" s="6"/>
    </row>
    <row r="2101" spans="1:108" ht="12.75" hidden="1" customHeight="1" outlineLevel="5">
      <c r="A2101" s="104" t="s">
        <v>82</v>
      </c>
      <c r="B2101" s="28">
        <f t="shared" si="110"/>
        <v>0</v>
      </c>
      <c r="C2101" s="11"/>
      <c r="D2101" s="18" t="str">
        <f>"&lt;" &amp; A2101 &amp; "&gt;" &amp; TEXT(B2101,0) &amp; "&lt;/" &amp; A2101 &amp; "&gt;"</f>
        <v>&lt;WakeActiveFlag&gt;0&lt;/WakeActiveFlag&gt;</v>
      </c>
      <c r="F2101" s="6"/>
      <c r="G2101" s="6"/>
      <c r="H2101" s="6"/>
      <c r="I2101" s="6"/>
      <c r="J2101" s="6"/>
      <c r="K2101" s="6"/>
      <c r="L2101" s="6"/>
      <c r="M2101" s="6"/>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c r="BU2101" s="6"/>
      <c r="BV2101" s="6"/>
      <c r="BW2101" s="6"/>
      <c r="BX2101" s="6"/>
      <c r="BY2101" s="6"/>
      <c r="BZ2101" s="6"/>
      <c r="CA2101" s="6"/>
      <c r="CB2101" s="6"/>
      <c r="CC2101" s="6"/>
      <c r="CD2101" s="6"/>
      <c r="CE2101" s="6"/>
      <c r="CF2101" s="6"/>
      <c r="CG2101" s="6"/>
      <c r="CH2101" s="6"/>
      <c r="CI2101" s="6"/>
      <c r="CJ2101" s="6"/>
      <c r="CK2101" s="6"/>
      <c r="CL2101" s="6"/>
      <c r="CM2101" s="6"/>
      <c r="CN2101" s="6"/>
      <c r="CO2101" s="6"/>
      <c r="CP2101" s="6"/>
      <c r="CQ2101" s="6"/>
      <c r="CR2101" s="6"/>
      <c r="CS2101" s="6"/>
      <c r="CT2101" s="6"/>
      <c r="CU2101" s="6"/>
      <c r="CV2101" s="6"/>
      <c r="CW2101" s="6"/>
      <c r="CX2101" s="6"/>
      <c r="CY2101" s="6"/>
      <c r="CZ2101" s="6"/>
      <c r="DA2101" s="6"/>
      <c r="DB2101" s="6"/>
      <c r="DC2101" s="6"/>
      <c r="DD2101" s="6"/>
    </row>
    <row r="2102" spans="1:108" ht="12.75" hidden="1" customHeight="1" outlineLevel="5">
      <c r="A2102" s="104" t="s">
        <v>83</v>
      </c>
      <c r="B2102" s="28">
        <f t="shared" si="110"/>
        <v>3</v>
      </c>
      <c r="C2102" s="11"/>
      <c r="D2102" s="18" t="str">
        <f>"&lt;" &amp; A2102 &amp; "&gt;" &amp; TEXT(B2102,0) &amp; "&lt;/" &amp; A2102 &amp; "&gt;"</f>
        <v>&lt;PosAttachFlag&gt;3&lt;/PosAttachFlag&gt;</v>
      </c>
      <c r="F2102" s="6"/>
      <c r="G2102" s="6"/>
      <c r="H2102" s="6"/>
      <c r="I2102" s="6"/>
      <c r="J2102" s="6"/>
      <c r="K2102" s="6"/>
      <c r="L2102" s="6"/>
      <c r="M2102" s="6"/>
      <c r="N2102" s="6"/>
      <c r="O2102" s="6"/>
      <c r="P2102" s="6"/>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c r="BU2102" s="6"/>
      <c r="BV2102" s="6"/>
      <c r="BW2102" s="6"/>
      <c r="BX2102" s="6"/>
      <c r="BY2102" s="6"/>
      <c r="BZ2102" s="6"/>
      <c r="CA2102" s="6"/>
      <c r="CB2102" s="6"/>
      <c r="CC2102" s="6"/>
      <c r="CD2102" s="6"/>
      <c r="CE2102" s="6"/>
      <c r="CF2102" s="6"/>
      <c r="CG2102" s="6"/>
      <c r="CH2102" s="6"/>
      <c r="CI2102" s="6"/>
      <c r="CJ2102" s="6"/>
      <c r="CK2102" s="6"/>
      <c r="CL2102" s="6"/>
      <c r="CM2102" s="6"/>
      <c r="CN2102" s="6"/>
      <c r="CO2102" s="6"/>
      <c r="CP2102" s="6"/>
      <c r="CQ2102" s="6"/>
      <c r="CR2102" s="6"/>
      <c r="CS2102" s="6"/>
      <c r="CT2102" s="6"/>
      <c r="CU2102" s="6"/>
      <c r="CV2102" s="6"/>
      <c r="CW2102" s="6"/>
      <c r="CX2102" s="6"/>
      <c r="CY2102" s="6"/>
      <c r="CZ2102" s="6"/>
      <c r="DA2102" s="6"/>
      <c r="DB2102" s="6"/>
      <c r="DC2102" s="6"/>
      <c r="DD2102" s="6"/>
    </row>
    <row r="2103" spans="1:108" ht="12.75" hidden="1" customHeight="1" outlineLevel="5">
      <c r="A2103" s="104" t="s">
        <v>84</v>
      </c>
      <c r="B2103" s="28">
        <f t="shared" si="110"/>
        <v>0</v>
      </c>
      <c r="C2103" s="11"/>
      <c r="D2103" s="18" t="str">
        <f>"&lt;" &amp; A2103 &amp; "&gt;" &amp; TEXT(B2103,"0.000000") &amp; "&lt;/" &amp; A2103 &amp; "&gt;"</f>
        <v>&lt;U_Attach&gt;0.000000&lt;/U_Attach&gt;</v>
      </c>
      <c r="F2103" s="6"/>
      <c r="G2103" s="6"/>
      <c r="H2103" s="6"/>
      <c r="I2103" s="6"/>
      <c r="J2103" s="6"/>
      <c r="K2103" s="6"/>
      <c r="L2103" s="6"/>
      <c r="M2103" s="6"/>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c r="BU2103" s="6"/>
      <c r="BV2103" s="6"/>
      <c r="BW2103" s="6"/>
      <c r="BX2103" s="6"/>
      <c r="BY2103" s="6"/>
      <c r="BZ2103" s="6"/>
      <c r="CA2103" s="6"/>
      <c r="CB2103" s="6"/>
      <c r="CC2103" s="6"/>
      <c r="CD2103" s="6"/>
      <c r="CE2103" s="6"/>
      <c r="CF2103" s="6"/>
      <c r="CG2103" s="6"/>
      <c r="CH2103" s="6"/>
      <c r="CI2103" s="6"/>
      <c r="CJ2103" s="6"/>
      <c r="CK2103" s="6"/>
      <c r="CL2103" s="6"/>
      <c r="CM2103" s="6"/>
      <c r="CN2103" s="6"/>
      <c r="CO2103" s="6"/>
      <c r="CP2103" s="6"/>
      <c r="CQ2103" s="6"/>
      <c r="CR2103" s="6"/>
      <c r="CS2103" s="6"/>
      <c r="CT2103" s="6"/>
      <c r="CU2103" s="6"/>
      <c r="CV2103" s="6"/>
      <c r="CW2103" s="6"/>
      <c r="CX2103" s="6"/>
      <c r="CY2103" s="6"/>
      <c r="CZ2103" s="6"/>
      <c r="DA2103" s="6"/>
      <c r="DB2103" s="6"/>
      <c r="DC2103" s="6"/>
      <c r="DD2103" s="6"/>
    </row>
    <row r="2104" spans="1:108" ht="12.75" hidden="1" customHeight="1" outlineLevel="5">
      <c r="A2104" s="104" t="s">
        <v>85</v>
      </c>
      <c r="B2104" s="28">
        <f t="shared" si="110"/>
        <v>0</v>
      </c>
      <c r="C2104" s="11"/>
      <c r="D2104" s="18" t="str">
        <f>"&lt;" &amp; A2104 &amp; "&gt;" &amp; TEXT(B2104,"0.000000") &amp; "&lt;/" &amp; A2104 &amp; "&gt;"</f>
        <v>&lt;V_Attach&gt;0.000000&lt;/V_Attach&gt;</v>
      </c>
      <c r="F2104" s="6"/>
      <c r="G2104" s="6"/>
      <c r="H2104" s="6"/>
      <c r="I2104" s="6"/>
      <c r="J2104" s="6"/>
      <c r="K2104" s="6"/>
      <c r="L2104" s="6"/>
      <c r="M2104" s="6"/>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c r="BU2104" s="6"/>
      <c r="BV2104" s="6"/>
      <c r="BW2104" s="6"/>
      <c r="BX2104" s="6"/>
      <c r="BY2104" s="6"/>
      <c r="BZ2104" s="6"/>
      <c r="CA2104" s="6"/>
      <c r="CB2104" s="6"/>
      <c r="CC2104" s="6"/>
      <c r="CD2104" s="6"/>
      <c r="CE2104" s="6"/>
      <c r="CF2104" s="6"/>
      <c r="CG2104" s="6"/>
      <c r="CH2104" s="6"/>
      <c r="CI2104" s="6"/>
      <c r="CJ2104" s="6"/>
      <c r="CK2104" s="6"/>
      <c r="CL2104" s="6"/>
      <c r="CM2104" s="6"/>
      <c r="CN2104" s="6"/>
      <c r="CO2104" s="6"/>
      <c r="CP2104" s="6"/>
      <c r="CQ2104" s="6"/>
      <c r="CR2104" s="6"/>
      <c r="CS2104" s="6"/>
      <c r="CT2104" s="6"/>
      <c r="CU2104" s="6"/>
      <c r="CV2104" s="6"/>
      <c r="CW2104" s="6"/>
      <c r="CX2104" s="6"/>
      <c r="CY2104" s="6"/>
      <c r="CZ2104" s="6"/>
      <c r="DA2104" s="6"/>
      <c r="DB2104" s="6"/>
      <c r="DC2104" s="6"/>
      <c r="DD2104" s="6"/>
    </row>
    <row r="2105" spans="1:108" ht="12.75" hidden="1" customHeight="1" outlineLevel="5">
      <c r="A2105" s="104" t="s">
        <v>86</v>
      </c>
      <c r="B2105" s="28">
        <v>148458297</v>
      </c>
      <c r="C2105" s="11"/>
      <c r="D2105" s="18" t="str">
        <f>"&lt;" &amp; A2105 &amp; "&gt;" &amp; TEXT(B2105,0) &amp; "&lt;/" &amp; A2105 &amp; "&gt;"</f>
        <v>&lt;PtrID&gt;148458297&lt;/PtrID&gt;</v>
      </c>
      <c r="F2105" s="6"/>
      <c r="G2105" s="6"/>
      <c r="H2105" s="6"/>
      <c r="I2105" s="6"/>
      <c r="J2105" s="6"/>
      <c r="K2105" s="6"/>
      <c r="L2105" s="6"/>
      <c r="M2105" s="6"/>
      <c r="N2105" s="6"/>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c r="BU2105" s="6"/>
      <c r="BV2105" s="6"/>
      <c r="BW2105" s="6"/>
      <c r="BX2105" s="6"/>
      <c r="BY2105" s="6"/>
      <c r="BZ2105" s="6"/>
      <c r="CA2105" s="6"/>
      <c r="CB2105" s="6"/>
      <c r="CC2105" s="6"/>
      <c r="CD2105" s="6"/>
      <c r="CE2105" s="6"/>
      <c r="CF2105" s="6"/>
      <c r="CG2105" s="6"/>
      <c r="CH2105" s="6"/>
      <c r="CI2105" s="6"/>
      <c r="CJ2105" s="6"/>
      <c r="CK2105" s="6"/>
      <c r="CL2105" s="6"/>
      <c r="CM2105" s="6"/>
      <c r="CN2105" s="6"/>
      <c r="CO2105" s="6"/>
      <c r="CP2105" s="6"/>
      <c r="CQ2105" s="6"/>
      <c r="CR2105" s="6"/>
      <c r="CS2105" s="6"/>
      <c r="CT2105" s="6"/>
      <c r="CU2105" s="6"/>
      <c r="CV2105" s="6"/>
      <c r="CW2105" s="6"/>
      <c r="CX2105" s="6"/>
      <c r="CY2105" s="6"/>
      <c r="CZ2105" s="6"/>
      <c r="DA2105" s="6"/>
      <c r="DB2105" s="6"/>
      <c r="DC2105" s="6"/>
      <c r="DD2105" s="6"/>
    </row>
    <row r="2106" spans="1:108" ht="12.75" hidden="1" customHeight="1" outlineLevel="5">
      <c r="A2106" s="104" t="s">
        <v>87</v>
      </c>
      <c r="B2106" s="28">
        <v>148674848</v>
      </c>
      <c r="C2106" s="11"/>
      <c r="D2106" s="18" t="str">
        <f>"&lt;" &amp; A2106 &amp; "&gt;" &amp; TEXT(B2106,0) &amp; "&lt;/" &amp; A2106 &amp; "&gt;"</f>
        <v>&lt;Parent_PtrID&gt;148674848&lt;/Parent_PtrID&gt;</v>
      </c>
      <c r="F2106" s="6"/>
      <c r="G2106" s="6"/>
      <c r="H2106" s="6"/>
      <c r="I2106" s="6"/>
      <c r="J2106" s="6"/>
      <c r="K2106" s="6"/>
      <c r="L2106" s="6"/>
      <c r="M2106" s="6"/>
      <c r="N2106" s="6"/>
      <c r="O2106" s="6"/>
      <c r="P2106" s="6"/>
      <c r="Q2106" s="6"/>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c r="BU2106" s="6"/>
      <c r="BV2106" s="6"/>
      <c r="BW2106" s="6"/>
      <c r="BX2106" s="6"/>
      <c r="BY2106" s="6"/>
      <c r="BZ2106" s="6"/>
      <c r="CA2106" s="6"/>
      <c r="CB2106" s="6"/>
      <c r="CC2106" s="6"/>
      <c r="CD2106" s="6"/>
      <c r="CE2106" s="6"/>
      <c r="CF2106" s="6"/>
      <c r="CG2106" s="6"/>
      <c r="CH2106" s="6"/>
      <c r="CI2106" s="6"/>
      <c r="CJ2106" s="6"/>
      <c r="CK2106" s="6"/>
      <c r="CL2106" s="6"/>
      <c r="CM2106" s="6"/>
      <c r="CN2106" s="6"/>
      <c r="CO2106" s="6"/>
      <c r="CP2106" s="6"/>
      <c r="CQ2106" s="6"/>
      <c r="CR2106" s="6"/>
      <c r="CS2106" s="6"/>
      <c r="CT2106" s="6"/>
      <c r="CU2106" s="6"/>
      <c r="CV2106" s="6"/>
      <c r="CW2106" s="6"/>
      <c r="CX2106" s="6"/>
      <c r="CY2106" s="6"/>
      <c r="CZ2106" s="6"/>
      <c r="DA2106" s="6"/>
      <c r="DB2106" s="6"/>
      <c r="DC2106" s="6"/>
      <c r="DD2106" s="6"/>
    </row>
    <row r="2107" spans="1:108" ht="12.75" hidden="1" customHeight="1" outlineLevel="5">
      <c r="A2107" s="104" t="s">
        <v>88</v>
      </c>
      <c r="B2107" s="100"/>
      <c r="C2107" s="11"/>
      <c r="D2107" s="6" t="str">
        <f>"&lt;" &amp; A2107 &amp; "&gt;"</f>
        <v>&lt;/General_Parms&gt;</v>
      </c>
      <c r="F2107" s="6"/>
      <c r="G2107" s="6"/>
      <c r="H2107" s="6"/>
      <c r="I2107" s="6"/>
      <c r="J2107" s="6"/>
      <c r="K2107" s="6"/>
      <c r="L2107" s="6"/>
      <c r="M2107" s="6"/>
      <c r="N2107" s="6"/>
      <c r="O2107" s="6"/>
      <c r="P2107" s="6"/>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c r="BU2107" s="6"/>
      <c r="BV2107" s="6"/>
      <c r="BW2107" s="6"/>
      <c r="BX2107" s="6"/>
      <c r="BY2107" s="6"/>
      <c r="BZ2107" s="6"/>
      <c r="CA2107" s="6"/>
      <c r="CB2107" s="6"/>
      <c r="CC2107" s="6"/>
      <c r="CD2107" s="6"/>
      <c r="CE2107" s="6"/>
      <c r="CF2107" s="6"/>
      <c r="CG2107" s="6"/>
      <c r="CH2107" s="6"/>
      <c r="CI2107" s="6"/>
      <c r="CJ2107" s="6"/>
      <c r="CK2107" s="6"/>
      <c r="CL2107" s="6"/>
      <c r="CM2107" s="6"/>
      <c r="CN2107" s="6"/>
      <c r="CO2107" s="6"/>
      <c r="CP2107" s="6"/>
      <c r="CQ2107" s="6"/>
      <c r="CR2107" s="6"/>
      <c r="CS2107" s="6"/>
      <c r="CT2107" s="6"/>
      <c r="CU2107" s="6"/>
      <c r="CV2107" s="6"/>
      <c r="CW2107" s="6"/>
      <c r="CX2107" s="6"/>
      <c r="CY2107" s="6"/>
      <c r="CZ2107" s="6"/>
      <c r="DA2107" s="6"/>
      <c r="DB2107" s="6"/>
      <c r="DC2107" s="6"/>
      <c r="DD2107" s="6"/>
    </row>
    <row r="2108" spans="1:108" ht="12.75" hidden="1" customHeight="1" outlineLevel="4" collapsed="1">
      <c r="A2108" s="104" t="s">
        <v>89</v>
      </c>
      <c r="B2108" s="100"/>
      <c r="C2108" s="11"/>
      <c r="D2108" s="6" t="str">
        <f>"&lt;" &amp; A2108 &amp; "&gt;"</f>
        <v>&lt;Mswing_Parms&gt;</v>
      </c>
      <c r="F2108" s="6"/>
      <c r="G2108" s="6"/>
      <c r="H2108" s="6"/>
      <c r="I2108" s="6"/>
      <c r="J2108" s="6"/>
      <c r="K2108" s="6"/>
      <c r="L2108" s="6"/>
      <c r="M2108" s="6"/>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c r="BU2108" s="6"/>
      <c r="BV2108" s="6"/>
      <c r="BW2108" s="6"/>
      <c r="BX2108" s="6"/>
      <c r="BY2108" s="6"/>
      <c r="BZ2108" s="6"/>
      <c r="CA2108" s="6"/>
      <c r="CB2108" s="6"/>
      <c r="CC2108" s="6"/>
      <c r="CD2108" s="6"/>
      <c r="CE2108" s="6"/>
      <c r="CF2108" s="6"/>
      <c r="CG2108" s="6"/>
      <c r="CH2108" s="6"/>
      <c r="CI2108" s="6"/>
      <c r="CJ2108" s="6"/>
      <c r="CK2108" s="6"/>
      <c r="CL2108" s="6"/>
      <c r="CM2108" s="6"/>
      <c r="CN2108" s="6"/>
      <c r="CO2108" s="6"/>
      <c r="CP2108" s="6"/>
      <c r="CQ2108" s="6"/>
      <c r="CR2108" s="6"/>
      <c r="CS2108" s="6"/>
      <c r="CT2108" s="6"/>
      <c r="CU2108" s="6"/>
      <c r="CV2108" s="6"/>
      <c r="CW2108" s="6"/>
      <c r="CX2108" s="6"/>
      <c r="CY2108" s="6"/>
      <c r="CZ2108" s="6"/>
      <c r="DA2108" s="6"/>
      <c r="DB2108" s="6"/>
      <c r="DC2108" s="6"/>
      <c r="DD2108" s="6"/>
    </row>
    <row r="2109" spans="1:108" ht="12.75" hidden="1" customHeight="1" outlineLevel="5">
      <c r="A2109" s="104" t="s">
        <v>90</v>
      </c>
      <c r="B2109" s="40">
        <f ca="1">B2169</f>
        <v>2.0493676844944742</v>
      </c>
      <c r="C2109" s="11"/>
      <c r="D2109" s="18" t="str">
        <f ca="1">"&lt;" &amp; A2109 &amp; "&gt;" &amp; TEXT(B2109,"0.000000") &amp; "&lt;/" &amp; A2109 &amp; "&gt;"</f>
        <v>&lt;Total_Area&gt;2.049368&lt;/Total_Area&gt;</v>
      </c>
      <c r="F2109" s="6"/>
      <c r="G2109" s="6"/>
      <c r="H2109" s="6"/>
      <c r="I2109" s="6"/>
      <c r="J2109" s="6"/>
      <c r="K2109" s="6"/>
      <c r="L2109" s="6"/>
      <c r="M2109" s="6"/>
      <c r="N2109" s="6"/>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c r="BU2109" s="6"/>
      <c r="BV2109" s="6"/>
      <c r="BW2109" s="6"/>
      <c r="BX2109" s="6"/>
      <c r="BY2109" s="6"/>
      <c r="BZ2109" s="6"/>
      <c r="CA2109" s="6"/>
      <c r="CB2109" s="6"/>
      <c r="CC2109" s="6"/>
      <c r="CD2109" s="6"/>
      <c r="CE2109" s="6"/>
      <c r="CF2109" s="6"/>
      <c r="CG2109" s="6"/>
      <c r="CH2109" s="6"/>
      <c r="CI2109" s="6"/>
      <c r="CJ2109" s="6"/>
      <c r="CK2109" s="6"/>
      <c r="CL2109" s="6"/>
      <c r="CM2109" s="6"/>
      <c r="CN2109" s="6"/>
      <c r="CO2109" s="6"/>
      <c r="CP2109" s="6"/>
      <c r="CQ2109" s="6"/>
      <c r="CR2109" s="6"/>
      <c r="CS2109" s="6"/>
      <c r="CT2109" s="6"/>
      <c r="CU2109" s="6"/>
      <c r="CV2109" s="6"/>
      <c r="CW2109" s="6"/>
      <c r="CX2109" s="6"/>
      <c r="CY2109" s="6"/>
      <c r="CZ2109" s="6"/>
      <c r="DA2109" s="6"/>
      <c r="DB2109" s="6"/>
      <c r="DC2109" s="6"/>
      <c r="DD2109" s="6"/>
    </row>
    <row r="2110" spans="1:108" ht="12.75" hidden="1" customHeight="1" outlineLevel="5">
      <c r="A2110" s="104" t="s">
        <v>91</v>
      </c>
      <c r="B2110" s="37">
        <f>B2170</f>
        <v>0.9</v>
      </c>
      <c r="C2110" s="11"/>
      <c r="D2110" s="18" t="str">
        <f>"&lt;" &amp; A2110 &amp; "&gt;" &amp; TEXT(B2110,"0.000000") &amp; "&lt;/" &amp; A2110 &amp; "&gt;"</f>
        <v>&lt;Total_Span&gt;0.900000&lt;/Total_Span&gt;</v>
      </c>
      <c r="F2110" s="6"/>
      <c r="G2110" s="6"/>
      <c r="H2110" s="6"/>
      <c r="I2110" s="6"/>
      <c r="J2110" s="6"/>
      <c r="K2110" s="6"/>
      <c r="L2110" s="6"/>
      <c r="M2110" s="6"/>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c r="BU2110" s="6"/>
      <c r="BV2110" s="6"/>
      <c r="BW2110" s="6"/>
      <c r="BX2110" s="6"/>
      <c r="BY2110" s="6"/>
      <c r="BZ2110" s="6"/>
      <c r="CA2110" s="6"/>
      <c r="CB2110" s="6"/>
      <c r="CC2110" s="6"/>
      <c r="CD2110" s="6"/>
      <c r="CE2110" s="6"/>
      <c r="CF2110" s="6"/>
      <c r="CG2110" s="6"/>
      <c r="CH2110" s="6"/>
      <c r="CI2110" s="6"/>
      <c r="CJ2110" s="6"/>
      <c r="CK2110" s="6"/>
      <c r="CL2110" s="6"/>
      <c r="CM2110" s="6"/>
      <c r="CN2110" s="6"/>
      <c r="CO2110" s="6"/>
      <c r="CP2110" s="6"/>
      <c r="CQ2110" s="6"/>
      <c r="CR2110" s="6"/>
      <c r="CS2110" s="6"/>
      <c r="CT2110" s="6"/>
      <c r="CU2110" s="6"/>
      <c r="CV2110" s="6"/>
      <c r="CW2110" s="6"/>
      <c r="CX2110" s="6"/>
      <c r="CY2110" s="6"/>
      <c r="CZ2110" s="6"/>
      <c r="DA2110" s="6"/>
      <c r="DB2110" s="6"/>
      <c r="DC2110" s="6"/>
      <c r="DD2110" s="6"/>
    </row>
    <row r="2111" spans="1:108" ht="12.75" hidden="1" customHeight="1" outlineLevel="5">
      <c r="A2111" s="104" t="s">
        <v>92</v>
      </c>
      <c r="B2111" s="37">
        <f>B2170*COS(B2177*PI()/180)</f>
        <v>0.9</v>
      </c>
      <c r="C2111" s="11"/>
      <c r="D2111" s="18" t="str">
        <f>"&lt;" &amp; A2111 &amp; "&gt;" &amp; TEXT(B2111,"0.000000") &amp; "&lt;/" &amp; A2111 &amp; "&gt;"</f>
        <v>&lt;Total_Proj_Span&gt;0.900000&lt;/Total_Proj_Span&gt;</v>
      </c>
      <c r="F2111" s="6"/>
      <c r="G2111" s="6"/>
      <c r="H2111" s="6"/>
      <c r="I2111" s="6"/>
      <c r="J2111" s="6"/>
      <c r="K2111" s="6"/>
      <c r="L2111" s="6"/>
      <c r="M2111" s="6"/>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c r="BU2111" s="6"/>
      <c r="BV2111" s="6"/>
      <c r="BW2111" s="6"/>
      <c r="BX2111" s="6"/>
      <c r="BY2111" s="6"/>
      <c r="BZ2111" s="6"/>
      <c r="CA2111" s="6"/>
      <c r="CB2111" s="6"/>
      <c r="CC2111" s="6"/>
      <c r="CD2111" s="6"/>
      <c r="CE2111" s="6"/>
      <c r="CF2111" s="6"/>
      <c r="CG2111" s="6"/>
      <c r="CH2111" s="6"/>
      <c r="CI2111" s="6"/>
      <c r="CJ2111" s="6"/>
      <c r="CK2111" s="6"/>
      <c r="CL2111" s="6"/>
      <c r="CM2111" s="6"/>
      <c r="CN2111" s="6"/>
      <c r="CO2111" s="6"/>
      <c r="CP2111" s="6"/>
      <c r="CQ2111" s="6"/>
      <c r="CR2111" s="6"/>
      <c r="CS2111" s="6"/>
      <c r="CT2111" s="6"/>
      <c r="CU2111" s="6"/>
      <c r="CV2111" s="6"/>
      <c r="CW2111" s="6"/>
      <c r="CX2111" s="6"/>
      <c r="CY2111" s="6"/>
      <c r="CZ2111" s="6"/>
      <c r="DA2111" s="6"/>
      <c r="DB2111" s="6"/>
      <c r="DC2111" s="6"/>
      <c r="DD2111" s="6"/>
    </row>
    <row r="2112" spans="1:108" ht="12.75" hidden="1" customHeight="1" outlineLevel="5">
      <c r="A2112" s="104" t="s">
        <v>93</v>
      </c>
      <c r="B2112" s="37">
        <f ca="1">B2109/B2110</f>
        <v>2.2770752049938601</v>
      </c>
      <c r="C2112" s="11"/>
      <c r="D2112" s="18" t="str">
        <f ca="1">"&lt;" &amp; A2112 &amp; "&gt;" &amp; TEXT(B2112,"0.000000") &amp; "&lt;/" &amp; A2112 &amp; "&gt;"</f>
        <v>&lt;Avg_Chord&gt;2.277075&lt;/Avg_Chord&gt;</v>
      </c>
      <c r="F2112" s="6"/>
      <c r="G2112" s="6"/>
      <c r="H2112" s="6"/>
      <c r="I2112" s="6"/>
      <c r="J2112" s="6"/>
      <c r="K2112" s="6"/>
      <c r="L2112" s="6"/>
      <c r="M2112" s="6"/>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c r="BU2112" s="6"/>
      <c r="BV2112" s="6"/>
      <c r="BW2112" s="6"/>
      <c r="BX2112" s="6"/>
      <c r="BY2112" s="6"/>
      <c r="BZ2112" s="6"/>
      <c r="CA2112" s="6"/>
      <c r="CB2112" s="6"/>
      <c r="CC2112" s="6"/>
      <c r="CD2112" s="6"/>
      <c r="CE2112" s="6"/>
      <c r="CF2112" s="6"/>
      <c r="CG2112" s="6"/>
      <c r="CH2112" s="6"/>
      <c r="CI2112" s="6"/>
      <c r="CJ2112" s="6"/>
      <c r="CK2112" s="6"/>
      <c r="CL2112" s="6"/>
      <c r="CM2112" s="6"/>
      <c r="CN2112" s="6"/>
      <c r="CO2112" s="6"/>
      <c r="CP2112" s="6"/>
      <c r="CQ2112" s="6"/>
      <c r="CR2112" s="6"/>
      <c r="CS2112" s="6"/>
      <c r="CT2112" s="6"/>
      <c r="CU2112" s="6"/>
      <c r="CV2112" s="6"/>
      <c r="CW2112" s="6"/>
      <c r="CX2112" s="6"/>
      <c r="CY2112" s="6"/>
      <c r="CZ2112" s="6"/>
      <c r="DA2112" s="6"/>
      <c r="DB2112" s="6"/>
      <c r="DC2112" s="6"/>
      <c r="DD2112" s="6"/>
    </row>
    <row r="2113" spans="1:108" ht="12.75" hidden="1" customHeight="1" outlineLevel="5">
      <c r="A2113" s="104" t="s">
        <v>94</v>
      </c>
      <c r="B2113" s="28">
        <f t="shared" ref="B2113:B2118" si="113">B1580</f>
        <v>0</v>
      </c>
      <c r="C2113" s="11"/>
      <c r="D2113" s="18" t="str">
        <f>"&lt;" &amp; A2113 &amp; "&gt;" &amp; TEXT(B2113,"0.000000") &amp; "&lt;/" &amp; A2113 &amp; "&gt;"</f>
        <v>&lt;Sweep_Off&gt;0.000000&lt;/Sweep_Off&gt;</v>
      </c>
      <c r="F2113" s="6"/>
      <c r="G2113" s="6"/>
      <c r="H2113" s="6"/>
      <c r="I2113" s="6"/>
      <c r="J2113" s="6"/>
      <c r="K2113" s="6"/>
      <c r="L2113" s="6"/>
      <c r="M2113" s="6"/>
      <c r="N2113" s="6"/>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c r="BU2113" s="6"/>
      <c r="BV2113" s="6"/>
      <c r="BW2113" s="6"/>
      <c r="BX2113" s="6"/>
      <c r="BY2113" s="6"/>
      <c r="BZ2113" s="6"/>
      <c r="CA2113" s="6"/>
      <c r="CB2113" s="6"/>
      <c r="CC2113" s="6"/>
      <c r="CD2113" s="6"/>
      <c r="CE2113" s="6"/>
      <c r="CF2113" s="6"/>
      <c r="CG2113" s="6"/>
      <c r="CH2113" s="6"/>
      <c r="CI2113" s="6"/>
      <c r="CJ2113" s="6"/>
      <c r="CK2113" s="6"/>
      <c r="CL2113" s="6"/>
      <c r="CM2113" s="6"/>
      <c r="CN2113" s="6"/>
      <c r="CO2113" s="6"/>
      <c r="CP2113" s="6"/>
      <c r="CQ2113" s="6"/>
      <c r="CR2113" s="6"/>
      <c r="CS2113" s="6"/>
      <c r="CT2113" s="6"/>
      <c r="CU2113" s="6"/>
      <c r="CV2113" s="6"/>
      <c r="CW2113" s="6"/>
      <c r="CX2113" s="6"/>
      <c r="CY2113" s="6"/>
      <c r="CZ2113" s="6"/>
      <c r="DA2113" s="6"/>
      <c r="DB2113" s="6"/>
      <c r="DC2113" s="6"/>
      <c r="DD2113" s="6"/>
    </row>
    <row r="2114" spans="1:108" ht="12.75" hidden="1" customHeight="1" outlineLevel="5">
      <c r="A2114" s="104" t="s">
        <v>95</v>
      </c>
      <c r="B2114" s="28">
        <f t="shared" si="113"/>
        <v>9</v>
      </c>
      <c r="C2114" s="11"/>
      <c r="D2114" s="18" t="str">
        <f>"&lt;" &amp; A2114 &amp; "&gt;" &amp; TEXT(B2114,0) &amp; "&lt;/" &amp; A2114 &amp; "&gt;"</f>
        <v>&lt;Deg_Per_Seg&gt;9&lt;/Deg_Per_Seg&gt;</v>
      </c>
      <c r="F2114" s="6"/>
      <c r="G2114" s="6"/>
      <c r="H2114" s="6"/>
      <c r="I2114" s="6"/>
      <c r="J2114" s="6"/>
      <c r="K2114" s="6"/>
      <c r="L2114" s="6"/>
      <c r="M2114" s="6"/>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c r="BU2114" s="6"/>
      <c r="BV2114" s="6"/>
      <c r="BW2114" s="6"/>
      <c r="BX2114" s="6"/>
      <c r="BY2114" s="6"/>
      <c r="BZ2114" s="6"/>
      <c r="CA2114" s="6"/>
      <c r="CB2114" s="6"/>
      <c r="CC2114" s="6"/>
      <c r="CD2114" s="6"/>
      <c r="CE2114" s="6"/>
      <c r="CF2114" s="6"/>
      <c r="CG2114" s="6"/>
      <c r="CH2114" s="6"/>
      <c r="CI2114" s="6"/>
      <c r="CJ2114" s="6"/>
      <c r="CK2114" s="6"/>
      <c r="CL2114" s="6"/>
      <c r="CM2114" s="6"/>
      <c r="CN2114" s="6"/>
      <c r="CO2114" s="6"/>
      <c r="CP2114" s="6"/>
      <c r="CQ2114" s="6"/>
      <c r="CR2114" s="6"/>
      <c r="CS2114" s="6"/>
      <c r="CT2114" s="6"/>
      <c r="CU2114" s="6"/>
      <c r="CV2114" s="6"/>
      <c r="CW2114" s="6"/>
      <c r="CX2114" s="6"/>
      <c r="CY2114" s="6"/>
      <c r="CZ2114" s="6"/>
      <c r="DA2114" s="6"/>
      <c r="DB2114" s="6"/>
      <c r="DC2114" s="6"/>
      <c r="DD2114" s="6"/>
    </row>
    <row r="2115" spans="1:108" ht="12.75" hidden="1" customHeight="1" outlineLevel="5">
      <c r="A2115" s="104" t="s">
        <v>96</v>
      </c>
      <c r="B2115" s="28">
        <f t="shared" si="113"/>
        <v>9</v>
      </c>
      <c r="C2115" s="11"/>
      <c r="D2115" s="18" t="str">
        <f>"&lt;" &amp; A2115 &amp; "&gt;" &amp; TEXT(B2115,0) &amp; "&lt;/" &amp; A2115 &amp; "&gt;"</f>
        <v>&lt;Max_Num_Seg&gt;9&lt;/Max_Num_Seg&gt;</v>
      </c>
      <c r="F2115" s="6"/>
      <c r="G2115" s="6"/>
      <c r="H2115" s="6"/>
      <c r="I2115" s="6"/>
      <c r="J2115" s="6"/>
      <c r="K2115" s="6"/>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c r="BU2115" s="6"/>
      <c r="BV2115" s="6"/>
      <c r="BW2115" s="6"/>
      <c r="BX2115" s="6"/>
      <c r="BY2115" s="6"/>
      <c r="BZ2115" s="6"/>
      <c r="CA2115" s="6"/>
      <c r="CB2115" s="6"/>
      <c r="CC2115" s="6"/>
      <c r="CD2115" s="6"/>
      <c r="CE2115" s="6"/>
      <c r="CF2115" s="6"/>
      <c r="CG2115" s="6"/>
      <c r="CH2115" s="6"/>
      <c r="CI2115" s="6"/>
      <c r="CJ2115" s="6"/>
      <c r="CK2115" s="6"/>
      <c r="CL2115" s="6"/>
      <c r="CM2115" s="6"/>
      <c r="CN2115" s="6"/>
      <c r="CO2115" s="6"/>
      <c r="CP2115" s="6"/>
      <c r="CQ2115" s="6"/>
      <c r="CR2115" s="6"/>
      <c r="CS2115" s="6"/>
      <c r="CT2115" s="6"/>
      <c r="CU2115" s="6"/>
      <c r="CV2115" s="6"/>
      <c r="CW2115" s="6"/>
      <c r="CX2115" s="6"/>
      <c r="CY2115" s="6"/>
      <c r="CZ2115" s="6"/>
      <c r="DA2115" s="6"/>
      <c r="DB2115" s="6"/>
      <c r="DC2115" s="6"/>
      <c r="DD2115" s="6"/>
    </row>
    <row r="2116" spans="1:108" ht="12.75" hidden="1" customHeight="1" outlineLevel="5">
      <c r="A2116" s="104" t="s">
        <v>97</v>
      </c>
      <c r="B2116" s="28">
        <f t="shared" si="113"/>
        <v>0</v>
      </c>
      <c r="C2116" s="11"/>
      <c r="D2116" s="18" t="str">
        <f>"&lt;" &amp; A2116 &amp; "&gt;" &amp; TEXT(B2116,0) &amp; "&lt;/" &amp; A2116 &amp; "&gt;"</f>
        <v>&lt;Rel_Dihedral_Flag&gt;0&lt;/Rel_Dihedral_Flag&gt;</v>
      </c>
      <c r="F2116" s="6"/>
      <c r="G2116" s="6"/>
      <c r="H2116" s="6"/>
      <c r="I2116" s="6"/>
      <c r="J2116" s="6"/>
      <c r="K2116" s="6"/>
      <c r="L2116" s="6"/>
      <c r="M2116" s="6"/>
      <c r="N2116" s="6"/>
      <c r="O2116" s="6"/>
      <c r="P2116" s="6"/>
      <c r="Q2116" s="6"/>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c r="BU2116" s="6"/>
      <c r="BV2116" s="6"/>
      <c r="BW2116" s="6"/>
      <c r="BX2116" s="6"/>
      <c r="BY2116" s="6"/>
      <c r="BZ2116" s="6"/>
      <c r="CA2116" s="6"/>
      <c r="CB2116" s="6"/>
      <c r="CC2116" s="6"/>
      <c r="CD2116" s="6"/>
      <c r="CE2116" s="6"/>
      <c r="CF2116" s="6"/>
      <c r="CG2116" s="6"/>
      <c r="CH2116" s="6"/>
      <c r="CI2116" s="6"/>
      <c r="CJ2116" s="6"/>
      <c r="CK2116" s="6"/>
      <c r="CL2116" s="6"/>
      <c r="CM2116" s="6"/>
      <c r="CN2116" s="6"/>
      <c r="CO2116" s="6"/>
      <c r="CP2116" s="6"/>
      <c r="CQ2116" s="6"/>
      <c r="CR2116" s="6"/>
      <c r="CS2116" s="6"/>
      <c r="CT2116" s="6"/>
      <c r="CU2116" s="6"/>
      <c r="CV2116" s="6"/>
      <c r="CW2116" s="6"/>
      <c r="CX2116" s="6"/>
      <c r="CY2116" s="6"/>
      <c r="CZ2116" s="6"/>
      <c r="DA2116" s="6"/>
      <c r="DB2116" s="6"/>
      <c r="DC2116" s="6"/>
      <c r="DD2116" s="6"/>
    </row>
    <row r="2117" spans="1:108" ht="12.75" hidden="1" customHeight="1" outlineLevel="5">
      <c r="A2117" s="104" t="s">
        <v>98</v>
      </c>
      <c r="B2117" s="28">
        <f t="shared" si="113"/>
        <v>0</v>
      </c>
      <c r="C2117" s="11"/>
      <c r="D2117" s="18" t="str">
        <f>"&lt;" &amp; A2117 &amp; "&gt;" &amp; TEXT(B2117,0) &amp; "&lt;/" &amp; A2117 &amp; "&gt;"</f>
        <v>&lt;Rel_Twist_Flag&gt;0&lt;/Rel_Twist_Flag&gt;</v>
      </c>
      <c r="F2117" s="6"/>
      <c r="G2117" s="6"/>
      <c r="H2117" s="6"/>
      <c r="I2117" s="6"/>
      <c r="J2117" s="6"/>
      <c r="K2117" s="6"/>
      <c r="L2117" s="6"/>
      <c r="M2117" s="6"/>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c r="BU2117" s="6"/>
      <c r="BV2117" s="6"/>
      <c r="BW2117" s="6"/>
      <c r="BX2117" s="6"/>
      <c r="BY2117" s="6"/>
      <c r="BZ2117" s="6"/>
      <c r="CA2117" s="6"/>
      <c r="CB2117" s="6"/>
      <c r="CC2117" s="6"/>
      <c r="CD2117" s="6"/>
      <c r="CE2117" s="6"/>
      <c r="CF2117" s="6"/>
      <c r="CG2117" s="6"/>
      <c r="CH2117" s="6"/>
      <c r="CI2117" s="6"/>
      <c r="CJ2117" s="6"/>
      <c r="CK2117" s="6"/>
      <c r="CL2117" s="6"/>
      <c r="CM2117" s="6"/>
      <c r="CN2117" s="6"/>
      <c r="CO2117" s="6"/>
      <c r="CP2117" s="6"/>
      <c r="CQ2117" s="6"/>
      <c r="CR2117" s="6"/>
      <c r="CS2117" s="6"/>
      <c r="CT2117" s="6"/>
      <c r="CU2117" s="6"/>
      <c r="CV2117" s="6"/>
      <c r="CW2117" s="6"/>
      <c r="CX2117" s="6"/>
      <c r="CY2117" s="6"/>
      <c r="CZ2117" s="6"/>
      <c r="DA2117" s="6"/>
      <c r="DB2117" s="6"/>
      <c r="DC2117" s="6"/>
      <c r="DD2117" s="6"/>
    </row>
    <row r="2118" spans="1:108" ht="12.75" hidden="1" customHeight="1" outlineLevel="5">
      <c r="A2118" s="104" t="s">
        <v>99</v>
      </c>
      <c r="B2118" s="28">
        <f t="shared" si="113"/>
        <v>0</v>
      </c>
      <c r="C2118" s="11"/>
      <c r="D2118" s="18" t="str">
        <f>"&lt;" &amp; A2118 &amp; "&gt;" &amp; TEXT(B2118,0) &amp; "&lt;/" &amp; A2118 &amp; "&gt;"</f>
        <v>&lt;Round_End_Cap_Flag&gt;0&lt;/Round_End_Cap_Flag&gt;</v>
      </c>
      <c r="F2118" s="6"/>
      <c r="G2118" s="6"/>
      <c r="H2118" s="6"/>
      <c r="I2118" s="6"/>
      <c r="J2118" s="6"/>
      <c r="K2118" s="6"/>
      <c r="L2118" s="6"/>
      <c r="M2118" s="6"/>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c r="BU2118" s="6"/>
      <c r="BV2118" s="6"/>
      <c r="BW2118" s="6"/>
      <c r="BX2118" s="6"/>
      <c r="BY2118" s="6"/>
      <c r="BZ2118" s="6"/>
      <c r="CA2118" s="6"/>
      <c r="CB2118" s="6"/>
      <c r="CC2118" s="6"/>
      <c r="CD2118" s="6"/>
      <c r="CE2118" s="6"/>
      <c r="CF2118" s="6"/>
      <c r="CG2118" s="6"/>
      <c r="CH2118" s="6"/>
      <c r="CI2118" s="6"/>
      <c r="CJ2118" s="6"/>
      <c r="CK2118" s="6"/>
      <c r="CL2118" s="6"/>
      <c r="CM2118" s="6"/>
      <c r="CN2118" s="6"/>
      <c r="CO2118" s="6"/>
      <c r="CP2118" s="6"/>
      <c r="CQ2118" s="6"/>
      <c r="CR2118" s="6"/>
      <c r="CS2118" s="6"/>
      <c r="CT2118" s="6"/>
      <c r="CU2118" s="6"/>
      <c r="CV2118" s="6"/>
      <c r="CW2118" s="6"/>
      <c r="CX2118" s="6"/>
      <c r="CY2118" s="6"/>
      <c r="CZ2118" s="6"/>
      <c r="DA2118" s="6"/>
      <c r="DB2118" s="6"/>
      <c r="DC2118" s="6"/>
      <c r="DD2118" s="6"/>
    </row>
    <row r="2119" spans="1:108" ht="12.75" hidden="1" customHeight="1" outlineLevel="5">
      <c r="A2119" s="104" t="s">
        <v>100</v>
      </c>
      <c r="B2119" s="100"/>
      <c r="C2119" s="11"/>
      <c r="D2119" s="6" t="str">
        <f>"&lt;" &amp; A2119 &amp; "&gt;"</f>
        <v>&lt;/Mswing_Parms&gt;</v>
      </c>
      <c r="F2119" s="6"/>
      <c r="G2119" s="6"/>
      <c r="H2119" s="6"/>
      <c r="I2119" s="6"/>
      <c r="J2119" s="6"/>
      <c r="K2119" s="6"/>
      <c r="L2119" s="6"/>
      <c r="M2119" s="6"/>
      <c r="N2119" s="6"/>
      <c r="O2119" s="6"/>
      <c r="P2119" s="6"/>
      <c r="Q2119" s="6"/>
      <c r="R2119" s="6"/>
      <c r="S2119" s="6"/>
      <c r="T2119" s="6"/>
      <c r="U2119" s="6"/>
      <c r="V2119" s="6"/>
      <c r="W2119" s="6"/>
      <c r="X2119" s="6"/>
      <c r="Y2119" s="6"/>
      <c r="Z2119" s="6"/>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c r="BU2119" s="6"/>
      <c r="BV2119" s="6"/>
      <c r="BW2119" s="6"/>
      <c r="BX2119" s="6"/>
      <c r="BY2119" s="6"/>
      <c r="BZ2119" s="6"/>
      <c r="CA2119" s="6"/>
      <c r="CB2119" s="6"/>
      <c r="CC2119" s="6"/>
      <c r="CD2119" s="6"/>
      <c r="CE2119" s="6"/>
      <c r="CF2119" s="6"/>
      <c r="CG2119" s="6"/>
      <c r="CH2119" s="6"/>
      <c r="CI2119" s="6"/>
      <c r="CJ2119" s="6"/>
      <c r="CK2119" s="6"/>
      <c r="CL2119" s="6"/>
      <c r="CM2119" s="6"/>
      <c r="CN2119" s="6"/>
      <c r="CO2119" s="6"/>
      <c r="CP2119" s="6"/>
      <c r="CQ2119" s="6"/>
      <c r="CR2119" s="6"/>
      <c r="CS2119" s="6"/>
      <c r="CT2119" s="6"/>
      <c r="CU2119" s="6"/>
      <c r="CV2119" s="6"/>
      <c r="CW2119" s="6"/>
      <c r="CX2119" s="6"/>
      <c r="CY2119" s="6"/>
      <c r="CZ2119" s="6"/>
      <c r="DA2119" s="6"/>
      <c r="DB2119" s="6"/>
      <c r="DC2119" s="6"/>
      <c r="DD2119" s="6"/>
    </row>
    <row r="2120" spans="1:108" ht="12.75" hidden="1" customHeight="1" outlineLevel="4" collapsed="1">
      <c r="A2120" s="104" t="s">
        <v>101</v>
      </c>
      <c r="B2120" s="100"/>
      <c r="C2120" s="11"/>
      <c r="D2120" s="6" t="str">
        <f>"&lt;" &amp; A2120 &amp; "&gt;"</f>
        <v>&lt;Airfoil_List&gt;</v>
      </c>
      <c r="F2120" s="6"/>
      <c r="G2120" s="6"/>
      <c r="H2120" s="6"/>
      <c r="I2120" s="6"/>
      <c r="J2120" s="6"/>
      <c r="K2120" s="6"/>
      <c r="L2120" s="6"/>
      <c r="M2120" s="6"/>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c r="BU2120" s="6"/>
      <c r="BV2120" s="6"/>
      <c r="BW2120" s="6"/>
      <c r="BX2120" s="6"/>
      <c r="BY2120" s="6"/>
      <c r="BZ2120" s="6"/>
      <c r="CA2120" s="6"/>
      <c r="CB2120" s="6"/>
      <c r="CC2120" s="6"/>
      <c r="CD2120" s="6"/>
      <c r="CE2120" s="6"/>
      <c r="CF2120" s="6"/>
      <c r="CG2120" s="6"/>
      <c r="CH2120" s="6"/>
      <c r="CI2120" s="6"/>
      <c r="CJ2120" s="6"/>
      <c r="CK2120" s="6"/>
      <c r="CL2120" s="6"/>
      <c r="CM2120" s="6"/>
      <c r="CN2120" s="6"/>
      <c r="CO2120" s="6"/>
      <c r="CP2120" s="6"/>
      <c r="CQ2120" s="6"/>
      <c r="CR2120" s="6"/>
      <c r="CS2120" s="6"/>
      <c r="CT2120" s="6"/>
      <c r="CU2120" s="6"/>
      <c r="CV2120" s="6"/>
      <c r="CW2120" s="6"/>
      <c r="CX2120" s="6"/>
      <c r="CY2120" s="6"/>
      <c r="CZ2120" s="6"/>
      <c r="DA2120" s="6"/>
      <c r="DB2120" s="6"/>
      <c r="DC2120" s="6"/>
      <c r="DD2120" s="6"/>
    </row>
    <row r="2121" spans="1:108" ht="12.75" hidden="1" customHeight="1" outlineLevel="5">
      <c r="A2121" s="104" t="s">
        <v>2</v>
      </c>
      <c r="B2121" s="110" t="s">
        <v>399</v>
      </c>
      <c r="C2121" s="11"/>
      <c r="D2121" s="6" t="str">
        <f>"&lt;" &amp; A2121 &amp; "&gt;"</f>
        <v>&lt;Airfoil&gt;</v>
      </c>
      <c r="F2121" s="6"/>
      <c r="G2121" s="6"/>
      <c r="H2121" s="6"/>
      <c r="I2121" s="6"/>
      <c r="J2121" s="6"/>
      <c r="K2121" s="6"/>
      <c r="L2121" s="6"/>
      <c r="M2121" s="6"/>
      <c r="N2121" s="6"/>
      <c r="O2121" s="6"/>
      <c r="P2121" s="6"/>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c r="BU2121" s="6"/>
      <c r="BV2121" s="6"/>
      <c r="BW2121" s="6"/>
      <c r="BX2121" s="6"/>
      <c r="BY2121" s="6"/>
      <c r="BZ2121" s="6"/>
      <c r="CA2121" s="6"/>
      <c r="CB2121" s="6"/>
      <c r="CC2121" s="6"/>
      <c r="CD2121" s="6"/>
      <c r="CE2121" s="6"/>
      <c r="CF2121" s="6"/>
      <c r="CG2121" s="6"/>
      <c r="CH2121" s="6"/>
      <c r="CI2121" s="6"/>
      <c r="CJ2121" s="6"/>
      <c r="CK2121" s="6"/>
      <c r="CL2121" s="6"/>
      <c r="CM2121" s="6"/>
      <c r="CN2121" s="6"/>
      <c r="CO2121" s="6"/>
      <c r="CP2121" s="6"/>
      <c r="CQ2121" s="6"/>
      <c r="CR2121" s="6"/>
      <c r="CS2121" s="6"/>
      <c r="CT2121" s="6"/>
      <c r="CU2121" s="6"/>
      <c r="CV2121" s="6"/>
      <c r="CW2121" s="6"/>
      <c r="CX2121" s="6"/>
      <c r="CY2121" s="6"/>
      <c r="CZ2121" s="6"/>
      <c r="DA2121" s="6"/>
      <c r="DB2121" s="6"/>
      <c r="DC2121" s="6"/>
      <c r="DD2121" s="6"/>
    </row>
    <row r="2122" spans="1:108" ht="12.75" hidden="1" customHeight="1" outlineLevel="6">
      <c r="A2122" s="104" t="s">
        <v>14</v>
      </c>
      <c r="B2122" s="28">
        <f t="shared" ref="B2122:B2140" si="114">B1589</f>
        <v>1</v>
      </c>
      <c r="C2122" s="11"/>
      <c r="D2122" s="18" t="str">
        <f>"&lt;" &amp; A2122 &amp; "&gt;" &amp; TEXT(B2122,0) &amp; "&lt;/" &amp; A2122 &amp; "&gt;"</f>
        <v>&lt;Type&gt;1&lt;/Type&gt;</v>
      </c>
      <c r="F2122" s="6"/>
      <c r="G2122" s="6"/>
      <c r="H2122" s="6"/>
      <c r="I2122" s="6"/>
      <c r="J2122" s="6"/>
      <c r="K2122" s="6"/>
      <c r="L2122" s="6"/>
      <c r="M2122" s="6"/>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c r="BU2122" s="6"/>
      <c r="BV2122" s="6"/>
      <c r="BW2122" s="6"/>
      <c r="BX2122" s="6"/>
      <c r="BY2122" s="6"/>
      <c r="BZ2122" s="6"/>
      <c r="CA2122" s="6"/>
      <c r="CB2122" s="6"/>
      <c r="CC2122" s="6"/>
      <c r="CD2122" s="6"/>
      <c r="CE2122" s="6"/>
      <c r="CF2122" s="6"/>
      <c r="CG2122" s="6"/>
      <c r="CH2122" s="6"/>
      <c r="CI2122" s="6"/>
      <c r="CJ2122" s="6"/>
      <c r="CK2122" s="6"/>
      <c r="CL2122" s="6"/>
      <c r="CM2122" s="6"/>
      <c r="CN2122" s="6"/>
      <c r="CO2122" s="6"/>
      <c r="CP2122" s="6"/>
      <c r="CQ2122" s="6"/>
      <c r="CR2122" s="6"/>
      <c r="CS2122" s="6"/>
      <c r="CT2122" s="6"/>
      <c r="CU2122" s="6"/>
      <c r="CV2122" s="6"/>
      <c r="CW2122" s="6"/>
      <c r="CX2122" s="6"/>
      <c r="CY2122" s="6"/>
      <c r="CZ2122" s="6"/>
      <c r="DA2122" s="6"/>
      <c r="DB2122" s="6"/>
      <c r="DC2122" s="6"/>
      <c r="DD2122" s="6"/>
    </row>
    <row r="2123" spans="1:108" ht="12.75" hidden="1" customHeight="1" outlineLevel="6">
      <c r="A2123" s="104" t="s">
        <v>102</v>
      </c>
      <c r="B2123" s="28">
        <f t="shared" si="114"/>
        <v>0</v>
      </c>
      <c r="C2123" s="11"/>
      <c r="D2123" s="18" t="str">
        <f>"&lt;" &amp; A2123 &amp; "&gt;" &amp; TEXT(B2123,0) &amp; "&lt;/" &amp; A2123 &amp; "&gt;"</f>
        <v>&lt;Inverted_Flag&gt;0&lt;/Inverted_Flag&gt;</v>
      </c>
      <c r="F2123" s="6"/>
      <c r="G2123" s="6"/>
      <c r="H2123" s="6"/>
      <c r="I2123" s="6"/>
      <c r="J2123" s="6"/>
      <c r="K2123" s="6"/>
      <c r="L2123" s="6"/>
      <c r="M2123" s="6"/>
      <c r="N2123" s="6"/>
      <c r="O2123" s="6"/>
      <c r="P2123" s="6"/>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c r="BU2123" s="6"/>
      <c r="BV2123" s="6"/>
      <c r="BW2123" s="6"/>
      <c r="BX2123" s="6"/>
      <c r="BY2123" s="6"/>
      <c r="BZ2123" s="6"/>
      <c r="CA2123" s="6"/>
      <c r="CB2123" s="6"/>
      <c r="CC2123" s="6"/>
      <c r="CD2123" s="6"/>
      <c r="CE2123" s="6"/>
      <c r="CF2123" s="6"/>
      <c r="CG2123" s="6"/>
      <c r="CH2123" s="6"/>
      <c r="CI2123" s="6"/>
      <c r="CJ2123" s="6"/>
      <c r="CK2123" s="6"/>
      <c r="CL2123" s="6"/>
      <c r="CM2123" s="6"/>
      <c r="CN2123" s="6"/>
      <c r="CO2123" s="6"/>
      <c r="CP2123" s="6"/>
      <c r="CQ2123" s="6"/>
      <c r="CR2123" s="6"/>
      <c r="CS2123" s="6"/>
      <c r="CT2123" s="6"/>
      <c r="CU2123" s="6"/>
      <c r="CV2123" s="6"/>
      <c r="CW2123" s="6"/>
      <c r="CX2123" s="6"/>
      <c r="CY2123" s="6"/>
      <c r="CZ2123" s="6"/>
      <c r="DA2123" s="6"/>
      <c r="DB2123" s="6"/>
      <c r="DC2123" s="6"/>
      <c r="DD2123" s="6"/>
    </row>
    <row r="2124" spans="1:108" ht="12.75" hidden="1" customHeight="1" outlineLevel="6">
      <c r="A2124" s="104" t="s">
        <v>4</v>
      </c>
      <c r="B2124" s="28">
        <f t="shared" si="114"/>
        <v>0</v>
      </c>
      <c r="C2124" s="11"/>
      <c r="D2124" s="18" t="str">
        <f t="shared" ref="D2124:D2129" si="115">"&lt;" &amp; A2124 &amp; "&gt;" &amp; TEXT(B2124,"0.000000") &amp; "&lt;/" &amp; A2124 &amp; "&gt;"</f>
        <v>&lt;Camber&gt;0.000000&lt;/Camber&gt;</v>
      </c>
      <c r="F2124" s="6"/>
      <c r="G2124" s="6"/>
      <c r="H2124" s="6"/>
      <c r="I2124" s="6"/>
      <c r="J2124" s="6"/>
      <c r="K2124" s="6"/>
      <c r="L2124" s="6"/>
      <c r="M2124" s="6"/>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c r="BU2124" s="6"/>
      <c r="BV2124" s="6"/>
      <c r="BW2124" s="6"/>
      <c r="BX2124" s="6"/>
      <c r="BY2124" s="6"/>
      <c r="BZ2124" s="6"/>
      <c r="CA2124" s="6"/>
      <c r="CB2124" s="6"/>
      <c r="CC2124" s="6"/>
      <c r="CD2124" s="6"/>
      <c r="CE2124" s="6"/>
      <c r="CF2124" s="6"/>
      <c r="CG2124" s="6"/>
      <c r="CH2124" s="6"/>
      <c r="CI2124" s="6"/>
      <c r="CJ2124" s="6"/>
      <c r="CK2124" s="6"/>
      <c r="CL2124" s="6"/>
      <c r="CM2124" s="6"/>
      <c r="CN2124" s="6"/>
      <c r="CO2124" s="6"/>
      <c r="CP2124" s="6"/>
      <c r="CQ2124" s="6"/>
      <c r="CR2124" s="6"/>
      <c r="CS2124" s="6"/>
      <c r="CT2124" s="6"/>
      <c r="CU2124" s="6"/>
      <c r="CV2124" s="6"/>
      <c r="CW2124" s="6"/>
      <c r="CX2124" s="6"/>
      <c r="CY2124" s="6"/>
      <c r="CZ2124" s="6"/>
      <c r="DA2124" s="6"/>
      <c r="DB2124" s="6"/>
      <c r="DC2124" s="6"/>
      <c r="DD2124" s="6"/>
    </row>
    <row r="2125" spans="1:108" ht="12.75" hidden="1" customHeight="1" outlineLevel="6">
      <c r="A2125" s="104" t="s">
        <v>103</v>
      </c>
      <c r="B2125" s="28">
        <f t="shared" si="114"/>
        <v>0.5</v>
      </c>
      <c r="C2125" s="11"/>
      <c r="D2125" s="18" t="str">
        <f t="shared" si="115"/>
        <v>&lt;Camber_Loc&gt;0.500000&lt;/Camber_Loc&gt;</v>
      </c>
      <c r="F2125" s="6"/>
      <c r="G2125" s="6"/>
      <c r="H2125" s="6"/>
      <c r="I2125" s="6"/>
      <c r="J2125" s="6"/>
      <c r="K2125" s="6"/>
      <c r="L2125" s="6"/>
      <c r="M2125" s="6"/>
      <c r="N2125" s="6"/>
      <c r="O2125" s="6"/>
      <c r="P2125" s="6"/>
      <c r="Q2125" s="6"/>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c r="BU2125" s="6"/>
      <c r="BV2125" s="6"/>
      <c r="BW2125" s="6"/>
      <c r="BX2125" s="6"/>
      <c r="BY2125" s="6"/>
      <c r="BZ2125" s="6"/>
      <c r="CA2125" s="6"/>
      <c r="CB2125" s="6"/>
      <c r="CC2125" s="6"/>
      <c r="CD2125" s="6"/>
      <c r="CE2125" s="6"/>
      <c r="CF2125" s="6"/>
      <c r="CG2125" s="6"/>
      <c r="CH2125" s="6"/>
      <c r="CI2125" s="6"/>
      <c r="CJ2125" s="6"/>
      <c r="CK2125" s="6"/>
      <c r="CL2125" s="6"/>
      <c r="CM2125" s="6"/>
      <c r="CN2125" s="6"/>
      <c r="CO2125" s="6"/>
      <c r="CP2125" s="6"/>
      <c r="CQ2125" s="6"/>
      <c r="CR2125" s="6"/>
      <c r="CS2125" s="6"/>
      <c r="CT2125" s="6"/>
      <c r="CU2125" s="6"/>
      <c r="CV2125" s="6"/>
      <c r="CW2125" s="6"/>
      <c r="CX2125" s="6"/>
      <c r="CY2125" s="6"/>
      <c r="CZ2125" s="6"/>
      <c r="DA2125" s="6"/>
      <c r="DB2125" s="6"/>
      <c r="DC2125" s="6"/>
      <c r="DD2125" s="6"/>
    </row>
    <row r="2126" spans="1:108" ht="12.75" hidden="1" customHeight="1" outlineLevel="6">
      <c r="A2126" s="104" t="s">
        <v>5</v>
      </c>
      <c r="B2126" s="28">
        <f t="shared" si="114"/>
        <v>0.08</v>
      </c>
      <c r="C2126" s="11"/>
      <c r="D2126" s="18" t="str">
        <f t="shared" si="115"/>
        <v>&lt;Thickness&gt;0.080000&lt;/Thickness&gt;</v>
      </c>
      <c r="F2126" s="6"/>
      <c r="G2126" s="6"/>
      <c r="H2126" s="6"/>
      <c r="I2126" s="6"/>
      <c r="J2126" s="6"/>
      <c r="K2126" s="6"/>
      <c r="L2126" s="6"/>
      <c r="M2126" s="6"/>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c r="BU2126" s="6"/>
      <c r="BV2126" s="6"/>
      <c r="BW2126" s="6"/>
      <c r="BX2126" s="6"/>
      <c r="BY2126" s="6"/>
      <c r="BZ2126" s="6"/>
      <c r="CA2126" s="6"/>
      <c r="CB2126" s="6"/>
      <c r="CC2126" s="6"/>
      <c r="CD2126" s="6"/>
      <c r="CE2126" s="6"/>
      <c r="CF2126" s="6"/>
      <c r="CG2126" s="6"/>
      <c r="CH2126" s="6"/>
      <c r="CI2126" s="6"/>
      <c r="CJ2126" s="6"/>
      <c r="CK2126" s="6"/>
      <c r="CL2126" s="6"/>
      <c r="CM2126" s="6"/>
      <c r="CN2126" s="6"/>
      <c r="CO2126" s="6"/>
      <c r="CP2126" s="6"/>
      <c r="CQ2126" s="6"/>
      <c r="CR2126" s="6"/>
      <c r="CS2126" s="6"/>
      <c r="CT2126" s="6"/>
      <c r="CU2126" s="6"/>
      <c r="CV2126" s="6"/>
      <c r="CW2126" s="6"/>
      <c r="CX2126" s="6"/>
      <c r="CY2126" s="6"/>
      <c r="CZ2126" s="6"/>
      <c r="DA2126" s="6"/>
      <c r="DB2126" s="6"/>
      <c r="DC2126" s="6"/>
      <c r="DD2126" s="6"/>
    </row>
    <row r="2127" spans="1:108" ht="12.75" hidden="1" customHeight="1" outlineLevel="6">
      <c r="A2127" s="104" t="s">
        <v>104</v>
      </c>
      <c r="B2127" s="28">
        <f t="shared" si="114"/>
        <v>0.3</v>
      </c>
      <c r="C2127" s="11"/>
      <c r="D2127" s="18" t="str">
        <f t="shared" si="115"/>
        <v>&lt;Thickness_Loc&gt;0.300000&lt;/Thickness_Loc&gt;</v>
      </c>
      <c r="F2127" s="6"/>
      <c r="G2127" s="6"/>
      <c r="H2127" s="6"/>
      <c r="I2127" s="6"/>
      <c r="J2127" s="6"/>
      <c r="K2127" s="6"/>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c r="BU2127" s="6"/>
      <c r="BV2127" s="6"/>
      <c r="BW2127" s="6"/>
      <c r="BX2127" s="6"/>
      <c r="BY2127" s="6"/>
      <c r="BZ2127" s="6"/>
      <c r="CA2127" s="6"/>
      <c r="CB2127" s="6"/>
      <c r="CC2127" s="6"/>
      <c r="CD2127" s="6"/>
      <c r="CE2127" s="6"/>
      <c r="CF2127" s="6"/>
      <c r="CG2127" s="6"/>
      <c r="CH2127" s="6"/>
      <c r="CI2127" s="6"/>
      <c r="CJ2127" s="6"/>
      <c r="CK2127" s="6"/>
      <c r="CL2127" s="6"/>
      <c r="CM2127" s="6"/>
      <c r="CN2127" s="6"/>
      <c r="CO2127" s="6"/>
      <c r="CP2127" s="6"/>
      <c r="CQ2127" s="6"/>
      <c r="CR2127" s="6"/>
      <c r="CS2127" s="6"/>
      <c r="CT2127" s="6"/>
      <c r="CU2127" s="6"/>
      <c r="CV2127" s="6"/>
      <c r="CW2127" s="6"/>
      <c r="CX2127" s="6"/>
      <c r="CY2127" s="6"/>
      <c r="CZ2127" s="6"/>
      <c r="DA2127" s="6"/>
      <c r="DB2127" s="6"/>
      <c r="DC2127" s="6"/>
      <c r="DD2127" s="6"/>
    </row>
    <row r="2128" spans="1:108" ht="12.75" hidden="1" customHeight="1" outlineLevel="6">
      <c r="A2128" s="104" t="s">
        <v>105</v>
      </c>
      <c r="B2128" s="28">
        <f t="shared" si="114"/>
        <v>7.0520000000000001E-3</v>
      </c>
      <c r="C2128" s="11"/>
      <c r="D2128" s="18" t="str">
        <f t="shared" si="115"/>
        <v>&lt;Radius_Le&gt;0.007052&lt;/Radius_Le&gt;</v>
      </c>
      <c r="F2128" s="6"/>
      <c r="G2128" s="6"/>
      <c r="H2128" s="6"/>
      <c r="I2128" s="6"/>
      <c r="J2128" s="6"/>
      <c r="K2128" s="6"/>
      <c r="L2128" s="6"/>
      <c r="M2128" s="6"/>
      <c r="N2128" s="6"/>
      <c r="O2128" s="6"/>
      <c r="P2128" s="6"/>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c r="BU2128" s="6"/>
      <c r="BV2128" s="6"/>
      <c r="BW2128" s="6"/>
      <c r="BX2128" s="6"/>
      <c r="BY2128" s="6"/>
      <c r="BZ2128" s="6"/>
      <c r="CA2128" s="6"/>
      <c r="CB2128" s="6"/>
      <c r="CC2128" s="6"/>
      <c r="CD2128" s="6"/>
      <c r="CE2128" s="6"/>
      <c r="CF2128" s="6"/>
      <c r="CG2128" s="6"/>
      <c r="CH2128" s="6"/>
      <c r="CI2128" s="6"/>
      <c r="CJ2128" s="6"/>
      <c r="CK2128" s="6"/>
      <c r="CL2128" s="6"/>
      <c r="CM2128" s="6"/>
      <c r="CN2128" s="6"/>
      <c r="CO2128" s="6"/>
      <c r="CP2128" s="6"/>
      <c r="CQ2128" s="6"/>
      <c r="CR2128" s="6"/>
      <c r="CS2128" s="6"/>
      <c r="CT2128" s="6"/>
      <c r="CU2128" s="6"/>
      <c r="CV2128" s="6"/>
      <c r="CW2128" s="6"/>
      <c r="CX2128" s="6"/>
      <c r="CY2128" s="6"/>
      <c r="CZ2128" s="6"/>
      <c r="DA2128" s="6"/>
      <c r="DB2128" s="6"/>
      <c r="DC2128" s="6"/>
      <c r="DD2128" s="6"/>
    </row>
    <row r="2129" spans="1:108" ht="12.75" hidden="1" customHeight="1" outlineLevel="6">
      <c r="A2129" s="104" t="s">
        <v>106</v>
      </c>
      <c r="B2129" s="28">
        <f t="shared" si="114"/>
        <v>0</v>
      </c>
      <c r="C2129" s="11"/>
      <c r="D2129" s="18" t="str">
        <f t="shared" si="115"/>
        <v>&lt;Radius_Te&gt;0.000000&lt;/Radius_Te&gt;</v>
      </c>
      <c r="F2129" s="6"/>
      <c r="G2129" s="6"/>
      <c r="H2129" s="6"/>
      <c r="I2129" s="6"/>
      <c r="J2129" s="6"/>
      <c r="K2129" s="6"/>
      <c r="L2129" s="6"/>
      <c r="M2129" s="6"/>
      <c r="N2129" s="6"/>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c r="BU2129" s="6"/>
      <c r="BV2129" s="6"/>
      <c r="BW2129" s="6"/>
      <c r="BX2129" s="6"/>
      <c r="BY2129" s="6"/>
      <c r="BZ2129" s="6"/>
      <c r="CA2129" s="6"/>
      <c r="CB2129" s="6"/>
      <c r="CC2129" s="6"/>
      <c r="CD2129" s="6"/>
      <c r="CE2129" s="6"/>
      <c r="CF2129" s="6"/>
      <c r="CG2129" s="6"/>
      <c r="CH2129" s="6"/>
      <c r="CI2129" s="6"/>
      <c r="CJ2129" s="6"/>
      <c r="CK2129" s="6"/>
      <c r="CL2129" s="6"/>
      <c r="CM2129" s="6"/>
      <c r="CN2129" s="6"/>
      <c r="CO2129" s="6"/>
      <c r="CP2129" s="6"/>
      <c r="CQ2129" s="6"/>
      <c r="CR2129" s="6"/>
      <c r="CS2129" s="6"/>
      <c r="CT2129" s="6"/>
      <c r="CU2129" s="6"/>
      <c r="CV2129" s="6"/>
      <c r="CW2129" s="6"/>
      <c r="CX2129" s="6"/>
      <c r="CY2129" s="6"/>
      <c r="CZ2129" s="6"/>
      <c r="DA2129" s="6"/>
      <c r="DB2129" s="6"/>
      <c r="DC2129" s="6"/>
      <c r="DD2129" s="6"/>
    </row>
    <row r="2130" spans="1:108" ht="12.75" hidden="1" customHeight="1" outlineLevel="6">
      <c r="A2130" s="104" t="s">
        <v>107</v>
      </c>
      <c r="B2130" s="28">
        <f t="shared" si="114"/>
        <v>63</v>
      </c>
      <c r="C2130" s="11"/>
      <c r="D2130" s="18" t="str">
        <f>"&lt;" &amp; A2130 &amp; "&gt;" &amp; TEXT(B2130,0) &amp; "&lt;/" &amp; A2130 &amp; "&gt;"</f>
        <v>&lt;Six_Series&gt;63&lt;/Six_Series&gt;</v>
      </c>
      <c r="F2130" s="6"/>
      <c r="G2130" s="6"/>
      <c r="H2130" s="6"/>
      <c r="I2130" s="6"/>
      <c r="J2130" s="6"/>
      <c r="K2130" s="6"/>
      <c r="L2130" s="6"/>
      <c r="M2130" s="6"/>
      <c r="N2130" s="6"/>
      <c r="O2130" s="6"/>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c r="BU2130" s="6"/>
      <c r="BV2130" s="6"/>
      <c r="BW2130" s="6"/>
      <c r="BX2130" s="6"/>
      <c r="BY2130" s="6"/>
      <c r="BZ2130" s="6"/>
      <c r="CA2130" s="6"/>
      <c r="CB2130" s="6"/>
      <c r="CC2130" s="6"/>
      <c r="CD2130" s="6"/>
      <c r="CE2130" s="6"/>
      <c r="CF2130" s="6"/>
      <c r="CG2130" s="6"/>
      <c r="CH2130" s="6"/>
      <c r="CI2130" s="6"/>
      <c r="CJ2130" s="6"/>
      <c r="CK2130" s="6"/>
      <c r="CL2130" s="6"/>
      <c r="CM2130" s="6"/>
      <c r="CN2130" s="6"/>
      <c r="CO2130" s="6"/>
      <c r="CP2130" s="6"/>
      <c r="CQ2130" s="6"/>
      <c r="CR2130" s="6"/>
      <c r="CS2130" s="6"/>
      <c r="CT2130" s="6"/>
      <c r="CU2130" s="6"/>
      <c r="CV2130" s="6"/>
      <c r="CW2130" s="6"/>
      <c r="CX2130" s="6"/>
      <c r="CY2130" s="6"/>
      <c r="CZ2130" s="6"/>
      <c r="DA2130" s="6"/>
      <c r="DB2130" s="6"/>
      <c r="DC2130" s="6"/>
      <c r="DD2130" s="6"/>
    </row>
    <row r="2131" spans="1:108" ht="12.75" hidden="1" customHeight="1" outlineLevel="6">
      <c r="A2131" s="104" t="s">
        <v>108</v>
      </c>
      <c r="B2131" s="28">
        <f t="shared" si="114"/>
        <v>0</v>
      </c>
      <c r="C2131" s="11"/>
      <c r="D2131" s="18" t="str">
        <f>"&lt;" &amp; A2131 &amp; "&gt;" &amp; TEXT(B2131,"0.000000") &amp; "&lt;/" &amp; A2131 &amp; "&gt;"</f>
        <v>&lt;Ideal_Cl&gt;0.000000&lt;/Ideal_Cl&gt;</v>
      </c>
      <c r="F2131" s="6"/>
      <c r="G2131" s="6"/>
      <c r="H2131" s="6"/>
      <c r="I2131" s="6"/>
      <c r="J2131" s="6"/>
      <c r="K2131" s="6"/>
      <c r="L2131" s="6"/>
      <c r="M2131" s="6"/>
      <c r="N2131" s="6"/>
      <c r="O2131" s="6"/>
      <c r="P2131" s="6"/>
      <c r="Q2131" s="6"/>
      <c r="R2131" s="6"/>
      <c r="S2131" s="6"/>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c r="BU2131" s="6"/>
      <c r="BV2131" s="6"/>
      <c r="BW2131" s="6"/>
      <c r="BX2131" s="6"/>
      <c r="BY2131" s="6"/>
      <c r="BZ2131" s="6"/>
      <c r="CA2131" s="6"/>
      <c r="CB2131" s="6"/>
      <c r="CC2131" s="6"/>
      <c r="CD2131" s="6"/>
      <c r="CE2131" s="6"/>
      <c r="CF2131" s="6"/>
      <c r="CG2131" s="6"/>
      <c r="CH2131" s="6"/>
      <c r="CI2131" s="6"/>
      <c r="CJ2131" s="6"/>
      <c r="CK2131" s="6"/>
      <c r="CL2131" s="6"/>
      <c r="CM2131" s="6"/>
      <c r="CN2131" s="6"/>
      <c r="CO2131" s="6"/>
      <c r="CP2131" s="6"/>
      <c r="CQ2131" s="6"/>
      <c r="CR2131" s="6"/>
      <c r="CS2131" s="6"/>
      <c r="CT2131" s="6"/>
      <c r="CU2131" s="6"/>
      <c r="CV2131" s="6"/>
      <c r="CW2131" s="6"/>
      <c r="CX2131" s="6"/>
      <c r="CY2131" s="6"/>
      <c r="CZ2131" s="6"/>
      <c r="DA2131" s="6"/>
      <c r="DB2131" s="6"/>
      <c r="DC2131" s="6"/>
      <c r="DD2131" s="6"/>
    </row>
    <row r="2132" spans="1:108" ht="12.75" hidden="1" customHeight="1" outlineLevel="6">
      <c r="A2132" s="104" t="s">
        <v>109</v>
      </c>
      <c r="B2132" s="28">
        <f t="shared" si="114"/>
        <v>0</v>
      </c>
      <c r="C2132" s="11"/>
      <c r="D2132" s="18" t="str">
        <f>"&lt;" &amp; A2132 &amp; "&gt;" &amp; TEXT(B2132,"0.000000") &amp; "&lt;/" &amp; A2132 &amp; "&gt;"</f>
        <v>&lt;A&gt;0.000000&lt;/A&gt;</v>
      </c>
      <c r="F2132" s="6"/>
      <c r="G2132" s="6"/>
      <c r="H2132" s="6"/>
      <c r="I2132" s="6"/>
      <c r="J2132" s="6"/>
      <c r="K2132" s="6"/>
      <c r="L2132" s="6"/>
      <c r="M2132" s="6"/>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c r="BU2132" s="6"/>
      <c r="BV2132" s="6"/>
      <c r="BW2132" s="6"/>
      <c r="BX2132" s="6"/>
      <c r="BY2132" s="6"/>
      <c r="BZ2132" s="6"/>
      <c r="CA2132" s="6"/>
      <c r="CB2132" s="6"/>
      <c r="CC2132" s="6"/>
      <c r="CD2132" s="6"/>
      <c r="CE2132" s="6"/>
      <c r="CF2132" s="6"/>
      <c r="CG2132" s="6"/>
      <c r="CH2132" s="6"/>
      <c r="CI2132" s="6"/>
      <c r="CJ2132" s="6"/>
      <c r="CK2132" s="6"/>
      <c r="CL2132" s="6"/>
      <c r="CM2132" s="6"/>
      <c r="CN2132" s="6"/>
      <c r="CO2132" s="6"/>
      <c r="CP2132" s="6"/>
      <c r="CQ2132" s="6"/>
      <c r="CR2132" s="6"/>
      <c r="CS2132" s="6"/>
      <c r="CT2132" s="6"/>
      <c r="CU2132" s="6"/>
      <c r="CV2132" s="6"/>
      <c r="CW2132" s="6"/>
      <c r="CX2132" s="6"/>
      <c r="CY2132" s="6"/>
      <c r="CZ2132" s="6"/>
      <c r="DA2132" s="6"/>
      <c r="DB2132" s="6"/>
      <c r="DC2132" s="6"/>
      <c r="DD2132" s="6"/>
    </row>
    <row r="2133" spans="1:108" ht="12.75" hidden="1" customHeight="1" outlineLevel="6">
      <c r="A2133" s="104" t="s">
        <v>110</v>
      </c>
      <c r="B2133" s="28">
        <f t="shared" si="114"/>
        <v>0</v>
      </c>
      <c r="C2133" s="11"/>
      <c r="D2133" s="18" t="str">
        <f>"&lt;" &amp; A2133 &amp; "&gt;" &amp; TEXT(B2133,0) &amp; "&lt;/" &amp; A2133 &amp; "&gt;"</f>
        <v>&lt;Slat_Flag&gt;0&lt;/Slat_Flag&gt;</v>
      </c>
      <c r="F2133" s="6"/>
      <c r="G2133" s="6"/>
      <c r="H2133" s="6"/>
      <c r="I2133" s="6"/>
      <c r="J2133" s="6"/>
      <c r="K2133" s="6"/>
      <c r="L2133" s="6"/>
      <c r="M2133" s="6"/>
      <c r="N2133" s="6"/>
      <c r="O2133" s="6"/>
      <c r="P2133" s="6"/>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c r="BU2133" s="6"/>
      <c r="BV2133" s="6"/>
      <c r="BW2133" s="6"/>
      <c r="BX2133" s="6"/>
      <c r="BY2133" s="6"/>
      <c r="BZ2133" s="6"/>
      <c r="CA2133" s="6"/>
      <c r="CB2133" s="6"/>
      <c r="CC2133" s="6"/>
      <c r="CD2133" s="6"/>
      <c r="CE2133" s="6"/>
      <c r="CF2133" s="6"/>
      <c r="CG2133" s="6"/>
      <c r="CH2133" s="6"/>
      <c r="CI2133" s="6"/>
      <c r="CJ2133" s="6"/>
      <c r="CK2133" s="6"/>
      <c r="CL2133" s="6"/>
      <c r="CM2133" s="6"/>
      <c r="CN2133" s="6"/>
      <c r="CO2133" s="6"/>
      <c r="CP2133" s="6"/>
      <c r="CQ2133" s="6"/>
      <c r="CR2133" s="6"/>
      <c r="CS2133" s="6"/>
      <c r="CT2133" s="6"/>
      <c r="CU2133" s="6"/>
      <c r="CV2133" s="6"/>
      <c r="CW2133" s="6"/>
      <c r="CX2133" s="6"/>
      <c r="CY2133" s="6"/>
      <c r="CZ2133" s="6"/>
      <c r="DA2133" s="6"/>
      <c r="DB2133" s="6"/>
      <c r="DC2133" s="6"/>
      <c r="DD2133" s="6"/>
    </row>
    <row r="2134" spans="1:108" ht="12.75" hidden="1" customHeight="1" outlineLevel="6">
      <c r="A2134" s="104" t="s">
        <v>111</v>
      </c>
      <c r="B2134" s="28">
        <f t="shared" si="114"/>
        <v>0</v>
      </c>
      <c r="C2134" s="11"/>
      <c r="D2134" s="18" t="str">
        <f>"&lt;" &amp; A2134 &amp; "&gt;" &amp; TEXT(B2134,0) &amp; "&lt;/" &amp; A2134 &amp; "&gt;"</f>
        <v>&lt;Slat_Shear_Flag&gt;0&lt;/Slat_Shear_Flag&gt;</v>
      </c>
      <c r="F2134" s="6"/>
      <c r="G2134" s="6"/>
      <c r="H2134" s="6"/>
      <c r="I2134" s="6"/>
      <c r="J2134" s="6"/>
      <c r="K2134" s="6"/>
      <c r="L2134" s="6"/>
      <c r="M2134" s="6"/>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c r="BU2134" s="6"/>
      <c r="BV2134" s="6"/>
      <c r="BW2134" s="6"/>
      <c r="BX2134" s="6"/>
      <c r="BY2134" s="6"/>
      <c r="BZ2134" s="6"/>
      <c r="CA2134" s="6"/>
      <c r="CB2134" s="6"/>
      <c r="CC2134" s="6"/>
      <c r="CD2134" s="6"/>
      <c r="CE2134" s="6"/>
      <c r="CF2134" s="6"/>
      <c r="CG2134" s="6"/>
      <c r="CH2134" s="6"/>
      <c r="CI2134" s="6"/>
      <c r="CJ2134" s="6"/>
      <c r="CK2134" s="6"/>
      <c r="CL2134" s="6"/>
      <c r="CM2134" s="6"/>
      <c r="CN2134" s="6"/>
      <c r="CO2134" s="6"/>
      <c r="CP2134" s="6"/>
      <c r="CQ2134" s="6"/>
      <c r="CR2134" s="6"/>
      <c r="CS2134" s="6"/>
      <c r="CT2134" s="6"/>
      <c r="CU2134" s="6"/>
      <c r="CV2134" s="6"/>
      <c r="CW2134" s="6"/>
      <c r="CX2134" s="6"/>
      <c r="CY2134" s="6"/>
      <c r="CZ2134" s="6"/>
      <c r="DA2134" s="6"/>
      <c r="DB2134" s="6"/>
      <c r="DC2134" s="6"/>
      <c r="DD2134" s="6"/>
    </row>
    <row r="2135" spans="1:108" ht="12.75" hidden="1" customHeight="1" outlineLevel="6">
      <c r="A2135" s="104" t="s">
        <v>112</v>
      </c>
      <c r="B2135" s="28">
        <f t="shared" si="114"/>
        <v>0.25</v>
      </c>
      <c r="C2135" s="11"/>
      <c r="D2135" s="18" t="str">
        <f>"&lt;" &amp; A2135 &amp; "&gt;" &amp; TEXT(B2135,"0.000000") &amp; "&lt;/" &amp; A2135 &amp; "&gt;"</f>
        <v>&lt;Slat_Chord&gt;0.250000&lt;/Slat_Chord&gt;</v>
      </c>
      <c r="F2135" s="6"/>
      <c r="G2135" s="6"/>
      <c r="H2135" s="6"/>
      <c r="I2135" s="6"/>
      <c r="J2135" s="6"/>
      <c r="K2135" s="6"/>
      <c r="L2135" s="6"/>
      <c r="M2135" s="6"/>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c r="BU2135" s="6"/>
      <c r="BV2135" s="6"/>
      <c r="BW2135" s="6"/>
      <c r="BX2135" s="6"/>
      <c r="BY2135" s="6"/>
      <c r="BZ2135" s="6"/>
      <c r="CA2135" s="6"/>
      <c r="CB2135" s="6"/>
      <c r="CC2135" s="6"/>
      <c r="CD2135" s="6"/>
      <c r="CE2135" s="6"/>
      <c r="CF2135" s="6"/>
      <c r="CG2135" s="6"/>
      <c r="CH2135" s="6"/>
      <c r="CI2135" s="6"/>
      <c r="CJ2135" s="6"/>
      <c r="CK2135" s="6"/>
      <c r="CL2135" s="6"/>
      <c r="CM2135" s="6"/>
      <c r="CN2135" s="6"/>
      <c r="CO2135" s="6"/>
      <c r="CP2135" s="6"/>
      <c r="CQ2135" s="6"/>
      <c r="CR2135" s="6"/>
      <c r="CS2135" s="6"/>
      <c r="CT2135" s="6"/>
      <c r="CU2135" s="6"/>
      <c r="CV2135" s="6"/>
      <c r="CW2135" s="6"/>
      <c r="CX2135" s="6"/>
      <c r="CY2135" s="6"/>
      <c r="CZ2135" s="6"/>
      <c r="DA2135" s="6"/>
      <c r="DB2135" s="6"/>
      <c r="DC2135" s="6"/>
      <c r="DD2135" s="6"/>
    </row>
    <row r="2136" spans="1:108" ht="12.75" hidden="1" customHeight="1" outlineLevel="6">
      <c r="A2136" s="104" t="s">
        <v>113</v>
      </c>
      <c r="B2136" s="28">
        <f t="shared" si="114"/>
        <v>10</v>
      </c>
      <c r="C2136" s="11"/>
      <c r="D2136" s="18" t="str">
        <f>"&lt;" &amp; A2136 &amp; "&gt;" &amp; TEXT(B2136,"0.000000") &amp; "&lt;/" &amp; A2136 &amp; "&gt;"</f>
        <v>&lt;Slat_Angle&gt;10.000000&lt;/Slat_Angle&gt;</v>
      </c>
      <c r="F2136" s="6"/>
      <c r="G2136" s="6"/>
      <c r="H2136" s="6"/>
      <c r="I2136" s="6"/>
      <c r="J2136" s="6"/>
      <c r="K2136" s="6"/>
      <c r="L2136" s="6"/>
      <c r="M2136" s="6"/>
      <c r="N2136" s="6"/>
      <c r="O2136" s="6"/>
      <c r="P2136" s="6"/>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c r="BU2136" s="6"/>
      <c r="BV2136" s="6"/>
      <c r="BW2136" s="6"/>
      <c r="BX2136" s="6"/>
      <c r="BY2136" s="6"/>
      <c r="BZ2136" s="6"/>
      <c r="CA2136" s="6"/>
      <c r="CB2136" s="6"/>
      <c r="CC2136" s="6"/>
      <c r="CD2136" s="6"/>
      <c r="CE2136" s="6"/>
      <c r="CF2136" s="6"/>
      <c r="CG2136" s="6"/>
      <c r="CH2136" s="6"/>
      <c r="CI2136" s="6"/>
      <c r="CJ2136" s="6"/>
      <c r="CK2136" s="6"/>
      <c r="CL2136" s="6"/>
      <c r="CM2136" s="6"/>
      <c r="CN2136" s="6"/>
      <c r="CO2136" s="6"/>
      <c r="CP2136" s="6"/>
      <c r="CQ2136" s="6"/>
      <c r="CR2136" s="6"/>
      <c r="CS2136" s="6"/>
      <c r="CT2136" s="6"/>
      <c r="CU2136" s="6"/>
      <c r="CV2136" s="6"/>
      <c r="CW2136" s="6"/>
      <c r="CX2136" s="6"/>
      <c r="CY2136" s="6"/>
      <c r="CZ2136" s="6"/>
      <c r="DA2136" s="6"/>
      <c r="DB2136" s="6"/>
      <c r="DC2136" s="6"/>
      <c r="DD2136" s="6"/>
    </row>
    <row r="2137" spans="1:108" ht="12.75" hidden="1" customHeight="1" outlineLevel="6">
      <c r="A2137" s="104" t="s">
        <v>114</v>
      </c>
      <c r="B2137" s="28">
        <f t="shared" si="114"/>
        <v>0</v>
      </c>
      <c r="C2137" s="11"/>
      <c r="D2137" s="18" t="str">
        <f>"&lt;" &amp; A2137 &amp; "&gt;" &amp; TEXT(B2137,0) &amp; "&lt;/" &amp; A2137 &amp; "&gt;"</f>
        <v>&lt;Flap_Flag&gt;0&lt;/Flap_Flag&gt;</v>
      </c>
      <c r="F2137" s="6"/>
      <c r="G2137" s="6"/>
      <c r="H2137" s="6"/>
      <c r="I2137" s="6"/>
      <c r="J2137" s="6"/>
      <c r="K2137" s="6"/>
      <c r="L2137" s="6"/>
      <c r="M2137" s="6"/>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c r="BU2137" s="6"/>
      <c r="BV2137" s="6"/>
      <c r="BW2137" s="6"/>
      <c r="BX2137" s="6"/>
      <c r="BY2137" s="6"/>
      <c r="BZ2137" s="6"/>
      <c r="CA2137" s="6"/>
      <c r="CB2137" s="6"/>
      <c r="CC2137" s="6"/>
      <c r="CD2137" s="6"/>
      <c r="CE2137" s="6"/>
      <c r="CF2137" s="6"/>
      <c r="CG2137" s="6"/>
      <c r="CH2137" s="6"/>
      <c r="CI2137" s="6"/>
      <c r="CJ2137" s="6"/>
      <c r="CK2137" s="6"/>
      <c r="CL2137" s="6"/>
      <c r="CM2137" s="6"/>
      <c r="CN2137" s="6"/>
      <c r="CO2137" s="6"/>
      <c r="CP2137" s="6"/>
      <c r="CQ2137" s="6"/>
      <c r="CR2137" s="6"/>
      <c r="CS2137" s="6"/>
      <c r="CT2137" s="6"/>
      <c r="CU2137" s="6"/>
      <c r="CV2137" s="6"/>
      <c r="CW2137" s="6"/>
      <c r="CX2137" s="6"/>
      <c r="CY2137" s="6"/>
      <c r="CZ2137" s="6"/>
      <c r="DA2137" s="6"/>
      <c r="DB2137" s="6"/>
      <c r="DC2137" s="6"/>
      <c r="DD2137" s="6"/>
    </row>
    <row r="2138" spans="1:108" ht="12.75" hidden="1" customHeight="1" outlineLevel="6">
      <c r="A2138" s="104" t="s">
        <v>115</v>
      </c>
      <c r="B2138" s="28">
        <f t="shared" si="114"/>
        <v>0</v>
      </c>
      <c r="C2138" s="11"/>
      <c r="D2138" s="18" t="str">
        <f>"&lt;" &amp; A2138 &amp; "&gt;" &amp; TEXT(B2138,0) &amp; "&lt;/" &amp; A2138 &amp; "&gt;"</f>
        <v>&lt;Flap_Shear_Flag&gt;0&lt;/Flap_Shear_Flag&gt;</v>
      </c>
      <c r="F2138" s="6"/>
      <c r="G2138" s="6"/>
      <c r="H2138" s="6"/>
      <c r="I2138" s="6"/>
      <c r="J2138" s="6"/>
      <c r="K2138" s="6"/>
      <c r="L2138" s="6"/>
      <c r="M2138" s="6"/>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c r="BU2138" s="6"/>
      <c r="BV2138" s="6"/>
      <c r="BW2138" s="6"/>
      <c r="BX2138" s="6"/>
      <c r="BY2138" s="6"/>
      <c r="BZ2138" s="6"/>
      <c r="CA2138" s="6"/>
      <c r="CB2138" s="6"/>
      <c r="CC2138" s="6"/>
      <c r="CD2138" s="6"/>
      <c r="CE2138" s="6"/>
      <c r="CF2138" s="6"/>
      <c r="CG2138" s="6"/>
      <c r="CH2138" s="6"/>
      <c r="CI2138" s="6"/>
      <c r="CJ2138" s="6"/>
      <c r="CK2138" s="6"/>
      <c r="CL2138" s="6"/>
      <c r="CM2138" s="6"/>
      <c r="CN2138" s="6"/>
      <c r="CO2138" s="6"/>
      <c r="CP2138" s="6"/>
      <c r="CQ2138" s="6"/>
      <c r="CR2138" s="6"/>
      <c r="CS2138" s="6"/>
      <c r="CT2138" s="6"/>
      <c r="CU2138" s="6"/>
      <c r="CV2138" s="6"/>
      <c r="CW2138" s="6"/>
      <c r="CX2138" s="6"/>
      <c r="CY2138" s="6"/>
      <c r="CZ2138" s="6"/>
      <c r="DA2138" s="6"/>
      <c r="DB2138" s="6"/>
      <c r="DC2138" s="6"/>
      <c r="DD2138" s="6"/>
    </row>
    <row r="2139" spans="1:108" ht="12.75" hidden="1" customHeight="1" outlineLevel="6">
      <c r="A2139" s="104" t="s">
        <v>116</v>
      </c>
      <c r="B2139" s="28">
        <f t="shared" si="114"/>
        <v>0.25</v>
      </c>
      <c r="C2139" s="11"/>
      <c r="D2139" s="18" t="str">
        <f>"&lt;" &amp; A2139 &amp; "&gt;" &amp; TEXT(B2139,"0.000000") &amp; "&lt;/" &amp; A2139 &amp; "&gt;"</f>
        <v>&lt;Flap_Chord&gt;0.250000&lt;/Flap_Chord&gt;</v>
      </c>
      <c r="F2139" s="6"/>
      <c r="G2139" s="6"/>
      <c r="H2139" s="6"/>
      <c r="I2139" s="6"/>
      <c r="J2139" s="6"/>
      <c r="K2139" s="6"/>
      <c r="L2139" s="6"/>
      <c r="M2139" s="6"/>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c r="BU2139" s="6"/>
      <c r="BV2139" s="6"/>
      <c r="BW2139" s="6"/>
      <c r="BX2139" s="6"/>
      <c r="BY2139" s="6"/>
      <c r="BZ2139" s="6"/>
      <c r="CA2139" s="6"/>
      <c r="CB2139" s="6"/>
      <c r="CC2139" s="6"/>
      <c r="CD2139" s="6"/>
      <c r="CE2139" s="6"/>
      <c r="CF2139" s="6"/>
      <c r="CG2139" s="6"/>
      <c r="CH2139" s="6"/>
      <c r="CI2139" s="6"/>
      <c r="CJ2139" s="6"/>
      <c r="CK2139" s="6"/>
      <c r="CL2139" s="6"/>
      <c r="CM2139" s="6"/>
      <c r="CN2139" s="6"/>
      <c r="CO2139" s="6"/>
      <c r="CP2139" s="6"/>
      <c r="CQ2139" s="6"/>
      <c r="CR2139" s="6"/>
      <c r="CS2139" s="6"/>
      <c r="CT2139" s="6"/>
      <c r="CU2139" s="6"/>
      <c r="CV2139" s="6"/>
      <c r="CW2139" s="6"/>
      <c r="CX2139" s="6"/>
      <c r="CY2139" s="6"/>
      <c r="CZ2139" s="6"/>
      <c r="DA2139" s="6"/>
      <c r="DB2139" s="6"/>
      <c r="DC2139" s="6"/>
      <c r="DD2139" s="6"/>
    </row>
    <row r="2140" spans="1:108" ht="12.75" hidden="1" customHeight="1" outlineLevel="6">
      <c r="A2140" s="104" t="s">
        <v>117</v>
      </c>
      <c r="B2140" s="28">
        <f t="shared" si="114"/>
        <v>10</v>
      </c>
      <c r="C2140" s="11"/>
      <c r="D2140" s="18" t="str">
        <f>"&lt;" &amp; A2140 &amp; "&gt;" &amp; TEXT(B2140,"0.000000") &amp; "&lt;/" &amp; A2140 &amp; "&gt;"</f>
        <v>&lt;Flap_Angle&gt;10.000000&lt;/Flap_Angle&gt;</v>
      </c>
      <c r="F2140" s="6"/>
      <c r="G2140" s="6"/>
      <c r="H2140" s="6"/>
      <c r="I2140" s="6"/>
      <c r="J2140" s="6"/>
      <c r="K2140" s="6"/>
      <c r="L2140" s="6"/>
      <c r="M2140" s="6"/>
      <c r="N2140" s="6"/>
      <c r="O2140" s="6"/>
      <c r="P2140" s="6"/>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c r="BU2140" s="6"/>
      <c r="BV2140" s="6"/>
      <c r="BW2140" s="6"/>
      <c r="BX2140" s="6"/>
      <c r="BY2140" s="6"/>
      <c r="BZ2140" s="6"/>
      <c r="CA2140" s="6"/>
      <c r="CB2140" s="6"/>
      <c r="CC2140" s="6"/>
      <c r="CD2140" s="6"/>
      <c r="CE2140" s="6"/>
      <c r="CF2140" s="6"/>
      <c r="CG2140" s="6"/>
      <c r="CH2140" s="6"/>
      <c r="CI2140" s="6"/>
      <c r="CJ2140" s="6"/>
      <c r="CK2140" s="6"/>
      <c r="CL2140" s="6"/>
      <c r="CM2140" s="6"/>
      <c r="CN2140" s="6"/>
      <c r="CO2140" s="6"/>
      <c r="CP2140" s="6"/>
      <c r="CQ2140" s="6"/>
      <c r="CR2140" s="6"/>
      <c r="CS2140" s="6"/>
      <c r="CT2140" s="6"/>
      <c r="CU2140" s="6"/>
      <c r="CV2140" s="6"/>
      <c r="CW2140" s="6"/>
      <c r="CX2140" s="6"/>
      <c r="CY2140" s="6"/>
      <c r="CZ2140" s="6"/>
      <c r="DA2140" s="6"/>
      <c r="DB2140" s="6"/>
      <c r="DC2140" s="6"/>
      <c r="DD2140" s="6"/>
    </row>
    <row r="2141" spans="1:108" ht="12.75" hidden="1" customHeight="1" outlineLevel="6">
      <c r="A2141" s="104" t="s">
        <v>118</v>
      </c>
      <c r="B2141" s="100"/>
      <c r="C2141" s="11"/>
      <c r="D2141" s="6" t="str">
        <f>"&lt;" &amp; A2141 &amp; "&gt;"</f>
        <v>&lt;/Airfoil&gt;</v>
      </c>
      <c r="F2141" s="6"/>
      <c r="G2141" s="6"/>
      <c r="H2141" s="6"/>
      <c r="I2141" s="6"/>
      <c r="J2141" s="6"/>
      <c r="K2141" s="6"/>
      <c r="L2141" s="6"/>
      <c r="M2141" s="6"/>
      <c r="N2141" s="6"/>
      <c r="O2141" s="6"/>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c r="BU2141" s="6"/>
      <c r="BV2141" s="6"/>
      <c r="BW2141" s="6"/>
      <c r="BX2141" s="6"/>
      <c r="BY2141" s="6"/>
      <c r="BZ2141" s="6"/>
      <c r="CA2141" s="6"/>
      <c r="CB2141" s="6"/>
      <c r="CC2141" s="6"/>
      <c r="CD2141" s="6"/>
      <c r="CE2141" s="6"/>
      <c r="CF2141" s="6"/>
      <c r="CG2141" s="6"/>
      <c r="CH2141" s="6"/>
      <c r="CI2141" s="6"/>
      <c r="CJ2141" s="6"/>
      <c r="CK2141" s="6"/>
      <c r="CL2141" s="6"/>
      <c r="CM2141" s="6"/>
      <c r="CN2141" s="6"/>
      <c r="CO2141" s="6"/>
      <c r="CP2141" s="6"/>
      <c r="CQ2141" s="6"/>
      <c r="CR2141" s="6"/>
      <c r="CS2141" s="6"/>
      <c r="CT2141" s="6"/>
      <c r="CU2141" s="6"/>
      <c r="CV2141" s="6"/>
      <c r="CW2141" s="6"/>
      <c r="CX2141" s="6"/>
      <c r="CY2141" s="6"/>
      <c r="CZ2141" s="6"/>
      <c r="DA2141" s="6"/>
      <c r="DB2141" s="6"/>
      <c r="DC2141" s="6"/>
      <c r="DD2141" s="6"/>
    </row>
    <row r="2142" spans="1:108" ht="12.75" hidden="1" customHeight="1" outlineLevel="5">
      <c r="A2142" s="104" t="s">
        <v>2</v>
      </c>
      <c r="B2142" s="110" t="s">
        <v>386</v>
      </c>
      <c r="C2142" s="11"/>
      <c r="D2142" s="6" t="str">
        <f>"&lt;" &amp; A2142 &amp; "&gt;"</f>
        <v>&lt;Airfoil&gt;</v>
      </c>
      <c r="F2142" s="6"/>
      <c r="G2142" s="6"/>
      <c r="H2142" s="6"/>
      <c r="I2142" s="6"/>
      <c r="J2142" s="6"/>
      <c r="K2142" s="6"/>
      <c r="L2142" s="6"/>
      <c r="M2142" s="6"/>
      <c r="N2142" s="6"/>
      <c r="O2142" s="6"/>
      <c r="P2142" s="6"/>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c r="BU2142" s="6"/>
      <c r="BV2142" s="6"/>
      <c r="BW2142" s="6"/>
      <c r="BX2142" s="6"/>
      <c r="BY2142" s="6"/>
      <c r="BZ2142" s="6"/>
      <c r="CA2142" s="6"/>
      <c r="CB2142" s="6"/>
      <c r="CC2142" s="6"/>
      <c r="CD2142" s="6"/>
      <c r="CE2142" s="6"/>
      <c r="CF2142" s="6"/>
      <c r="CG2142" s="6"/>
      <c r="CH2142" s="6"/>
      <c r="CI2142" s="6"/>
      <c r="CJ2142" s="6"/>
      <c r="CK2142" s="6"/>
      <c r="CL2142" s="6"/>
      <c r="CM2142" s="6"/>
      <c r="CN2142" s="6"/>
      <c r="CO2142" s="6"/>
      <c r="CP2142" s="6"/>
      <c r="CQ2142" s="6"/>
      <c r="CR2142" s="6"/>
      <c r="CS2142" s="6"/>
      <c r="CT2142" s="6"/>
      <c r="CU2142" s="6"/>
      <c r="CV2142" s="6"/>
      <c r="CW2142" s="6"/>
      <c r="CX2142" s="6"/>
      <c r="CY2142" s="6"/>
      <c r="CZ2142" s="6"/>
      <c r="DA2142" s="6"/>
      <c r="DB2142" s="6"/>
      <c r="DC2142" s="6"/>
      <c r="DD2142" s="6"/>
    </row>
    <row r="2143" spans="1:108" ht="12.75" hidden="1" customHeight="1" outlineLevel="6">
      <c r="A2143" s="104" t="s">
        <v>14</v>
      </c>
      <c r="B2143" s="28">
        <f t="shared" ref="B2143:B2161" si="116">B1610</f>
        <v>1</v>
      </c>
      <c r="C2143" s="11"/>
      <c r="D2143" s="18" t="str">
        <f>"&lt;" &amp; A2143 &amp; "&gt;" &amp; TEXT(B2143,0) &amp; "&lt;/" &amp; A2143 &amp; "&gt;"</f>
        <v>&lt;Type&gt;1&lt;/Type&gt;</v>
      </c>
      <c r="F2143" s="6"/>
      <c r="G2143" s="6"/>
      <c r="H2143" s="6"/>
      <c r="I2143" s="6"/>
      <c r="J2143" s="6"/>
      <c r="K2143" s="6"/>
      <c r="L2143" s="6"/>
      <c r="M2143" s="6"/>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c r="BU2143" s="6"/>
      <c r="BV2143" s="6"/>
      <c r="BW2143" s="6"/>
      <c r="BX2143" s="6"/>
      <c r="BY2143" s="6"/>
      <c r="BZ2143" s="6"/>
      <c r="CA2143" s="6"/>
      <c r="CB2143" s="6"/>
      <c r="CC2143" s="6"/>
      <c r="CD2143" s="6"/>
      <c r="CE2143" s="6"/>
      <c r="CF2143" s="6"/>
      <c r="CG2143" s="6"/>
      <c r="CH2143" s="6"/>
      <c r="CI2143" s="6"/>
      <c r="CJ2143" s="6"/>
      <c r="CK2143" s="6"/>
      <c r="CL2143" s="6"/>
      <c r="CM2143" s="6"/>
      <c r="CN2143" s="6"/>
      <c r="CO2143" s="6"/>
      <c r="CP2143" s="6"/>
      <c r="CQ2143" s="6"/>
      <c r="CR2143" s="6"/>
      <c r="CS2143" s="6"/>
      <c r="CT2143" s="6"/>
      <c r="CU2143" s="6"/>
      <c r="CV2143" s="6"/>
      <c r="CW2143" s="6"/>
      <c r="CX2143" s="6"/>
      <c r="CY2143" s="6"/>
      <c r="CZ2143" s="6"/>
      <c r="DA2143" s="6"/>
      <c r="DB2143" s="6"/>
      <c r="DC2143" s="6"/>
      <c r="DD2143" s="6"/>
    </row>
    <row r="2144" spans="1:108" ht="12.75" hidden="1" customHeight="1" outlineLevel="6">
      <c r="A2144" s="104" t="s">
        <v>102</v>
      </c>
      <c r="B2144" s="28">
        <f t="shared" si="116"/>
        <v>0</v>
      </c>
      <c r="C2144" s="11"/>
      <c r="D2144" s="18" t="str">
        <f>"&lt;" &amp; A2144 &amp; "&gt;" &amp; TEXT(B2144,0) &amp; "&lt;/" &amp; A2144 &amp; "&gt;"</f>
        <v>&lt;Inverted_Flag&gt;0&lt;/Inverted_Flag&gt;</v>
      </c>
      <c r="F2144" s="6"/>
      <c r="G2144" s="6"/>
      <c r="H2144" s="6"/>
      <c r="I2144" s="6"/>
      <c r="J2144" s="6"/>
      <c r="K2144" s="6"/>
      <c r="L2144" s="6"/>
      <c r="M2144" s="6"/>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c r="BU2144" s="6"/>
      <c r="BV2144" s="6"/>
      <c r="BW2144" s="6"/>
      <c r="BX2144" s="6"/>
      <c r="BY2144" s="6"/>
      <c r="BZ2144" s="6"/>
      <c r="CA2144" s="6"/>
      <c r="CB2144" s="6"/>
      <c r="CC2144" s="6"/>
      <c r="CD2144" s="6"/>
      <c r="CE2144" s="6"/>
      <c r="CF2144" s="6"/>
      <c r="CG2144" s="6"/>
      <c r="CH2144" s="6"/>
      <c r="CI2144" s="6"/>
      <c r="CJ2144" s="6"/>
      <c r="CK2144" s="6"/>
      <c r="CL2144" s="6"/>
      <c r="CM2144" s="6"/>
      <c r="CN2144" s="6"/>
      <c r="CO2144" s="6"/>
      <c r="CP2144" s="6"/>
      <c r="CQ2144" s="6"/>
      <c r="CR2144" s="6"/>
      <c r="CS2144" s="6"/>
      <c r="CT2144" s="6"/>
      <c r="CU2144" s="6"/>
      <c r="CV2144" s="6"/>
      <c r="CW2144" s="6"/>
      <c r="CX2144" s="6"/>
      <c r="CY2144" s="6"/>
      <c r="CZ2144" s="6"/>
      <c r="DA2144" s="6"/>
      <c r="DB2144" s="6"/>
      <c r="DC2144" s="6"/>
      <c r="DD2144" s="6"/>
    </row>
    <row r="2145" spans="1:108" ht="12.75" hidden="1" customHeight="1" outlineLevel="6">
      <c r="A2145" s="104" t="s">
        <v>4</v>
      </c>
      <c r="B2145" s="28">
        <f t="shared" si="116"/>
        <v>0</v>
      </c>
      <c r="C2145" s="11"/>
      <c r="D2145" s="18" t="str">
        <f t="shared" ref="D2145:D2150" si="117">"&lt;" &amp; A2145 &amp; "&gt;" &amp; TEXT(B2145,"0.000000") &amp; "&lt;/" &amp; A2145 &amp; "&gt;"</f>
        <v>&lt;Camber&gt;0.000000&lt;/Camber&gt;</v>
      </c>
      <c r="F2145" s="6"/>
      <c r="G2145" s="6"/>
      <c r="H2145" s="6"/>
      <c r="I2145" s="6"/>
      <c r="J2145" s="6"/>
      <c r="K2145" s="6"/>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c r="BU2145" s="6"/>
      <c r="BV2145" s="6"/>
      <c r="BW2145" s="6"/>
      <c r="BX2145" s="6"/>
      <c r="BY2145" s="6"/>
      <c r="BZ2145" s="6"/>
      <c r="CA2145" s="6"/>
      <c r="CB2145" s="6"/>
      <c r="CC2145" s="6"/>
      <c r="CD2145" s="6"/>
      <c r="CE2145" s="6"/>
      <c r="CF2145" s="6"/>
      <c r="CG2145" s="6"/>
      <c r="CH2145" s="6"/>
      <c r="CI2145" s="6"/>
      <c r="CJ2145" s="6"/>
      <c r="CK2145" s="6"/>
      <c r="CL2145" s="6"/>
      <c r="CM2145" s="6"/>
      <c r="CN2145" s="6"/>
      <c r="CO2145" s="6"/>
      <c r="CP2145" s="6"/>
      <c r="CQ2145" s="6"/>
      <c r="CR2145" s="6"/>
      <c r="CS2145" s="6"/>
      <c r="CT2145" s="6"/>
      <c r="CU2145" s="6"/>
      <c r="CV2145" s="6"/>
      <c r="CW2145" s="6"/>
      <c r="CX2145" s="6"/>
      <c r="CY2145" s="6"/>
      <c r="CZ2145" s="6"/>
      <c r="DA2145" s="6"/>
      <c r="DB2145" s="6"/>
      <c r="DC2145" s="6"/>
      <c r="DD2145" s="6"/>
    </row>
    <row r="2146" spans="1:108" ht="12.75" hidden="1" customHeight="1" outlineLevel="6">
      <c r="A2146" s="104" t="s">
        <v>103</v>
      </c>
      <c r="B2146" s="28">
        <f t="shared" si="116"/>
        <v>0.5</v>
      </c>
      <c r="C2146" s="11"/>
      <c r="D2146" s="18" t="str">
        <f t="shared" si="117"/>
        <v>&lt;Camber_Loc&gt;0.500000&lt;/Camber_Loc&gt;</v>
      </c>
      <c r="F2146" s="6"/>
      <c r="G2146" s="6"/>
      <c r="H2146" s="6"/>
      <c r="I2146" s="6"/>
      <c r="J2146" s="6"/>
      <c r="K2146" s="6"/>
      <c r="L2146" s="6"/>
      <c r="M2146" s="6"/>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c r="BU2146" s="6"/>
      <c r="BV2146" s="6"/>
      <c r="BW2146" s="6"/>
      <c r="BX2146" s="6"/>
      <c r="BY2146" s="6"/>
      <c r="BZ2146" s="6"/>
      <c r="CA2146" s="6"/>
      <c r="CB2146" s="6"/>
      <c r="CC2146" s="6"/>
      <c r="CD2146" s="6"/>
      <c r="CE2146" s="6"/>
      <c r="CF2146" s="6"/>
      <c r="CG2146" s="6"/>
      <c r="CH2146" s="6"/>
      <c r="CI2146" s="6"/>
      <c r="CJ2146" s="6"/>
      <c r="CK2146" s="6"/>
      <c r="CL2146" s="6"/>
      <c r="CM2146" s="6"/>
      <c r="CN2146" s="6"/>
      <c r="CO2146" s="6"/>
      <c r="CP2146" s="6"/>
      <c r="CQ2146" s="6"/>
      <c r="CR2146" s="6"/>
      <c r="CS2146" s="6"/>
      <c r="CT2146" s="6"/>
      <c r="CU2146" s="6"/>
      <c r="CV2146" s="6"/>
      <c r="CW2146" s="6"/>
      <c r="CX2146" s="6"/>
      <c r="CY2146" s="6"/>
      <c r="CZ2146" s="6"/>
      <c r="DA2146" s="6"/>
      <c r="DB2146" s="6"/>
      <c r="DC2146" s="6"/>
      <c r="DD2146" s="6"/>
    </row>
    <row r="2147" spans="1:108" ht="12.75" hidden="1" customHeight="1" outlineLevel="6">
      <c r="A2147" s="104" t="s">
        <v>5</v>
      </c>
      <c r="B2147" s="28">
        <f t="shared" si="116"/>
        <v>0.08</v>
      </c>
      <c r="C2147" s="11"/>
      <c r="D2147" s="18" t="str">
        <f t="shared" si="117"/>
        <v>&lt;Thickness&gt;0.080000&lt;/Thickness&gt;</v>
      </c>
      <c r="F2147" s="6"/>
      <c r="G2147" s="6"/>
      <c r="H2147" s="6"/>
      <c r="I2147" s="6"/>
      <c r="J2147" s="6"/>
      <c r="K2147" s="6"/>
      <c r="L2147" s="6"/>
      <c r="M2147" s="6"/>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c r="BU2147" s="6"/>
      <c r="BV2147" s="6"/>
      <c r="BW2147" s="6"/>
      <c r="BX2147" s="6"/>
      <c r="BY2147" s="6"/>
      <c r="BZ2147" s="6"/>
      <c r="CA2147" s="6"/>
      <c r="CB2147" s="6"/>
      <c r="CC2147" s="6"/>
      <c r="CD2147" s="6"/>
      <c r="CE2147" s="6"/>
      <c r="CF2147" s="6"/>
      <c r="CG2147" s="6"/>
      <c r="CH2147" s="6"/>
      <c r="CI2147" s="6"/>
      <c r="CJ2147" s="6"/>
      <c r="CK2147" s="6"/>
      <c r="CL2147" s="6"/>
      <c r="CM2147" s="6"/>
      <c r="CN2147" s="6"/>
      <c r="CO2147" s="6"/>
      <c r="CP2147" s="6"/>
      <c r="CQ2147" s="6"/>
      <c r="CR2147" s="6"/>
      <c r="CS2147" s="6"/>
      <c r="CT2147" s="6"/>
      <c r="CU2147" s="6"/>
      <c r="CV2147" s="6"/>
      <c r="CW2147" s="6"/>
      <c r="CX2147" s="6"/>
      <c r="CY2147" s="6"/>
      <c r="CZ2147" s="6"/>
      <c r="DA2147" s="6"/>
      <c r="DB2147" s="6"/>
      <c r="DC2147" s="6"/>
      <c r="DD2147" s="6"/>
    </row>
    <row r="2148" spans="1:108" ht="12.75" hidden="1" customHeight="1" outlineLevel="6">
      <c r="A2148" s="104" t="s">
        <v>104</v>
      </c>
      <c r="B2148" s="28">
        <f t="shared" si="116"/>
        <v>0.3</v>
      </c>
      <c r="C2148" s="11"/>
      <c r="D2148" s="18" t="str">
        <f t="shared" si="117"/>
        <v>&lt;Thickness_Loc&gt;0.300000&lt;/Thickness_Loc&gt;</v>
      </c>
      <c r="F2148" s="6"/>
      <c r="G2148" s="6"/>
      <c r="H2148" s="6"/>
      <c r="I2148" s="6"/>
      <c r="J2148" s="6"/>
      <c r="K2148" s="6"/>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c r="BU2148" s="6"/>
      <c r="BV2148" s="6"/>
      <c r="BW2148" s="6"/>
      <c r="BX2148" s="6"/>
      <c r="BY2148" s="6"/>
      <c r="BZ2148" s="6"/>
      <c r="CA2148" s="6"/>
      <c r="CB2148" s="6"/>
      <c r="CC2148" s="6"/>
      <c r="CD2148" s="6"/>
      <c r="CE2148" s="6"/>
      <c r="CF2148" s="6"/>
      <c r="CG2148" s="6"/>
      <c r="CH2148" s="6"/>
      <c r="CI2148" s="6"/>
      <c r="CJ2148" s="6"/>
      <c r="CK2148" s="6"/>
      <c r="CL2148" s="6"/>
      <c r="CM2148" s="6"/>
      <c r="CN2148" s="6"/>
      <c r="CO2148" s="6"/>
      <c r="CP2148" s="6"/>
      <c r="CQ2148" s="6"/>
      <c r="CR2148" s="6"/>
      <c r="CS2148" s="6"/>
      <c r="CT2148" s="6"/>
      <c r="CU2148" s="6"/>
      <c r="CV2148" s="6"/>
      <c r="CW2148" s="6"/>
      <c r="CX2148" s="6"/>
      <c r="CY2148" s="6"/>
      <c r="CZ2148" s="6"/>
      <c r="DA2148" s="6"/>
      <c r="DB2148" s="6"/>
      <c r="DC2148" s="6"/>
      <c r="DD2148" s="6"/>
    </row>
    <row r="2149" spans="1:108" ht="12.75" hidden="1" customHeight="1" outlineLevel="6">
      <c r="A2149" s="104" t="s">
        <v>105</v>
      </c>
      <c r="B2149" s="28">
        <f t="shared" si="116"/>
        <v>7.0520000000000001E-3</v>
      </c>
      <c r="C2149" s="11"/>
      <c r="D2149" s="18" t="str">
        <f t="shared" si="117"/>
        <v>&lt;Radius_Le&gt;0.007052&lt;/Radius_Le&gt;</v>
      </c>
      <c r="F2149" s="6"/>
      <c r="G2149" s="6"/>
      <c r="H2149" s="6"/>
      <c r="I2149" s="6"/>
      <c r="J2149" s="6"/>
      <c r="K2149" s="6"/>
      <c r="L2149" s="6"/>
      <c r="M2149" s="6"/>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c r="BU2149" s="6"/>
      <c r="BV2149" s="6"/>
      <c r="BW2149" s="6"/>
      <c r="BX2149" s="6"/>
      <c r="BY2149" s="6"/>
      <c r="BZ2149" s="6"/>
      <c r="CA2149" s="6"/>
      <c r="CB2149" s="6"/>
      <c r="CC2149" s="6"/>
      <c r="CD2149" s="6"/>
      <c r="CE2149" s="6"/>
      <c r="CF2149" s="6"/>
      <c r="CG2149" s="6"/>
      <c r="CH2149" s="6"/>
      <c r="CI2149" s="6"/>
      <c r="CJ2149" s="6"/>
      <c r="CK2149" s="6"/>
      <c r="CL2149" s="6"/>
      <c r="CM2149" s="6"/>
      <c r="CN2149" s="6"/>
      <c r="CO2149" s="6"/>
      <c r="CP2149" s="6"/>
      <c r="CQ2149" s="6"/>
      <c r="CR2149" s="6"/>
      <c r="CS2149" s="6"/>
      <c r="CT2149" s="6"/>
      <c r="CU2149" s="6"/>
      <c r="CV2149" s="6"/>
      <c r="CW2149" s="6"/>
      <c r="CX2149" s="6"/>
      <c r="CY2149" s="6"/>
      <c r="CZ2149" s="6"/>
      <c r="DA2149" s="6"/>
      <c r="DB2149" s="6"/>
      <c r="DC2149" s="6"/>
      <c r="DD2149" s="6"/>
    </row>
    <row r="2150" spans="1:108" ht="12.75" hidden="1" customHeight="1" outlineLevel="6">
      <c r="A2150" s="104" t="s">
        <v>106</v>
      </c>
      <c r="B2150" s="28">
        <f t="shared" si="116"/>
        <v>0</v>
      </c>
      <c r="C2150" s="11"/>
      <c r="D2150" s="18" t="str">
        <f t="shared" si="117"/>
        <v>&lt;Radius_Te&gt;0.000000&lt;/Radius_Te&gt;</v>
      </c>
      <c r="F2150" s="6"/>
      <c r="G2150" s="6"/>
      <c r="H2150" s="6"/>
      <c r="I2150" s="6"/>
      <c r="J2150" s="6"/>
      <c r="K2150" s="6"/>
      <c r="L2150" s="6"/>
      <c r="M2150" s="6"/>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c r="BU2150" s="6"/>
      <c r="BV2150" s="6"/>
      <c r="BW2150" s="6"/>
      <c r="BX2150" s="6"/>
      <c r="BY2150" s="6"/>
      <c r="BZ2150" s="6"/>
      <c r="CA2150" s="6"/>
      <c r="CB2150" s="6"/>
      <c r="CC2150" s="6"/>
      <c r="CD2150" s="6"/>
      <c r="CE2150" s="6"/>
      <c r="CF2150" s="6"/>
      <c r="CG2150" s="6"/>
      <c r="CH2150" s="6"/>
      <c r="CI2150" s="6"/>
      <c r="CJ2150" s="6"/>
      <c r="CK2150" s="6"/>
      <c r="CL2150" s="6"/>
      <c r="CM2150" s="6"/>
      <c r="CN2150" s="6"/>
      <c r="CO2150" s="6"/>
      <c r="CP2150" s="6"/>
      <c r="CQ2150" s="6"/>
      <c r="CR2150" s="6"/>
      <c r="CS2150" s="6"/>
      <c r="CT2150" s="6"/>
      <c r="CU2150" s="6"/>
      <c r="CV2150" s="6"/>
      <c r="CW2150" s="6"/>
      <c r="CX2150" s="6"/>
      <c r="CY2150" s="6"/>
      <c r="CZ2150" s="6"/>
      <c r="DA2150" s="6"/>
      <c r="DB2150" s="6"/>
      <c r="DC2150" s="6"/>
      <c r="DD2150" s="6"/>
    </row>
    <row r="2151" spans="1:108" ht="12.75" hidden="1" customHeight="1" outlineLevel="6">
      <c r="A2151" s="104" t="s">
        <v>107</v>
      </c>
      <c r="B2151" s="28">
        <f t="shared" si="116"/>
        <v>63</v>
      </c>
      <c r="C2151" s="11"/>
      <c r="D2151" s="18" t="str">
        <f>"&lt;" &amp; A2151 &amp; "&gt;" &amp; TEXT(B2151,0) &amp; "&lt;/" &amp; A2151 &amp; "&gt;"</f>
        <v>&lt;Six_Series&gt;63&lt;/Six_Series&gt;</v>
      </c>
      <c r="F2151" s="6"/>
      <c r="G2151" s="6"/>
      <c r="H2151" s="6"/>
      <c r="I2151" s="6"/>
      <c r="J2151" s="6"/>
      <c r="K2151" s="6"/>
      <c r="L2151" s="6"/>
      <c r="M2151" s="6"/>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c r="BU2151" s="6"/>
      <c r="BV2151" s="6"/>
      <c r="BW2151" s="6"/>
      <c r="BX2151" s="6"/>
      <c r="BY2151" s="6"/>
      <c r="BZ2151" s="6"/>
      <c r="CA2151" s="6"/>
      <c r="CB2151" s="6"/>
      <c r="CC2151" s="6"/>
      <c r="CD2151" s="6"/>
      <c r="CE2151" s="6"/>
      <c r="CF2151" s="6"/>
      <c r="CG2151" s="6"/>
      <c r="CH2151" s="6"/>
      <c r="CI2151" s="6"/>
      <c r="CJ2151" s="6"/>
      <c r="CK2151" s="6"/>
      <c r="CL2151" s="6"/>
      <c r="CM2151" s="6"/>
      <c r="CN2151" s="6"/>
      <c r="CO2151" s="6"/>
      <c r="CP2151" s="6"/>
      <c r="CQ2151" s="6"/>
      <c r="CR2151" s="6"/>
      <c r="CS2151" s="6"/>
      <c r="CT2151" s="6"/>
      <c r="CU2151" s="6"/>
      <c r="CV2151" s="6"/>
      <c r="CW2151" s="6"/>
      <c r="CX2151" s="6"/>
      <c r="CY2151" s="6"/>
      <c r="CZ2151" s="6"/>
      <c r="DA2151" s="6"/>
      <c r="DB2151" s="6"/>
      <c r="DC2151" s="6"/>
      <c r="DD2151" s="6"/>
    </row>
    <row r="2152" spans="1:108" ht="12.75" hidden="1" customHeight="1" outlineLevel="6">
      <c r="A2152" s="104" t="s">
        <v>108</v>
      </c>
      <c r="B2152" s="28">
        <f t="shared" si="116"/>
        <v>0</v>
      </c>
      <c r="C2152" s="11"/>
      <c r="D2152" s="18" t="str">
        <f>"&lt;" &amp; A2152 &amp; "&gt;" &amp; TEXT(B2152,"0.000000") &amp; "&lt;/" &amp; A2152 &amp; "&gt;"</f>
        <v>&lt;Ideal_Cl&gt;0.000000&lt;/Ideal_Cl&gt;</v>
      </c>
      <c r="F2152" s="6"/>
      <c r="G2152" s="6"/>
      <c r="H2152" s="6"/>
      <c r="I2152" s="6"/>
      <c r="J2152" s="6"/>
      <c r="K2152" s="6"/>
      <c r="L2152" s="6"/>
      <c r="M2152" s="6"/>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c r="BU2152" s="6"/>
      <c r="BV2152" s="6"/>
      <c r="BW2152" s="6"/>
      <c r="BX2152" s="6"/>
      <c r="BY2152" s="6"/>
      <c r="BZ2152" s="6"/>
      <c r="CA2152" s="6"/>
      <c r="CB2152" s="6"/>
      <c r="CC2152" s="6"/>
      <c r="CD2152" s="6"/>
      <c r="CE2152" s="6"/>
      <c r="CF2152" s="6"/>
      <c r="CG2152" s="6"/>
      <c r="CH2152" s="6"/>
      <c r="CI2152" s="6"/>
      <c r="CJ2152" s="6"/>
      <c r="CK2152" s="6"/>
      <c r="CL2152" s="6"/>
      <c r="CM2152" s="6"/>
      <c r="CN2152" s="6"/>
      <c r="CO2152" s="6"/>
      <c r="CP2152" s="6"/>
      <c r="CQ2152" s="6"/>
      <c r="CR2152" s="6"/>
      <c r="CS2152" s="6"/>
      <c r="CT2152" s="6"/>
      <c r="CU2152" s="6"/>
      <c r="CV2152" s="6"/>
      <c r="CW2152" s="6"/>
      <c r="CX2152" s="6"/>
      <c r="CY2152" s="6"/>
      <c r="CZ2152" s="6"/>
      <c r="DA2152" s="6"/>
      <c r="DB2152" s="6"/>
      <c r="DC2152" s="6"/>
      <c r="DD2152" s="6"/>
    </row>
    <row r="2153" spans="1:108" ht="12.75" hidden="1" customHeight="1" outlineLevel="6">
      <c r="A2153" s="104" t="s">
        <v>109</v>
      </c>
      <c r="B2153" s="28">
        <f t="shared" si="116"/>
        <v>0</v>
      </c>
      <c r="C2153" s="11"/>
      <c r="D2153" s="18" t="str">
        <f>"&lt;" &amp; A2153 &amp; "&gt;" &amp; TEXT(B2153,"0.000000") &amp; "&lt;/" &amp; A2153 &amp; "&gt;"</f>
        <v>&lt;A&gt;0.000000&lt;/A&gt;</v>
      </c>
      <c r="F2153" s="6"/>
      <c r="G2153" s="6"/>
      <c r="H2153" s="6"/>
      <c r="I2153" s="6"/>
      <c r="J2153" s="6"/>
      <c r="K2153" s="6"/>
      <c r="L2153" s="6"/>
      <c r="M2153" s="6"/>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c r="BU2153" s="6"/>
      <c r="BV2153" s="6"/>
      <c r="BW2153" s="6"/>
      <c r="BX2153" s="6"/>
      <c r="BY2153" s="6"/>
      <c r="BZ2153" s="6"/>
      <c r="CA2153" s="6"/>
      <c r="CB2153" s="6"/>
      <c r="CC2153" s="6"/>
      <c r="CD2153" s="6"/>
      <c r="CE2153" s="6"/>
      <c r="CF2153" s="6"/>
      <c r="CG2153" s="6"/>
      <c r="CH2153" s="6"/>
      <c r="CI2153" s="6"/>
      <c r="CJ2153" s="6"/>
      <c r="CK2153" s="6"/>
      <c r="CL2153" s="6"/>
      <c r="CM2153" s="6"/>
      <c r="CN2153" s="6"/>
      <c r="CO2153" s="6"/>
      <c r="CP2153" s="6"/>
      <c r="CQ2153" s="6"/>
      <c r="CR2153" s="6"/>
      <c r="CS2153" s="6"/>
      <c r="CT2153" s="6"/>
      <c r="CU2153" s="6"/>
      <c r="CV2153" s="6"/>
      <c r="CW2153" s="6"/>
      <c r="CX2153" s="6"/>
      <c r="CY2153" s="6"/>
      <c r="CZ2153" s="6"/>
      <c r="DA2153" s="6"/>
      <c r="DB2153" s="6"/>
      <c r="DC2153" s="6"/>
      <c r="DD2153" s="6"/>
    </row>
    <row r="2154" spans="1:108" ht="12.75" hidden="1" customHeight="1" outlineLevel="6">
      <c r="A2154" s="104" t="s">
        <v>110</v>
      </c>
      <c r="B2154" s="28">
        <f t="shared" si="116"/>
        <v>0</v>
      </c>
      <c r="C2154" s="11"/>
      <c r="D2154" s="18" t="str">
        <f>"&lt;" &amp; A2154 &amp; "&gt;" &amp; TEXT(B2154,0) &amp; "&lt;/" &amp; A2154 &amp; "&gt;"</f>
        <v>&lt;Slat_Flag&gt;0&lt;/Slat_Flag&gt;</v>
      </c>
      <c r="F2154" s="6"/>
      <c r="G2154" s="6"/>
      <c r="H2154" s="6"/>
      <c r="I2154" s="6"/>
      <c r="J2154" s="6"/>
      <c r="K2154" s="6"/>
      <c r="L2154" s="6"/>
      <c r="M2154" s="6"/>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c r="BU2154" s="6"/>
      <c r="BV2154" s="6"/>
      <c r="BW2154" s="6"/>
      <c r="BX2154" s="6"/>
      <c r="BY2154" s="6"/>
      <c r="BZ2154" s="6"/>
      <c r="CA2154" s="6"/>
      <c r="CB2154" s="6"/>
      <c r="CC2154" s="6"/>
      <c r="CD2154" s="6"/>
      <c r="CE2154" s="6"/>
      <c r="CF2154" s="6"/>
      <c r="CG2154" s="6"/>
      <c r="CH2154" s="6"/>
      <c r="CI2154" s="6"/>
      <c r="CJ2154" s="6"/>
      <c r="CK2154" s="6"/>
      <c r="CL2154" s="6"/>
      <c r="CM2154" s="6"/>
      <c r="CN2154" s="6"/>
      <c r="CO2154" s="6"/>
      <c r="CP2154" s="6"/>
      <c r="CQ2154" s="6"/>
      <c r="CR2154" s="6"/>
      <c r="CS2154" s="6"/>
      <c r="CT2154" s="6"/>
      <c r="CU2154" s="6"/>
      <c r="CV2154" s="6"/>
      <c r="CW2154" s="6"/>
      <c r="CX2154" s="6"/>
      <c r="CY2154" s="6"/>
      <c r="CZ2154" s="6"/>
      <c r="DA2154" s="6"/>
      <c r="DB2154" s="6"/>
      <c r="DC2154" s="6"/>
      <c r="DD2154" s="6"/>
    </row>
    <row r="2155" spans="1:108" ht="12.75" hidden="1" customHeight="1" outlineLevel="6">
      <c r="A2155" s="104" t="s">
        <v>111</v>
      </c>
      <c r="B2155" s="28">
        <f t="shared" si="116"/>
        <v>0</v>
      </c>
      <c r="C2155" s="11"/>
      <c r="D2155" s="18" t="str">
        <f>"&lt;" &amp; A2155 &amp; "&gt;" &amp; TEXT(B2155,0) &amp; "&lt;/" &amp; A2155 &amp; "&gt;"</f>
        <v>&lt;Slat_Shear_Flag&gt;0&lt;/Slat_Shear_Flag&gt;</v>
      </c>
      <c r="F2155" s="6"/>
      <c r="G2155" s="6"/>
      <c r="H2155" s="6"/>
      <c r="I2155" s="6"/>
      <c r="J2155" s="6"/>
      <c r="K2155" s="6"/>
      <c r="L2155" s="6"/>
      <c r="M2155" s="6"/>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c r="BU2155" s="6"/>
      <c r="BV2155" s="6"/>
      <c r="BW2155" s="6"/>
      <c r="BX2155" s="6"/>
      <c r="BY2155" s="6"/>
      <c r="BZ2155" s="6"/>
      <c r="CA2155" s="6"/>
      <c r="CB2155" s="6"/>
      <c r="CC2155" s="6"/>
      <c r="CD2155" s="6"/>
      <c r="CE2155" s="6"/>
      <c r="CF2155" s="6"/>
      <c r="CG2155" s="6"/>
      <c r="CH2155" s="6"/>
      <c r="CI2155" s="6"/>
      <c r="CJ2155" s="6"/>
      <c r="CK2155" s="6"/>
      <c r="CL2155" s="6"/>
      <c r="CM2155" s="6"/>
      <c r="CN2155" s="6"/>
      <c r="CO2155" s="6"/>
      <c r="CP2155" s="6"/>
      <c r="CQ2155" s="6"/>
      <c r="CR2155" s="6"/>
      <c r="CS2155" s="6"/>
      <c r="CT2155" s="6"/>
      <c r="CU2155" s="6"/>
      <c r="CV2155" s="6"/>
      <c r="CW2155" s="6"/>
      <c r="CX2155" s="6"/>
      <c r="CY2155" s="6"/>
      <c r="CZ2155" s="6"/>
      <c r="DA2155" s="6"/>
      <c r="DB2155" s="6"/>
      <c r="DC2155" s="6"/>
      <c r="DD2155" s="6"/>
    </row>
    <row r="2156" spans="1:108" ht="12.75" hidden="1" customHeight="1" outlineLevel="6">
      <c r="A2156" s="104" t="s">
        <v>112</v>
      </c>
      <c r="B2156" s="28">
        <f t="shared" si="116"/>
        <v>0.25</v>
      </c>
      <c r="C2156" s="11"/>
      <c r="D2156" s="18" t="str">
        <f>"&lt;" &amp; A2156 &amp; "&gt;" &amp; TEXT(B2156,"0.000000") &amp; "&lt;/" &amp; A2156 &amp; "&gt;"</f>
        <v>&lt;Slat_Chord&gt;0.250000&lt;/Slat_Chord&gt;</v>
      </c>
      <c r="F2156" s="6"/>
      <c r="G2156" s="6"/>
      <c r="H2156" s="6"/>
      <c r="I2156" s="6"/>
      <c r="J2156" s="6"/>
      <c r="K2156" s="6"/>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c r="BU2156" s="6"/>
      <c r="BV2156" s="6"/>
      <c r="BW2156" s="6"/>
      <c r="BX2156" s="6"/>
      <c r="BY2156" s="6"/>
      <c r="BZ2156" s="6"/>
      <c r="CA2156" s="6"/>
      <c r="CB2156" s="6"/>
      <c r="CC2156" s="6"/>
      <c r="CD2156" s="6"/>
      <c r="CE2156" s="6"/>
      <c r="CF2156" s="6"/>
      <c r="CG2156" s="6"/>
      <c r="CH2156" s="6"/>
      <c r="CI2156" s="6"/>
      <c r="CJ2156" s="6"/>
      <c r="CK2156" s="6"/>
      <c r="CL2156" s="6"/>
      <c r="CM2156" s="6"/>
      <c r="CN2156" s="6"/>
      <c r="CO2156" s="6"/>
      <c r="CP2156" s="6"/>
      <c r="CQ2156" s="6"/>
      <c r="CR2156" s="6"/>
      <c r="CS2156" s="6"/>
      <c r="CT2156" s="6"/>
      <c r="CU2156" s="6"/>
      <c r="CV2156" s="6"/>
      <c r="CW2156" s="6"/>
      <c r="CX2156" s="6"/>
      <c r="CY2156" s="6"/>
      <c r="CZ2156" s="6"/>
      <c r="DA2156" s="6"/>
      <c r="DB2156" s="6"/>
      <c r="DC2156" s="6"/>
      <c r="DD2156" s="6"/>
    </row>
    <row r="2157" spans="1:108" ht="12.75" hidden="1" customHeight="1" outlineLevel="6">
      <c r="A2157" s="104" t="s">
        <v>113</v>
      </c>
      <c r="B2157" s="28">
        <f t="shared" si="116"/>
        <v>10</v>
      </c>
      <c r="C2157" s="11"/>
      <c r="D2157" s="18" t="str">
        <f>"&lt;" &amp; A2157 &amp; "&gt;" &amp; TEXT(B2157,"0.000000") &amp; "&lt;/" &amp; A2157 &amp; "&gt;"</f>
        <v>&lt;Slat_Angle&gt;10.000000&lt;/Slat_Angle&gt;</v>
      </c>
      <c r="F2157" s="6"/>
      <c r="G2157" s="6"/>
      <c r="H2157" s="6"/>
      <c r="I2157" s="6"/>
      <c r="J2157" s="6"/>
      <c r="K2157" s="6"/>
      <c r="L2157" s="6"/>
      <c r="M2157" s="6"/>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c r="BU2157" s="6"/>
      <c r="BV2157" s="6"/>
      <c r="BW2157" s="6"/>
      <c r="BX2157" s="6"/>
      <c r="BY2157" s="6"/>
      <c r="BZ2157" s="6"/>
      <c r="CA2157" s="6"/>
      <c r="CB2157" s="6"/>
      <c r="CC2157" s="6"/>
      <c r="CD2157" s="6"/>
      <c r="CE2157" s="6"/>
      <c r="CF2157" s="6"/>
      <c r="CG2157" s="6"/>
      <c r="CH2157" s="6"/>
      <c r="CI2157" s="6"/>
      <c r="CJ2157" s="6"/>
      <c r="CK2157" s="6"/>
      <c r="CL2157" s="6"/>
      <c r="CM2157" s="6"/>
      <c r="CN2157" s="6"/>
      <c r="CO2157" s="6"/>
      <c r="CP2157" s="6"/>
      <c r="CQ2157" s="6"/>
      <c r="CR2157" s="6"/>
      <c r="CS2157" s="6"/>
      <c r="CT2157" s="6"/>
      <c r="CU2157" s="6"/>
      <c r="CV2157" s="6"/>
      <c r="CW2157" s="6"/>
      <c r="CX2157" s="6"/>
      <c r="CY2157" s="6"/>
      <c r="CZ2157" s="6"/>
      <c r="DA2157" s="6"/>
      <c r="DB2157" s="6"/>
      <c r="DC2157" s="6"/>
      <c r="DD2157" s="6"/>
    </row>
    <row r="2158" spans="1:108" ht="12.75" hidden="1" customHeight="1" outlineLevel="6">
      <c r="A2158" s="104" t="s">
        <v>114</v>
      </c>
      <c r="B2158" s="28">
        <f t="shared" si="116"/>
        <v>0</v>
      </c>
      <c r="C2158" s="11"/>
      <c r="D2158" s="18" t="str">
        <f>"&lt;" &amp; A2158 &amp; "&gt;" &amp; TEXT(B2158,0) &amp; "&lt;/" &amp; A2158 &amp; "&gt;"</f>
        <v>&lt;Flap_Flag&gt;0&lt;/Flap_Flag&gt;</v>
      </c>
      <c r="F2158" s="6"/>
      <c r="G2158" s="6"/>
      <c r="H2158" s="6"/>
      <c r="I2158" s="6"/>
      <c r="J2158" s="6"/>
      <c r="K2158" s="6"/>
      <c r="L2158" s="6"/>
      <c r="M2158" s="6"/>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c r="BU2158" s="6"/>
      <c r="BV2158" s="6"/>
      <c r="BW2158" s="6"/>
      <c r="BX2158" s="6"/>
      <c r="BY2158" s="6"/>
      <c r="BZ2158" s="6"/>
      <c r="CA2158" s="6"/>
      <c r="CB2158" s="6"/>
      <c r="CC2158" s="6"/>
      <c r="CD2158" s="6"/>
      <c r="CE2158" s="6"/>
      <c r="CF2158" s="6"/>
      <c r="CG2158" s="6"/>
      <c r="CH2158" s="6"/>
      <c r="CI2158" s="6"/>
      <c r="CJ2158" s="6"/>
      <c r="CK2158" s="6"/>
      <c r="CL2158" s="6"/>
      <c r="CM2158" s="6"/>
      <c r="CN2158" s="6"/>
      <c r="CO2158" s="6"/>
      <c r="CP2158" s="6"/>
      <c r="CQ2158" s="6"/>
      <c r="CR2158" s="6"/>
      <c r="CS2158" s="6"/>
      <c r="CT2158" s="6"/>
      <c r="CU2158" s="6"/>
      <c r="CV2158" s="6"/>
      <c r="CW2158" s="6"/>
      <c r="CX2158" s="6"/>
      <c r="CY2158" s="6"/>
      <c r="CZ2158" s="6"/>
      <c r="DA2158" s="6"/>
      <c r="DB2158" s="6"/>
      <c r="DC2158" s="6"/>
      <c r="DD2158" s="6"/>
    </row>
    <row r="2159" spans="1:108" ht="12.75" hidden="1" customHeight="1" outlineLevel="6">
      <c r="A2159" s="104" t="s">
        <v>115</v>
      </c>
      <c r="B2159" s="28">
        <f t="shared" si="116"/>
        <v>0</v>
      </c>
      <c r="C2159" s="11"/>
      <c r="D2159" s="18" t="str">
        <f>"&lt;" &amp; A2159 &amp; "&gt;" &amp; TEXT(B2159,0) &amp; "&lt;/" &amp; A2159 &amp; "&gt;"</f>
        <v>&lt;Flap_Shear_Flag&gt;0&lt;/Flap_Shear_Flag&gt;</v>
      </c>
      <c r="F2159" s="6"/>
      <c r="G2159" s="6"/>
      <c r="H2159" s="6"/>
      <c r="I2159" s="6"/>
      <c r="J2159" s="6"/>
      <c r="K2159" s="6"/>
      <c r="L2159" s="6"/>
      <c r="M2159" s="6"/>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c r="BU2159" s="6"/>
      <c r="BV2159" s="6"/>
      <c r="BW2159" s="6"/>
      <c r="BX2159" s="6"/>
      <c r="BY2159" s="6"/>
      <c r="BZ2159" s="6"/>
      <c r="CA2159" s="6"/>
      <c r="CB2159" s="6"/>
      <c r="CC2159" s="6"/>
      <c r="CD2159" s="6"/>
      <c r="CE2159" s="6"/>
      <c r="CF2159" s="6"/>
      <c r="CG2159" s="6"/>
      <c r="CH2159" s="6"/>
      <c r="CI2159" s="6"/>
      <c r="CJ2159" s="6"/>
      <c r="CK2159" s="6"/>
      <c r="CL2159" s="6"/>
      <c r="CM2159" s="6"/>
      <c r="CN2159" s="6"/>
      <c r="CO2159" s="6"/>
      <c r="CP2159" s="6"/>
      <c r="CQ2159" s="6"/>
      <c r="CR2159" s="6"/>
      <c r="CS2159" s="6"/>
      <c r="CT2159" s="6"/>
      <c r="CU2159" s="6"/>
      <c r="CV2159" s="6"/>
      <c r="CW2159" s="6"/>
      <c r="CX2159" s="6"/>
      <c r="CY2159" s="6"/>
      <c r="CZ2159" s="6"/>
      <c r="DA2159" s="6"/>
      <c r="DB2159" s="6"/>
      <c r="DC2159" s="6"/>
      <c r="DD2159" s="6"/>
    </row>
    <row r="2160" spans="1:108" ht="12.75" hidden="1" customHeight="1" outlineLevel="6">
      <c r="A2160" s="104" t="s">
        <v>116</v>
      </c>
      <c r="B2160" s="28">
        <f t="shared" si="116"/>
        <v>0.25</v>
      </c>
      <c r="C2160" s="11"/>
      <c r="D2160" s="18" t="str">
        <f>"&lt;" &amp; A2160 &amp; "&gt;" &amp; TEXT(B2160,"0.000000") &amp; "&lt;/" &amp; A2160 &amp; "&gt;"</f>
        <v>&lt;Flap_Chord&gt;0.250000&lt;/Flap_Chord&gt;</v>
      </c>
      <c r="F2160" s="6"/>
      <c r="G2160" s="6"/>
      <c r="H2160" s="6"/>
      <c r="I2160" s="6"/>
      <c r="J2160" s="6"/>
      <c r="K2160" s="6"/>
      <c r="L2160" s="6"/>
      <c r="M2160" s="6"/>
      <c r="N2160" s="6"/>
      <c r="O2160" s="6"/>
      <c r="P2160" s="6"/>
      <c r="Q2160" s="6"/>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c r="BU2160" s="6"/>
      <c r="BV2160" s="6"/>
      <c r="BW2160" s="6"/>
      <c r="BX2160" s="6"/>
      <c r="BY2160" s="6"/>
      <c r="BZ2160" s="6"/>
      <c r="CA2160" s="6"/>
      <c r="CB2160" s="6"/>
      <c r="CC2160" s="6"/>
      <c r="CD2160" s="6"/>
      <c r="CE2160" s="6"/>
      <c r="CF2160" s="6"/>
      <c r="CG2160" s="6"/>
      <c r="CH2160" s="6"/>
      <c r="CI2160" s="6"/>
      <c r="CJ2160" s="6"/>
      <c r="CK2160" s="6"/>
      <c r="CL2160" s="6"/>
      <c r="CM2160" s="6"/>
      <c r="CN2160" s="6"/>
      <c r="CO2160" s="6"/>
      <c r="CP2160" s="6"/>
      <c r="CQ2160" s="6"/>
      <c r="CR2160" s="6"/>
      <c r="CS2160" s="6"/>
      <c r="CT2160" s="6"/>
      <c r="CU2160" s="6"/>
      <c r="CV2160" s="6"/>
      <c r="CW2160" s="6"/>
      <c r="CX2160" s="6"/>
      <c r="CY2160" s="6"/>
      <c r="CZ2160" s="6"/>
      <c r="DA2160" s="6"/>
      <c r="DB2160" s="6"/>
      <c r="DC2160" s="6"/>
      <c r="DD2160" s="6"/>
    </row>
    <row r="2161" spans="1:108" ht="12.75" hidden="1" customHeight="1" outlineLevel="6">
      <c r="A2161" s="104" t="s">
        <v>117</v>
      </c>
      <c r="B2161" s="28">
        <f t="shared" si="116"/>
        <v>10</v>
      </c>
      <c r="C2161" s="11"/>
      <c r="D2161" s="18" t="str">
        <f>"&lt;" &amp; A2161 &amp; "&gt;" &amp; TEXT(B2161,"0.000000") &amp; "&lt;/" &amp; A2161 &amp; "&gt;"</f>
        <v>&lt;Flap_Angle&gt;10.000000&lt;/Flap_Angle&gt;</v>
      </c>
      <c r="F2161" s="6"/>
      <c r="G2161" s="6"/>
      <c r="H2161" s="6"/>
      <c r="I2161" s="6"/>
      <c r="J2161" s="6"/>
      <c r="K2161" s="6"/>
      <c r="L2161" s="6"/>
      <c r="M2161" s="6"/>
      <c r="N2161" s="6"/>
      <c r="O2161" s="6"/>
      <c r="P2161" s="6"/>
      <c r="Q2161" s="6"/>
      <c r="R2161" s="6"/>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c r="BU2161" s="6"/>
      <c r="BV2161" s="6"/>
      <c r="BW2161" s="6"/>
      <c r="BX2161" s="6"/>
      <c r="BY2161" s="6"/>
      <c r="BZ2161" s="6"/>
      <c r="CA2161" s="6"/>
      <c r="CB2161" s="6"/>
      <c r="CC2161" s="6"/>
      <c r="CD2161" s="6"/>
      <c r="CE2161" s="6"/>
      <c r="CF2161" s="6"/>
      <c r="CG2161" s="6"/>
      <c r="CH2161" s="6"/>
      <c r="CI2161" s="6"/>
      <c r="CJ2161" s="6"/>
      <c r="CK2161" s="6"/>
      <c r="CL2161" s="6"/>
      <c r="CM2161" s="6"/>
      <c r="CN2161" s="6"/>
      <c r="CO2161" s="6"/>
      <c r="CP2161" s="6"/>
      <c r="CQ2161" s="6"/>
      <c r="CR2161" s="6"/>
      <c r="CS2161" s="6"/>
      <c r="CT2161" s="6"/>
      <c r="CU2161" s="6"/>
      <c r="CV2161" s="6"/>
      <c r="CW2161" s="6"/>
      <c r="CX2161" s="6"/>
      <c r="CY2161" s="6"/>
      <c r="CZ2161" s="6"/>
      <c r="DA2161" s="6"/>
      <c r="DB2161" s="6"/>
      <c r="DC2161" s="6"/>
      <c r="DD2161" s="6"/>
    </row>
    <row r="2162" spans="1:108" ht="12.75" hidden="1" customHeight="1" outlineLevel="6">
      <c r="A2162" s="104" t="s">
        <v>118</v>
      </c>
      <c r="B2162" s="100"/>
      <c r="C2162" s="11"/>
      <c r="D2162" s="6" t="str">
        <f>"&lt;" &amp; A2162 &amp; "&gt;"</f>
        <v>&lt;/Airfoil&gt;</v>
      </c>
      <c r="F2162" s="6"/>
      <c r="G2162" s="6"/>
      <c r="H2162" s="6"/>
      <c r="I2162" s="6"/>
      <c r="J2162" s="6"/>
      <c r="K2162" s="6"/>
      <c r="L2162" s="6"/>
      <c r="M2162" s="6"/>
      <c r="N2162" s="6"/>
      <c r="O2162" s="6"/>
      <c r="P2162" s="6"/>
      <c r="Q2162" s="6"/>
      <c r="R2162" s="6"/>
      <c r="S2162" s="6"/>
      <c r="T2162" s="6"/>
      <c r="U2162" s="6"/>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c r="BU2162" s="6"/>
      <c r="BV2162" s="6"/>
      <c r="BW2162" s="6"/>
      <c r="BX2162" s="6"/>
      <c r="BY2162" s="6"/>
      <c r="BZ2162" s="6"/>
      <c r="CA2162" s="6"/>
      <c r="CB2162" s="6"/>
      <c r="CC2162" s="6"/>
      <c r="CD2162" s="6"/>
      <c r="CE2162" s="6"/>
      <c r="CF2162" s="6"/>
      <c r="CG2162" s="6"/>
      <c r="CH2162" s="6"/>
      <c r="CI2162" s="6"/>
      <c r="CJ2162" s="6"/>
      <c r="CK2162" s="6"/>
      <c r="CL2162" s="6"/>
      <c r="CM2162" s="6"/>
      <c r="CN2162" s="6"/>
      <c r="CO2162" s="6"/>
      <c r="CP2162" s="6"/>
      <c r="CQ2162" s="6"/>
      <c r="CR2162" s="6"/>
      <c r="CS2162" s="6"/>
      <c r="CT2162" s="6"/>
      <c r="CU2162" s="6"/>
      <c r="CV2162" s="6"/>
      <c r="CW2162" s="6"/>
      <c r="CX2162" s="6"/>
      <c r="CY2162" s="6"/>
      <c r="CZ2162" s="6"/>
      <c r="DA2162" s="6"/>
      <c r="DB2162" s="6"/>
      <c r="DC2162" s="6"/>
      <c r="DD2162" s="6"/>
    </row>
    <row r="2163" spans="1:108" ht="12.75" hidden="1" customHeight="1" outlineLevel="5">
      <c r="A2163" s="104" t="s">
        <v>119</v>
      </c>
      <c r="B2163" s="100"/>
      <c r="C2163" s="11"/>
      <c r="D2163" s="6" t="str">
        <f>"&lt;" &amp; A2163 &amp; "&gt;"</f>
        <v>&lt;/Airfoil_List&gt;</v>
      </c>
      <c r="F2163" s="6"/>
      <c r="G2163" s="6"/>
      <c r="H2163" s="6"/>
      <c r="I2163" s="6"/>
      <c r="J2163" s="6"/>
      <c r="K2163" s="6"/>
      <c r="L2163" s="6"/>
      <c r="M2163" s="6"/>
      <c r="N2163" s="6"/>
      <c r="O2163" s="6"/>
      <c r="P2163" s="6"/>
      <c r="Q2163" s="6"/>
      <c r="R2163" s="6"/>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c r="BU2163" s="6"/>
      <c r="BV2163" s="6"/>
      <c r="BW2163" s="6"/>
      <c r="BX2163" s="6"/>
      <c r="BY2163" s="6"/>
      <c r="BZ2163" s="6"/>
      <c r="CA2163" s="6"/>
      <c r="CB2163" s="6"/>
      <c r="CC2163" s="6"/>
      <c r="CD2163" s="6"/>
      <c r="CE2163" s="6"/>
      <c r="CF2163" s="6"/>
      <c r="CG2163" s="6"/>
      <c r="CH2163" s="6"/>
      <c r="CI2163" s="6"/>
      <c r="CJ2163" s="6"/>
      <c r="CK2163" s="6"/>
      <c r="CL2163" s="6"/>
      <c r="CM2163" s="6"/>
      <c r="CN2163" s="6"/>
      <c r="CO2163" s="6"/>
      <c r="CP2163" s="6"/>
      <c r="CQ2163" s="6"/>
      <c r="CR2163" s="6"/>
      <c r="CS2163" s="6"/>
      <c r="CT2163" s="6"/>
      <c r="CU2163" s="6"/>
      <c r="CV2163" s="6"/>
      <c r="CW2163" s="6"/>
      <c r="CX2163" s="6"/>
      <c r="CY2163" s="6"/>
      <c r="CZ2163" s="6"/>
      <c r="DA2163" s="6"/>
      <c r="DB2163" s="6"/>
      <c r="DC2163" s="6"/>
      <c r="DD2163" s="6"/>
    </row>
    <row r="2164" spans="1:108" ht="12.75" hidden="1" customHeight="1" outlineLevel="4">
      <c r="A2164" s="104" t="s">
        <v>120</v>
      </c>
      <c r="B2164" s="100"/>
      <c r="C2164" s="11"/>
      <c r="D2164" s="6" t="str">
        <f>"&lt;" &amp; A2164 &amp; "&gt;"</f>
        <v>&lt;Section_List&gt;</v>
      </c>
      <c r="F2164" s="6"/>
      <c r="G2164" s="6"/>
      <c r="H2164" s="6"/>
      <c r="I2164" s="6"/>
      <c r="J2164" s="6"/>
      <c r="K2164" s="6"/>
      <c r="L2164" s="6"/>
      <c r="M2164" s="6"/>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c r="BU2164" s="6"/>
      <c r="BV2164" s="6"/>
      <c r="BW2164" s="6"/>
      <c r="BX2164" s="6"/>
      <c r="BY2164" s="6"/>
      <c r="BZ2164" s="6"/>
      <c r="CA2164" s="6"/>
      <c r="CB2164" s="6"/>
      <c r="CC2164" s="6"/>
      <c r="CD2164" s="6"/>
      <c r="CE2164" s="6"/>
      <c r="CF2164" s="6"/>
      <c r="CG2164" s="6"/>
      <c r="CH2164" s="6"/>
      <c r="CI2164" s="6"/>
      <c r="CJ2164" s="6"/>
      <c r="CK2164" s="6"/>
      <c r="CL2164" s="6"/>
      <c r="CM2164" s="6"/>
      <c r="CN2164" s="6"/>
      <c r="CO2164" s="6"/>
      <c r="CP2164" s="6"/>
      <c r="CQ2164" s="6"/>
      <c r="CR2164" s="6"/>
      <c r="CS2164" s="6"/>
      <c r="CT2164" s="6"/>
      <c r="CU2164" s="6"/>
      <c r="CV2164" s="6"/>
      <c r="CW2164" s="6"/>
      <c r="CX2164" s="6"/>
      <c r="CY2164" s="6"/>
      <c r="CZ2164" s="6"/>
      <c r="DA2164" s="6"/>
      <c r="DB2164" s="6"/>
      <c r="DC2164" s="6"/>
      <c r="DD2164" s="6"/>
    </row>
    <row r="2165" spans="1:108" ht="12.75" hidden="1" customHeight="1" outlineLevel="5">
      <c r="A2165" s="104" t="s">
        <v>121</v>
      </c>
      <c r="B2165" s="110" t="s">
        <v>400</v>
      </c>
      <c r="C2165" s="11"/>
      <c r="D2165" s="6" t="str">
        <f>"&lt;" &amp; A2165 &amp; "&gt;"</f>
        <v>&lt;Section&gt;</v>
      </c>
      <c r="F2165" s="6"/>
      <c r="G2165" s="6"/>
      <c r="H2165" s="6"/>
      <c r="I2165" s="6"/>
      <c r="J2165" s="6"/>
      <c r="K2165" s="6"/>
      <c r="L2165" s="6"/>
      <c r="M2165" s="6"/>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c r="BU2165" s="6"/>
      <c r="BV2165" s="6"/>
      <c r="BW2165" s="6"/>
      <c r="BX2165" s="6"/>
      <c r="BY2165" s="6"/>
      <c r="BZ2165" s="6"/>
      <c r="CA2165" s="6"/>
      <c r="CB2165" s="6"/>
      <c r="CC2165" s="6"/>
      <c r="CD2165" s="6"/>
      <c r="CE2165" s="6"/>
      <c r="CF2165" s="6"/>
      <c r="CG2165" s="6"/>
      <c r="CH2165" s="6"/>
      <c r="CI2165" s="6"/>
      <c r="CJ2165" s="6"/>
      <c r="CK2165" s="6"/>
      <c r="CL2165" s="6"/>
      <c r="CM2165" s="6"/>
      <c r="CN2165" s="6"/>
      <c r="CO2165" s="6"/>
      <c r="CP2165" s="6"/>
      <c r="CQ2165" s="6"/>
      <c r="CR2165" s="6"/>
      <c r="CS2165" s="6"/>
      <c r="CT2165" s="6"/>
      <c r="CU2165" s="6"/>
      <c r="CV2165" s="6"/>
      <c r="CW2165" s="6"/>
      <c r="CX2165" s="6"/>
      <c r="CY2165" s="6"/>
      <c r="CZ2165" s="6"/>
      <c r="DA2165" s="6"/>
      <c r="DB2165" s="6"/>
      <c r="DC2165" s="6"/>
      <c r="DD2165" s="6"/>
    </row>
    <row r="2166" spans="1:108" ht="12.75" hidden="1" customHeight="1" outlineLevel="6">
      <c r="A2166" s="104" t="s">
        <v>122</v>
      </c>
      <c r="B2166" s="28">
        <f t="shared" ref="B2166:B2184" si="118">B1633</f>
        <v>4</v>
      </c>
      <c r="C2166" s="11"/>
      <c r="D2166" s="18" t="str">
        <f>"&lt;" &amp; A2166 &amp; "&gt;" &amp; TEXT(B2166,0) &amp; "&lt;/" &amp; A2166 &amp; "&gt;"</f>
        <v>&lt;Driver&gt;4&lt;/Driver&gt;</v>
      </c>
      <c r="F2166" s="6"/>
      <c r="G2166" s="6"/>
      <c r="H2166" s="6"/>
      <c r="I2166" s="6"/>
      <c r="J2166" s="6"/>
      <c r="K2166" s="6"/>
      <c r="L2166" s="6"/>
      <c r="M2166" s="6"/>
      <c r="N2166" s="6"/>
      <c r="O2166" s="6"/>
      <c r="P2166" s="6"/>
      <c r="Q2166" s="6"/>
      <c r="R2166" s="6"/>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c r="BU2166" s="6"/>
      <c r="BV2166" s="6"/>
      <c r="BW2166" s="6"/>
      <c r="BX2166" s="6"/>
      <c r="BY2166" s="6"/>
      <c r="BZ2166" s="6"/>
      <c r="CA2166" s="6"/>
      <c r="CB2166" s="6"/>
      <c r="CC2166" s="6"/>
      <c r="CD2166" s="6"/>
      <c r="CE2166" s="6"/>
      <c r="CF2166" s="6"/>
      <c r="CG2166" s="6"/>
      <c r="CH2166" s="6"/>
      <c r="CI2166" s="6"/>
      <c r="CJ2166" s="6"/>
      <c r="CK2166" s="6"/>
      <c r="CL2166" s="6"/>
      <c r="CM2166" s="6"/>
      <c r="CN2166" s="6"/>
      <c r="CO2166" s="6"/>
      <c r="CP2166" s="6"/>
      <c r="CQ2166" s="6"/>
      <c r="CR2166" s="6"/>
      <c r="CS2166" s="6"/>
      <c r="CT2166" s="6"/>
      <c r="CU2166" s="6"/>
      <c r="CV2166" s="6"/>
      <c r="CW2166" s="6"/>
      <c r="CX2166" s="6"/>
      <c r="CY2166" s="6"/>
      <c r="CZ2166" s="6"/>
      <c r="DA2166" s="6"/>
      <c r="DB2166" s="6"/>
      <c r="DC2166" s="6"/>
      <c r="DD2166" s="6"/>
    </row>
    <row r="2167" spans="1:108" ht="12.75" hidden="1" customHeight="1" outlineLevel="6">
      <c r="A2167" s="104" t="s">
        <v>123</v>
      </c>
      <c r="B2167" s="37">
        <f ca="1">(B2170^2)/B2169</f>
        <v>0.39524386284045754</v>
      </c>
      <c r="C2167" s="11"/>
      <c r="D2167" s="18" t="str">
        <f t="shared" ref="D2167:D2181" ca="1" si="119">"&lt;" &amp; A2167 &amp; "&gt;" &amp; TEXT(B2167,"0.000000") &amp; "&lt;/" &amp; A2167 &amp; "&gt;"</f>
        <v>&lt;AR&gt;0.395244&lt;/AR&gt;</v>
      </c>
      <c r="F2167" s="6"/>
      <c r="G2167" s="6"/>
      <c r="H2167" s="6"/>
      <c r="I2167" s="6"/>
      <c r="J2167" s="6"/>
      <c r="K2167" s="6"/>
      <c r="L2167" s="6"/>
      <c r="M2167" s="6"/>
      <c r="N2167" s="6"/>
      <c r="O2167" s="6"/>
      <c r="P2167" s="6"/>
      <c r="Q2167" s="6"/>
      <c r="R2167" s="6"/>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c r="BU2167" s="6"/>
      <c r="BV2167" s="6"/>
      <c r="BW2167" s="6"/>
      <c r="BX2167" s="6"/>
      <c r="BY2167" s="6"/>
      <c r="BZ2167" s="6"/>
      <c r="CA2167" s="6"/>
      <c r="CB2167" s="6"/>
      <c r="CC2167" s="6"/>
      <c r="CD2167" s="6"/>
      <c r="CE2167" s="6"/>
      <c r="CF2167" s="6"/>
      <c r="CG2167" s="6"/>
      <c r="CH2167" s="6"/>
      <c r="CI2167" s="6"/>
      <c r="CJ2167" s="6"/>
      <c r="CK2167" s="6"/>
      <c r="CL2167" s="6"/>
      <c r="CM2167" s="6"/>
      <c r="CN2167" s="6"/>
      <c r="CO2167" s="6"/>
      <c r="CP2167" s="6"/>
      <c r="CQ2167" s="6"/>
      <c r="CR2167" s="6"/>
      <c r="CS2167" s="6"/>
      <c r="CT2167" s="6"/>
      <c r="CU2167" s="6"/>
      <c r="CV2167" s="6"/>
      <c r="CW2167" s="6"/>
      <c r="CX2167" s="6"/>
      <c r="CY2167" s="6"/>
      <c r="CZ2167" s="6"/>
      <c r="DA2167" s="6"/>
      <c r="DB2167" s="6"/>
      <c r="DC2167" s="6"/>
      <c r="DD2167" s="6"/>
    </row>
    <row r="2168" spans="1:108" ht="12.75" hidden="1" customHeight="1" outlineLevel="6">
      <c r="A2168" s="104" t="s">
        <v>124</v>
      </c>
      <c r="B2168" s="37">
        <f ca="1">B2171/B2172</f>
        <v>1</v>
      </c>
      <c r="C2168" s="11"/>
      <c r="D2168" s="18" t="str">
        <f t="shared" ca="1" si="119"/>
        <v>&lt;TR&gt;1.000000&lt;/TR&gt;</v>
      </c>
      <c r="F2168" s="6"/>
      <c r="G2168" s="6"/>
      <c r="H2168" s="6"/>
      <c r="I2168" s="6"/>
      <c r="J2168" s="6"/>
      <c r="K2168" s="6"/>
      <c r="L2168" s="6"/>
      <c r="M2168" s="6"/>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c r="BU2168" s="6"/>
      <c r="BV2168" s="6"/>
      <c r="BW2168" s="6"/>
      <c r="BX2168" s="6"/>
      <c r="BY2168" s="6"/>
      <c r="BZ2168" s="6"/>
      <c r="CA2168" s="6"/>
      <c r="CB2168" s="6"/>
      <c r="CC2168" s="6"/>
      <c r="CD2168" s="6"/>
      <c r="CE2168" s="6"/>
      <c r="CF2168" s="6"/>
      <c r="CG2168" s="6"/>
      <c r="CH2168" s="6"/>
      <c r="CI2168" s="6"/>
      <c r="CJ2168" s="6"/>
      <c r="CK2168" s="6"/>
      <c r="CL2168" s="6"/>
      <c r="CM2168" s="6"/>
      <c r="CN2168" s="6"/>
      <c r="CO2168" s="6"/>
      <c r="CP2168" s="6"/>
      <c r="CQ2168" s="6"/>
      <c r="CR2168" s="6"/>
      <c r="CS2168" s="6"/>
      <c r="CT2168" s="6"/>
      <c r="CU2168" s="6"/>
      <c r="CV2168" s="6"/>
      <c r="CW2168" s="6"/>
      <c r="CX2168" s="6"/>
      <c r="CY2168" s="6"/>
      <c r="CZ2168" s="6"/>
      <c r="DA2168" s="6"/>
      <c r="DB2168" s="6"/>
      <c r="DC2168" s="6"/>
      <c r="DD2168" s="6"/>
    </row>
    <row r="2169" spans="1:108" ht="12.75" hidden="1" customHeight="1" outlineLevel="6">
      <c r="A2169" s="104" t="s">
        <v>6</v>
      </c>
      <c r="B2169" s="37">
        <f ca="1">0.5*(B2171+B2172)*B2170</f>
        <v>2.0493676844944742</v>
      </c>
      <c r="C2169" s="11"/>
      <c r="D2169" s="18" t="str">
        <f t="shared" ca="1" si="119"/>
        <v>&lt;Area&gt;2.049368&lt;/Area&gt;</v>
      </c>
      <c r="F2169" s="6"/>
      <c r="G2169" s="6"/>
      <c r="H2169" s="6"/>
      <c r="I2169" s="6"/>
      <c r="J2169" s="6"/>
      <c r="K2169" s="6"/>
      <c r="L2169" s="6"/>
      <c r="M2169" s="6"/>
      <c r="N2169" s="6"/>
      <c r="O2169" s="6"/>
      <c r="P2169" s="6"/>
      <c r="Q2169" s="6"/>
      <c r="R2169" s="6"/>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c r="BU2169" s="6"/>
      <c r="BV2169" s="6"/>
      <c r="BW2169" s="6"/>
      <c r="BX2169" s="6"/>
      <c r="BY2169" s="6"/>
      <c r="BZ2169" s="6"/>
      <c r="CA2169" s="6"/>
      <c r="CB2169" s="6"/>
      <c r="CC2169" s="6"/>
      <c r="CD2169" s="6"/>
      <c r="CE2169" s="6"/>
      <c r="CF2169" s="6"/>
      <c r="CG2169" s="6"/>
      <c r="CH2169" s="6"/>
      <c r="CI2169" s="6"/>
      <c r="CJ2169" s="6"/>
      <c r="CK2169" s="6"/>
      <c r="CL2169" s="6"/>
      <c r="CM2169" s="6"/>
      <c r="CN2169" s="6"/>
      <c r="CO2169" s="6"/>
      <c r="CP2169" s="6"/>
      <c r="CQ2169" s="6"/>
      <c r="CR2169" s="6"/>
      <c r="CS2169" s="6"/>
      <c r="CT2169" s="6"/>
      <c r="CU2169" s="6"/>
      <c r="CV2169" s="6"/>
      <c r="CW2169" s="6"/>
      <c r="CX2169" s="6"/>
      <c r="CY2169" s="6"/>
      <c r="CZ2169" s="6"/>
      <c r="DA2169" s="6"/>
      <c r="DB2169" s="6"/>
      <c r="DC2169" s="6"/>
      <c r="DD2169" s="6"/>
    </row>
    <row r="2170" spans="1:108" ht="12.75" hidden="1" customHeight="1" outlineLevel="6">
      <c r="A2170" s="104" t="s">
        <v>7</v>
      </c>
      <c r="B2170" s="28">
        <f t="shared" si="118"/>
        <v>0.9</v>
      </c>
      <c r="C2170" s="11"/>
      <c r="D2170" s="18" t="str">
        <f t="shared" si="119"/>
        <v>&lt;Span&gt;0.900000&lt;/Span&gt;</v>
      </c>
      <c r="F2170" s="6"/>
      <c r="G2170" s="6"/>
      <c r="H2170" s="6"/>
      <c r="I2170" s="6"/>
      <c r="J2170" s="6"/>
      <c r="K2170" s="6"/>
      <c r="L2170" s="6"/>
      <c r="M2170" s="6"/>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c r="BU2170" s="6"/>
      <c r="BV2170" s="6"/>
      <c r="BW2170" s="6"/>
      <c r="BX2170" s="6"/>
      <c r="BY2170" s="6"/>
      <c r="BZ2170" s="6"/>
      <c r="CA2170" s="6"/>
      <c r="CB2170" s="6"/>
      <c r="CC2170" s="6"/>
      <c r="CD2170" s="6"/>
      <c r="CE2170" s="6"/>
      <c r="CF2170" s="6"/>
      <c r="CG2170" s="6"/>
      <c r="CH2170" s="6"/>
      <c r="CI2170" s="6"/>
      <c r="CJ2170" s="6"/>
      <c r="CK2170" s="6"/>
      <c r="CL2170" s="6"/>
      <c r="CM2170" s="6"/>
      <c r="CN2170" s="6"/>
      <c r="CO2170" s="6"/>
      <c r="CP2170" s="6"/>
      <c r="CQ2170" s="6"/>
      <c r="CR2170" s="6"/>
      <c r="CS2170" s="6"/>
      <c r="CT2170" s="6"/>
      <c r="CU2170" s="6"/>
      <c r="CV2170" s="6"/>
      <c r="CW2170" s="6"/>
      <c r="CX2170" s="6"/>
      <c r="CY2170" s="6"/>
      <c r="CZ2170" s="6"/>
      <c r="DA2170" s="6"/>
      <c r="DB2170" s="6"/>
      <c r="DC2170" s="6"/>
      <c r="DD2170" s="6"/>
    </row>
    <row r="2171" spans="1:108" ht="12.75" hidden="1" customHeight="1" outlineLevel="6">
      <c r="A2171" s="104" t="s">
        <v>125</v>
      </c>
      <c r="B2171" s="38">
        <f ca="1">0.8*IF(-B1761 &lt; b_W.i, c_r.W - B1761*(TAN(phi_100.W.i*PI()/180) - TAN(phi_0.W.i*PI()/180)), c_W.k - B1761*(TAN(phi_100.W.o*PI()/180) - TAN(phi_0.W.o*PI()/180)))</f>
        <v>2.2770752049938601</v>
      </c>
      <c r="C2171" s="11"/>
      <c r="D2171" s="18" t="str">
        <f t="shared" ca="1" si="119"/>
        <v>&lt;TC&gt;2.277075&lt;/TC&gt;</v>
      </c>
      <c r="F2171" s="6"/>
      <c r="G2171" s="6"/>
      <c r="H2171" s="6"/>
      <c r="I2171" s="6"/>
      <c r="J2171" s="6"/>
      <c r="K2171" s="6"/>
      <c r="L2171" s="6"/>
      <c r="M2171" s="6"/>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c r="BU2171" s="6"/>
      <c r="BV2171" s="6"/>
      <c r="BW2171" s="6"/>
      <c r="BX2171" s="6"/>
      <c r="BY2171" s="6"/>
      <c r="BZ2171" s="6"/>
      <c r="CA2171" s="6"/>
      <c r="CB2171" s="6"/>
      <c r="CC2171" s="6"/>
      <c r="CD2171" s="6"/>
      <c r="CE2171" s="6"/>
      <c r="CF2171" s="6"/>
      <c r="CG2171" s="6"/>
      <c r="CH2171" s="6"/>
      <c r="CI2171" s="6"/>
      <c r="CJ2171" s="6"/>
      <c r="CK2171" s="6"/>
      <c r="CL2171" s="6"/>
      <c r="CM2171" s="6"/>
      <c r="CN2171" s="6"/>
      <c r="CO2171" s="6"/>
      <c r="CP2171" s="6"/>
      <c r="CQ2171" s="6"/>
      <c r="CR2171" s="6"/>
      <c r="CS2171" s="6"/>
      <c r="CT2171" s="6"/>
      <c r="CU2171" s="6"/>
      <c r="CV2171" s="6"/>
      <c r="CW2171" s="6"/>
      <c r="CX2171" s="6"/>
      <c r="CY2171" s="6"/>
      <c r="CZ2171" s="6"/>
      <c r="DA2171" s="6"/>
      <c r="DB2171" s="6"/>
      <c r="DC2171" s="6"/>
      <c r="DD2171" s="6"/>
    </row>
    <row r="2172" spans="1:108" ht="12.75" hidden="1" customHeight="1" outlineLevel="6">
      <c r="A2172" s="104" t="s">
        <v>126</v>
      </c>
      <c r="B2172" s="38">
        <f ca="1">B2171</f>
        <v>2.2770752049938601</v>
      </c>
      <c r="C2172" s="11"/>
      <c r="D2172" s="18" t="str">
        <f t="shared" ca="1" si="119"/>
        <v>&lt;RC&gt;2.277075&lt;/RC&gt;</v>
      </c>
      <c r="F2172" s="6"/>
      <c r="G2172" s="6"/>
      <c r="H2172" s="6"/>
      <c r="I2172" s="6"/>
      <c r="J2172" s="6"/>
      <c r="K2172" s="6"/>
      <c r="L2172" s="6"/>
      <c r="M2172" s="6"/>
      <c r="N2172" s="6"/>
      <c r="O2172" s="6"/>
      <c r="P2172" s="6"/>
      <c r="Q2172" s="6"/>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c r="BU2172" s="6"/>
      <c r="BV2172" s="6"/>
      <c r="BW2172" s="6"/>
      <c r="BX2172" s="6"/>
      <c r="BY2172" s="6"/>
      <c r="BZ2172" s="6"/>
      <c r="CA2172" s="6"/>
      <c r="CB2172" s="6"/>
      <c r="CC2172" s="6"/>
      <c r="CD2172" s="6"/>
      <c r="CE2172" s="6"/>
      <c r="CF2172" s="6"/>
      <c r="CG2172" s="6"/>
      <c r="CH2172" s="6"/>
      <c r="CI2172" s="6"/>
      <c r="CJ2172" s="6"/>
      <c r="CK2172" s="6"/>
      <c r="CL2172" s="6"/>
      <c r="CM2172" s="6"/>
      <c r="CN2172" s="6"/>
      <c r="CO2172" s="6"/>
      <c r="CP2172" s="6"/>
      <c r="CQ2172" s="6"/>
      <c r="CR2172" s="6"/>
      <c r="CS2172" s="6"/>
      <c r="CT2172" s="6"/>
      <c r="CU2172" s="6"/>
      <c r="CV2172" s="6"/>
      <c r="CW2172" s="6"/>
      <c r="CX2172" s="6"/>
      <c r="CY2172" s="6"/>
      <c r="CZ2172" s="6"/>
      <c r="DA2172" s="6"/>
      <c r="DB2172" s="6"/>
      <c r="DC2172" s="6"/>
      <c r="DD2172" s="6"/>
    </row>
    <row r="2173" spans="1:108" ht="12.75" hidden="1" customHeight="1" outlineLevel="6">
      <c r="A2173" s="104" t="s">
        <v>8</v>
      </c>
      <c r="B2173" s="28">
        <f t="shared" si="118"/>
        <v>50</v>
      </c>
      <c r="C2173" s="11"/>
      <c r="D2173" s="18" t="str">
        <f t="shared" si="119"/>
        <v>&lt;Sweep&gt;50.000000&lt;/Sweep&gt;</v>
      </c>
      <c r="F2173" s="6"/>
      <c r="G2173" s="6"/>
      <c r="H2173" s="6"/>
      <c r="I2173" s="6"/>
      <c r="J2173" s="6"/>
      <c r="K2173" s="6"/>
      <c r="L2173" s="6"/>
      <c r="M2173" s="6"/>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c r="BU2173" s="6"/>
      <c r="BV2173" s="6"/>
      <c r="BW2173" s="6"/>
      <c r="BX2173" s="6"/>
      <c r="BY2173" s="6"/>
      <c r="BZ2173" s="6"/>
      <c r="CA2173" s="6"/>
      <c r="CB2173" s="6"/>
      <c r="CC2173" s="6"/>
      <c r="CD2173" s="6"/>
      <c r="CE2173" s="6"/>
      <c r="CF2173" s="6"/>
      <c r="CG2173" s="6"/>
      <c r="CH2173" s="6"/>
      <c r="CI2173" s="6"/>
      <c r="CJ2173" s="6"/>
      <c r="CK2173" s="6"/>
      <c r="CL2173" s="6"/>
      <c r="CM2173" s="6"/>
      <c r="CN2173" s="6"/>
      <c r="CO2173" s="6"/>
      <c r="CP2173" s="6"/>
      <c r="CQ2173" s="6"/>
      <c r="CR2173" s="6"/>
      <c r="CS2173" s="6"/>
      <c r="CT2173" s="6"/>
      <c r="CU2173" s="6"/>
      <c r="CV2173" s="6"/>
      <c r="CW2173" s="6"/>
      <c r="CX2173" s="6"/>
      <c r="CY2173" s="6"/>
      <c r="CZ2173" s="6"/>
      <c r="DA2173" s="6"/>
      <c r="DB2173" s="6"/>
      <c r="DC2173" s="6"/>
      <c r="DD2173" s="6"/>
    </row>
    <row r="2174" spans="1:108" ht="12.75" hidden="1" customHeight="1" outlineLevel="6">
      <c r="A2174" s="104" t="s">
        <v>127</v>
      </c>
      <c r="B2174" s="28">
        <f t="shared" si="118"/>
        <v>0</v>
      </c>
      <c r="C2174" s="11"/>
      <c r="D2174" s="18" t="str">
        <f t="shared" si="119"/>
        <v>&lt;SweepLoc&gt;0.000000&lt;/SweepLoc&gt;</v>
      </c>
      <c r="F2174" s="6"/>
      <c r="G2174" s="6"/>
      <c r="H2174" s="6"/>
      <c r="I2174" s="6"/>
      <c r="J2174" s="6"/>
      <c r="K2174" s="6"/>
      <c r="L2174" s="6"/>
      <c r="M2174" s="6"/>
      <c r="N2174" s="6"/>
      <c r="O2174" s="6"/>
      <c r="P2174" s="6"/>
      <c r="Q2174" s="6"/>
      <c r="R2174" s="6"/>
      <c r="S2174" s="6"/>
      <c r="T2174" s="6"/>
      <c r="U2174" s="6"/>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c r="BU2174" s="6"/>
      <c r="BV2174" s="6"/>
      <c r="BW2174" s="6"/>
      <c r="BX2174" s="6"/>
      <c r="BY2174" s="6"/>
      <c r="BZ2174" s="6"/>
      <c r="CA2174" s="6"/>
      <c r="CB2174" s="6"/>
      <c r="CC2174" s="6"/>
      <c r="CD2174" s="6"/>
      <c r="CE2174" s="6"/>
      <c r="CF2174" s="6"/>
      <c r="CG2174" s="6"/>
      <c r="CH2174" s="6"/>
      <c r="CI2174" s="6"/>
      <c r="CJ2174" s="6"/>
      <c r="CK2174" s="6"/>
      <c r="CL2174" s="6"/>
      <c r="CM2174" s="6"/>
      <c r="CN2174" s="6"/>
      <c r="CO2174" s="6"/>
      <c r="CP2174" s="6"/>
      <c r="CQ2174" s="6"/>
      <c r="CR2174" s="6"/>
      <c r="CS2174" s="6"/>
      <c r="CT2174" s="6"/>
      <c r="CU2174" s="6"/>
      <c r="CV2174" s="6"/>
      <c r="CW2174" s="6"/>
      <c r="CX2174" s="6"/>
      <c r="CY2174" s="6"/>
      <c r="CZ2174" s="6"/>
      <c r="DA2174" s="6"/>
      <c r="DB2174" s="6"/>
      <c r="DC2174" s="6"/>
      <c r="DD2174" s="6"/>
    </row>
    <row r="2175" spans="1:108" ht="12.75" hidden="1" customHeight="1" outlineLevel="6">
      <c r="A2175" s="104" t="s">
        <v>9</v>
      </c>
      <c r="B2175" s="28">
        <f t="shared" si="118"/>
        <v>0</v>
      </c>
      <c r="C2175" s="11"/>
      <c r="D2175" s="18" t="str">
        <f t="shared" si="119"/>
        <v>&lt;Twist&gt;0.000000&lt;/Twist&gt;</v>
      </c>
      <c r="F2175" s="6"/>
      <c r="G2175" s="6"/>
      <c r="H2175" s="6"/>
      <c r="I2175" s="6"/>
      <c r="J2175" s="6"/>
      <c r="K2175" s="6"/>
      <c r="L2175" s="6"/>
      <c r="M2175" s="6"/>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c r="BU2175" s="6"/>
      <c r="BV2175" s="6"/>
      <c r="BW2175" s="6"/>
      <c r="BX2175" s="6"/>
      <c r="BY2175" s="6"/>
      <c r="BZ2175" s="6"/>
      <c r="CA2175" s="6"/>
      <c r="CB2175" s="6"/>
      <c r="CC2175" s="6"/>
      <c r="CD2175" s="6"/>
      <c r="CE2175" s="6"/>
      <c r="CF2175" s="6"/>
      <c r="CG2175" s="6"/>
      <c r="CH2175" s="6"/>
      <c r="CI2175" s="6"/>
      <c r="CJ2175" s="6"/>
      <c r="CK2175" s="6"/>
      <c r="CL2175" s="6"/>
      <c r="CM2175" s="6"/>
      <c r="CN2175" s="6"/>
      <c r="CO2175" s="6"/>
      <c r="CP2175" s="6"/>
      <c r="CQ2175" s="6"/>
      <c r="CR2175" s="6"/>
      <c r="CS2175" s="6"/>
      <c r="CT2175" s="6"/>
      <c r="CU2175" s="6"/>
      <c r="CV2175" s="6"/>
      <c r="CW2175" s="6"/>
      <c r="CX2175" s="6"/>
      <c r="CY2175" s="6"/>
      <c r="CZ2175" s="6"/>
      <c r="DA2175" s="6"/>
      <c r="DB2175" s="6"/>
      <c r="DC2175" s="6"/>
      <c r="DD2175" s="6"/>
    </row>
    <row r="2176" spans="1:108" ht="12.75" hidden="1" customHeight="1" outlineLevel="6">
      <c r="A2176" s="104" t="s">
        <v>128</v>
      </c>
      <c r="B2176" s="28">
        <f t="shared" si="118"/>
        <v>0</v>
      </c>
      <c r="C2176" s="11"/>
      <c r="D2176" s="18" t="str">
        <f t="shared" si="119"/>
        <v>&lt;TwistLoc&gt;0.000000&lt;/TwistLoc&gt;</v>
      </c>
      <c r="F2176" s="6"/>
      <c r="G2176" s="6"/>
      <c r="H2176" s="6"/>
      <c r="I2176" s="6"/>
      <c r="J2176" s="6"/>
      <c r="K2176" s="6"/>
      <c r="L2176" s="6"/>
      <c r="M2176" s="6"/>
      <c r="N2176" s="6"/>
      <c r="O2176" s="6"/>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c r="BU2176" s="6"/>
      <c r="BV2176" s="6"/>
      <c r="BW2176" s="6"/>
      <c r="BX2176" s="6"/>
      <c r="BY2176" s="6"/>
      <c r="BZ2176" s="6"/>
      <c r="CA2176" s="6"/>
      <c r="CB2176" s="6"/>
      <c r="CC2176" s="6"/>
      <c r="CD2176" s="6"/>
      <c r="CE2176" s="6"/>
      <c r="CF2176" s="6"/>
      <c r="CG2176" s="6"/>
      <c r="CH2176" s="6"/>
      <c r="CI2176" s="6"/>
      <c r="CJ2176" s="6"/>
      <c r="CK2176" s="6"/>
      <c r="CL2176" s="6"/>
      <c r="CM2176" s="6"/>
      <c r="CN2176" s="6"/>
      <c r="CO2176" s="6"/>
      <c r="CP2176" s="6"/>
      <c r="CQ2176" s="6"/>
      <c r="CR2176" s="6"/>
      <c r="CS2176" s="6"/>
      <c r="CT2176" s="6"/>
      <c r="CU2176" s="6"/>
      <c r="CV2176" s="6"/>
      <c r="CW2176" s="6"/>
      <c r="CX2176" s="6"/>
      <c r="CY2176" s="6"/>
      <c r="CZ2176" s="6"/>
      <c r="DA2176" s="6"/>
      <c r="DB2176" s="6"/>
      <c r="DC2176" s="6"/>
      <c r="DD2176" s="6"/>
    </row>
    <row r="2177" spans="1:108" ht="12.75" hidden="1" customHeight="1" outlineLevel="6">
      <c r="A2177" s="104" t="s">
        <v>10</v>
      </c>
      <c r="B2177" s="28">
        <f t="shared" si="118"/>
        <v>0</v>
      </c>
      <c r="C2177" s="11"/>
      <c r="D2177" s="18" t="str">
        <f t="shared" si="119"/>
        <v>&lt;Dihedral&gt;0.000000&lt;/Dihedral&gt;</v>
      </c>
      <c r="F2177" s="6"/>
      <c r="G2177" s="6"/>
      <c r="H2177" s="6"/>
      <c r="I2177" s="6"/>
      <c r="J2177" s="6"/>
      <c r="K2177" s="6"/>
      <c r="L2177" s="6"/>
      <c r="M2177" s="6"/>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c r="BU2177" s="6"/>
      <c r="BV2177" s="6"/>
      <c r="BW2177" s="6"/>
      <c r="BX2177" s="6"/>
      <c r="BY2177" s="6"/>
      <c r="BZ2177" s="6"/>
      <c r="CA2177" s="6"/>
      <c r="CB2177" s="6"/>
      <c r="CC2177" s="6"/>
      <c r="CD2177" s="6"/>
      <c r="CE2177" s="6"/>
      <c r="CF2177" s="6"/>
      <c r="CG2177" s="6"/>
      <c r="CH2177" s="6"/>
      <c r="CI2177" s="6"/>
      <c r="CJ2177" s="6"/>
      <c r="CK2177" s="6"/>
      <c r="CL2177" s="6"/>
      <c r="CM2177" s="6"/>
      <c r="CN2177" s="6"/>
      <c r="CO2177" s="6"/>
      <c r="CP2177" s="6"/>
      <c r="CQ2177" s="6"/>
      <c r="CR2177" s="6"/>
      <c r="CS2177" s="6"/>
      <c r="CT2177" s="6"/>
      <c r="CU2177" s="6"/>
      <c r="CV2177" s="6"/>
      <c r="CW2177" s="6"/>
      <c r="CX2177" s="6"/>
      <c r="CY2177" s="6"/>
      <c r="CZ2177" s="6"/>
      <c r="DA2177" s="6"/>
      <c r="DB2177" s="6"/>
      <c r="DC2177" s="6"/>
      <c r="DD2177" s="6"/>
    </row>
    <row r="2178" spans="1:108" ht="12.75" hidden="1" customHeight="1" outlineLevel="6">
      <c r="A2178" s="104" t="s">
        <v>129</v>
      </c>
      <c r="B2178" s="28">
        <f t="shared" si="118"/>
        <v>0</v>
      </c>
      <c r="C2178" s="11"/>
      <c r="D2178" s="18" t="str">
        <f t="shared" si="119"/>
        <v>&lt;Dihed_Crv1&gt;0.000000&lt;/Dihed_Crv1&gt;</v>
      </c>
      <c r="F2178" s="6"/>
      <c r="G2178" s="6"/>
      <c r="H2178" s="6"/>
      <c r="I2178" s="6"/>
      <c r="J2178" s="6"/>
      <c r="K2178" s="6"/>
      <c r="L2178" s="6"/>
      <c r="M2178" s="6"/>
      <c r="N2178" s="6"/>
      <c r="O2178" s="6"/>
      <c r="P2178" s="6"/>
      <c r="Q2178" s="6"/>
      <c r="R2178" s="6"/>
      <c r="S2178" s="6"/>
      <c r="T2178" s="6"/>
      <c r="U2178" s="6"/>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c r="BU2178" s="6"/>
      <c r="BV2178" s="6"/>
      <c r="BW2178" s="6"/>
      <c r="BX2178" s="6"/>
      <c r="BY2178" s="6"/>
      <c r="BZ2178" s="6"/>
      <c r="CA2178" s="6"/>
      <c r="CB2178" s="6"/>
      <c r="CC2178" s="6"/>
      <c r="CD2178" s="6"/>
      <c r="CE2178" s="6"/>
      <c r="CF2178" s="6"/>
      <c r="CG2178" s="6"/>
      <c r="CH2178" s="6"/>
      <c r="CI2178" s="6"/>
      <c r="CJ2178" s="6"/>
      <c r="CK2178" s="6"/>
      <c r="CL2178" s="6"/>
      <c r="CM2178" s="6"/>
      <c r="CN2178" s="6"/>
      <c r="CO2178" s="6"/>
      <c r="CP2178" s="6"/>
      <c r="CQ2178" s="6"/>
      <c r="CR2178" s="6"/>
      <c r="CS2178" s="6"/>
      <c r="CT2178" s="6"/>
      <c r="CU2178" s="6"/>
      <c r="CV2178" s="6"/>
      <c r="CW2178" s="6"/>
      <c r="CX2178" s="6"/>
      <c r="CY2178" s="6"/>
      <c r="CZ2178" s="6"/>
      <c r="DA2178" s="6"/>
      <c r="DB2178" s="6"/>
      <c r="DC2178" s="6"/>
      <c r="DD2178" s="6"/>
    </row>
    <row r="2179" spans="1:108" ht="12.75" hidden="1" customHeight="1" outlineLevel="6">
      <c r="A2179" s="104" t="s">
        <v>130</v>
      </c>
      <c r="B2179" s="28">
        <f t="shared" si="118"/>
        <v>0</v>
      </c>
      <c r="C2179" s="11"/>
      <c r="D2179" s="18" t="str">
        <f t="shared" si="119"/>
        <v>&lt;Dihed_Crv2&gt;0.000000&lt;/Dihed_Crv2&gt;</v>
      </c>
      <c r="F2179" s="6"/>
      <c r="G2179" s="6"/>
      <c r="H2179" s="6"/>
      <c r="I2179" s="6"/>
      <c r="J2179" s="6"/>
      <c r="K2179" s="6"/>
      <c r="L2179" s="6"/>
      <c r="M2179" s="6"/>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c r="BU2179" s="6"/>
      <c r="BV2179" s="6"/>
      <c r="BW2179" s="6"/>
      <c r="BX2179" s="6"/>
      <c r="BY2179" s="6"/>
      <c r="BZ2179" s="6"/>
      <c r="CA2179" s="6"/>
      <c r="CB2179" s="6"/>
      <c r="CC2179" s="6"/>
      <c r="CD2179" s="6"/>
      <c r="CE2179" s="6"/>
      <c r="CF2179" s="6"/>
      <c r="CG2179" s="6"/>
      <c r="CH2179" s="6"/>
      <c r="CI2179" s="6"/>
      <c r="CJ2179" s="6"/>
      <c r="CK2179" s="6"/>
      <c r="CL2179" s="6"/>
      <c r="CM2179" s="6"/>
      <c r="CN2179" s="6"/>
      <c r="CO2179" s="6"/>
      <c r="CP2179" s="6"/>
      <c r="CQ2179" s="6"/>
      <c r="CR2179" s="6"/>
      <c r="CS2179" s="6"/>
      <c r="CT2179" s="6"/>
      <c r="CU2179" s="6"/>
      <c r="CV2179" s="6"/>
      <c r="CW2179" s="6"/>
      <c r="CX2179" s="6"/>
      <c r="CY2179" s="6"/>
      <c r="CZ2179" s="6"/>
      <c r="DA2179" s="6"/>
      <c r="DB2179" s="6"/>
      <c r="DC2179" s="6"/>
      <c r="DD2179" s="6"/>
    </row>
    <row r="2180" spans="1:108" ht="12.75" hidden="1" customHeight="1" outlineLevel="6">
      <c r="A2180" s="104" t="s">
        <v>131</v>
      </c>
      <c r="B2180" s="28">
        <f t="shared" si="118"/>
        <v>0.75</v>
      </c>
      <c r="C2180" s="11"/>
      <c r="D2180" s="18" t="str">
        <f t="shared" si="119"/>
        <v>&lt;Dihed_Crv1_Str&gt;0.750000&lt;/Dihed_Crv1_Str&gt;</v>
      </c>
      <c r="F2180" s="6"/>
      <c r="G2180" s="6"/>
      <c r="H2180" s="6"/>
      <c r="I2180" s="6"/>
      <c r="J2180" s="6"/>
      <c r="K2180" s="6"/>
      <c r="L2180" s="6"/>
      <c r="M2180" s="6"/>
      <c r="N2180" s="6"/>
      <c r="O2180" s="6"/>
      <c r="P2180" s="6"/>
      <c r="Q2180" s="6"/>
      <c r="R2180" s="6"/>
      <c r="S2180" s="6"/>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c r="BU2180" s="6"/>
      <c r="BV2180" s="6"/>
      <c r="BW2180" s="6"/>
      <c r="BX2180" s="6"/>
      <c r="BY2180" s="6"/>
      <c r="BZ2180" s="6"/>
      <c r="CA2180" s="6"/>
      <c r="CB2180" s="6"/>
      <c r="CC2180" s="6"/>
      <c r="CD2180" s="6"/>
      <c r="CE2180" s="6"/>
      <c r="CF2180" s="6"/>
      <c r="CG2180" s="6"/>
      <c r="CH2180" s="6"/>
      <c r="CI2180" s="6"/>
      <c r="CJ2180" s="6"/>
      <c r="CK2180" s="6"/>
      <c r="CL2180" s="6"/>
      <c r="CM2180" s="6"/>
      <c r="CN2180" s="6"/>
      <c r="CO2180" s="6"/>
      <c r="CP2180" s="6"/>
      <c r="CQ2180" s="6"/>
      <c r="CR2180" s="6"/>
      <c r="CS2180" s="6"/>
      <c r="CT2180" s="6"/>
      <c r="CU2180" s="6"/>
      <c r="CV2180" s="6"/>
      <c r="CW2180" s="6"/>
      <c r="CX2180" s="6"/>
      <c r="CY2180" s="6"/>
      <c r="CZ2180" s="6"/>
      <c r="DA2180" s="6"/>
      <c r="DB2180" s="6"/>
      <c r="DC2180" s="6"/>
      <c r="DD2180" s="6"/>
    </row>
    <row r="2181" spans="1:108" ht="12.75" hidden="1" customHeight="1" outlineLevel="6">
      <c r="A2181" s="104" t="s">
        <v>132</v>
      </c>
      <c r="B2181" s="28">
        <f t="shared" si="118"/>
        <v>0.75</v>
      </c>
      <c r="C2181" s="11"/>
      <c r="D2181" s="18" t="str">
        <f t="shared" si="119"/>
        <v>&lt;Dihed_Crv2_Str&gt;0.750000&lt;/Dihed_Crv2_Str&gt;</v>
      </c>
      <c r="F2181" s="6"/>
      <c r="G2181" s="6"/>
      <c r="H2181" s="6"/>
      <c r="I2181" s="6"/>
      <c r="J2181" s="6"/>
      <c r="K2181" s="6"/>
      <c r="L2181" s="6"/>
      <c r="M2181" s="6"/>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c r="BU2181" s="6"/>
      <c r="BV2181" s="6"/>
      <c r="BW2181" s="6"/>
      <c r="BX2181" s="6"/>
      <c r="BY2181" s="6"/>
      <c r="BZ2181" s="6"/>
      <c r="CA2181" s="6"/>
      <c r="CB2181" s="6"/>
      <c r="CC2181" s="6"/>
      <c r="CD2181" s="6"/>
      <c r="CE2181" s="6"/>
      <c r="CF2181" s="6"/>
      <c r="CG2181" s="6"/>
      <c r="CH2181" s="6"/>
      <c r="CI2181" s="6"/>
      <c r="CJ2181" s="6"/>
      <c r="CK2181" s="6"/>
      <c r="CL2181" s="6"/>
      <c r="CM2181" s="6"/>
      <c r="CN2181" s="6"/>
      <c r="CO2181" s="6"/>
      <c r="CP2181" s="6"/>
      <c r="CQ2181" s="6"/>
      <c r="CR2181" s="6"/>
      <c r="CS2181" s="6"/>
      <c r="CT2181" s="6"/>
      <c r="CU2181" s="6"/>
      <c r="CV2181" s="6"/>
      <c r="CW2181" s="6"/>
      <c r="CX2181" s="6"/>
      <c r="CY2181" s="6"/>
      <c r="CZ2181" s="6"/>
      <c r="DA2181" s="6"/>
      <c r="DB2181" s="6"/>
      <c r="DC2181" s="6"/>
      <c r="DD2181" s="6"/>
    </row>
    <row r="2182" spans="1:108" ht="12.75" hidden="1" customHeight="1" outlineLevel="6">
      <c r="A2182" s="104" t="s">
        <v>133</v>
      </c>
      <c r="B2182" s="28">
        <f t="shared" si="118"/>
        <v>0</v>
      </c>
      <c r="C2182" s="11"/>
      <c r="D2182" s="18" t="str">
        <f>"&lt;" &amp; A2182 &amp; "&gt;" &amp; TEXT(B2182,0) &amp; "&lt;/" &amp; A2182 &amp; "&gt;"</f>
        <v>&lt;DihedRotFlag&gt;0&lt;/DihedRotFlag&gt;</v>
      </c>
      <c r="F2182" s="6"/>
      <c r="G2182" s="6"/>
      <c r="H2182" s="6"/>
      <c r="I2182" s="6"/>
      <c r="J2182" s="6"/>
      <c r="K2182" s="6"/>
      <c r="L2182" s="6"/>
      <c r="M2182" s="6"/>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c r="BU2182" s="6"/>
      <c r="BV2182" s="6"/>
      <c r="BW2182" s="6"/>
      <c r="BX2182" s="6"/>
      <c r="BY2182" s="6"/>
      <c r="BZ2182" s="6"/>
      <c r="CA2182" s="6"/>
      <c r="CB2182" s="6"/>
      <c r="CC2182" s="6"/>
      <c r="CD2182" s="6"/>
      <c r="CE2182" s="6"/>
      <c r="CF2182" s="6"/>
      <c r="CG2182" s="6"/>
      <c r="CH2182" s="6"/>
      <c r="CI2182" s="6"/>
      <c r="CJ2182" s="6"/>
      <c r="CK2182" s="6"/>
      <c r="CL2182" s="6"/>
      <c r="CM2182" s="6"/>
      <c r="CN2182" s="6"/>
      <c r="CO2182" s="6"/>
      <c r="CP2182" s="6"/>
      <c r="CQ2182" s="6"/>
      <c r="CR2182" s="6"/>
      <c r="CS2182" s="6"/>
      <c r="CT2182" s="6"/>
      <c r="CU2182" s="6"/>
      <c r="CV2182" s="6"/>
      <c r="CW2182" s="6"/>
      <c r="CX2182" s="6"/>
      <c r="CY2182" s="6"/>
      <c r="CZ2182" s="6"/>
      <c r="DA2182" s="6"/>
      <c r="DB2182" s="6"/>
      <c r="DC2182" s="6"/>
      <c r="DD2182" s="6"/>
    </row>
    <row r="2183" spans="1:108" ht="12.75" hidden="1" customHeight="1" outlineLevel="6">
      <c r="A2183" s="104" t="s">
        <v>134</v>
      </c>
      <c r="B2183" s="28">
        <f t="shared" si="118"/>
        <v>0</v>
      </c>
      <c r="C2183" s="11"/>
      <c r="D2183" s="18" t="str">
        <f>"&lt;" &amp; A2183 &amp; "&gt;" &amp; TEXT(B2183,0) &amp; "&lt;/" &amp; A2183 &amp; "&gt;"</f>
        <v>&lt;SmoothBlendFlag&gt;0&lt;/SmoothBlendFlag&gt;</v>
      </c>
      <c r="F2183" s="6"/>
      <c r="G2183" s="6"/>
      <c r="H2183" s="6"/>
      <c r="I2183" s="6"/>
      <c r="J2183" s="6"/>
      <c r="K2183" s="6"/>
      <c r="L2183" s="6"/>
      <c r="M2183" s="6"/>
      <c r="N2183" s="6"/>
      <c r="O2183" s="6"/>
      <c r="P2183" s="6"/>
      <c r="Q2183" s="6"/>
      <c r="R2183" s="6"/>
      <c r="S2183" s="6"/>
      <c r="T2183" s="6"/>
      <c r="U2183" s="6"/>
      <c r="V2183" s="6"/>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c r="BU2183" s="6"/>
      <c r="BV2183" s="6"/>
      <c r="BW2183" s="6"/>
      <c r="BX2183" s="6"/>
      <c r="BY2183" s="6"/>
      <c r="BZ2183" s="6"/>
      <c r="CA2183" s="6"/>
      <c r="CB2183" s="6"/>
      <c r="CC2183" s="6"/>
      <c r="CD2183" s="6"/>
      <c r="CE2183" s="6"/>
      <c r="CF2183" s="6"/>
      <c r="CG2183" s="6"/>
      <c r="CH2183" s="6"/>
      <c r="CI2183" s="6"/>
      <c r="CJ2183" s="6"/>
      <c r="CK2183" s="6"/>
      <c r="CL2183" s="6"/>
      <c r="CM2183" s="6"/>
      <c r="CN2183" s="6"/>
      <c r="CO2183" s="6"/>
      <c r="CP2183" s="6"/>
      <c r="CQ2183" s="6"/>
      <c r="CR2183" s="6"/>
      <c r="CS2183" s="6"/>
      <c r="CT2183" s="6"/>
      <c r="CU2183" s="6"/>
      <c r="CV2183" s="6"/>
      <c r="CW2183" s="6"/>
      <c r="CX2183" s="6"/>
      <c r="CY2183" s="6"/>
      <c r="CZ2183" s="6"/>
      <c r="DA2183" s="6"/>
      <c r="DB2183" s="6"/>
      <c r="DC2183" s="6"/>
      <c r="DD2183" s="6"/>
    </row>
    <row r="2184" spans="1:108" ht="12.75" hidden="1" customHeight="1" outlineLevel="6">
      <c r="A2184" s="104" t="s">
        <v>135</v>
      </c>
      <c r="B2184" s="28">
        <f t="shared" si="118"/>
        <v>1</v>
      </c>
      <c r="C2184" s="11"/>
      <c r="D2184" s="18" t="str">
        <f>"&lt;" &amp; A2184 &amp; "&gt;" &amp; TEXT(B2184,0) &amp; "&lt;/" &amp; A2184 &amp; "&gt;"</f>
        <v>&lt;NumInterpXsecs&gt;1&lt;/NumInterpXsecs&gt;</v>
      </c>
      <c r="F2184" s="6"/>
      <c r="G2184" s="6"/>
      <c r="H2184" s="6"/>
      <c r="I2184" s="6"/>
      <c r="J2184" s="6"/>
      <c r="K2184" s="6"/>
      <c r="L2184" s="6"/>
      <c r="M2184" s="6"/>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c r="BU2184" s="6"/>
      <c r="BV2184" s="6"/>
      <c r="BW2184" s="6"/>
      <c r="BX2184" s="6"/>
      <c r="BY2184" s="6"/>
      <c r="BZ2184" s="6"/>
      <c r="CA2184" s="6"/>
      <c r="CB2184" s="6"/>
      <c r="CC2184" s="6"/>
      <c r="CD2184" s="6"/>
      <c r="CE2184" s="6"/>
      <c r="CF2184" s="6"/>
      <c r="CG2184" s="6"/>
      <c r="CH2184" s="6"/>
      <c r="CI2184" s="6"/>
      <c r="CJ2184" s="6"/>
      <c r="CK2184" s="6"/>
      <c r="CL2184" s="6"/>
      <c r="CM2184" s="6"/>
      <c r="CN2184" s="6"/>
      <c r="CO2184" s="6"/>
      <c r="CP2184" s="6"/>
      <c r="CQ2184" s="6"/>
      <c r="CR2184" s="6"/>
      <c r="CS2184" s="6"/>
      <c r="CT2184" s="6"/>
      <c r="CU2184" s="6"/>
      <c r="CV2184" s="6"/>
      <c r="CW2184" s="6"/>
      <c r="CX2184" s="6"/>
      <c r="CY2184" s="6"/>
      <c r="CZ2184" s="6"/>
      <c r="DA2184" s="6"/>
      <c r="DB2184" s="6"/>
      <c r="DC2184" s="6"/>
      <c r="DD2184" s="6"/>
    </row>
    <row r="2185" spans="1:108" ht="12.75" hidden="1" customHeight="1" outlineLevel="6">
      <c r="A2185" s="104" t="s">
        <v>136</v>
      </c>
      <c r="B2185" s="100"/>
      <c r="C2185" s="11"/>
      <c r="D2185" s="6" t="str">
        <f>"&lt;" &amp; A2185 &amp; "&gt;"</f>
        <v>&lt;/Section&gt;</v>
      </c>
      <c r="F2185" s="6"/>
      <c r="G2185" s="6"/>
      <c r="H2185" s="6"/>
      <c r="I2185" s="6"/>
      <c r="J2185" s="6"/>
      <c r="K2185" s="6"/>
      <c r="L2185" s="6"/>
      <c r="M2185" s="6"/>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c r="BU2185" s="6"/>
      <c r="BV2185" s="6"/>
      <c r="BW2185" s="6"/>
      <c r="BX2185" s="6"/>
      <c r="BY2185" s="6"/>
      <c r="BZ2185" s="6"/>
      <c r="CA2185" s="6"/>
      <c r="CB2185" s="6"/>
      <c r="CC2185" s="6"/>
      <c r="CD2185" s="6"/>
      <c r="CE2185" s="6"/>
      <c r="CF2185" s="6"/>
      <c r="CG2185" s="6"/>
      <c r="CH2185" s="6"/>
      <c r="CI2185" s="6"/>
      <c r="CJ2185" s="6"/>
      <c r="CK2185" s="6"/>
      <c r="CL2185" s="6"/>
      <c r="CM2185" s="6"/>
      <c r="CN2185" s="6"/>
      <c r="CO2185" s="6"/>
      <c r="CP2185" s="6"/>
      <c r="CQ2185" s="6"/>
      <c r="CR2185" s="6"/>
      <c r="CS2185" s="6"/>
      <c r="CT2185" s="6"/>
      <c r="CU2185" s="6"/>
      <c r="CV2185" s="6"/>
      <c r="CW2185" s="6"/>
      <c r="CX2185" s="6"/>
      <c r="CY2185" s="6"/>
      <c r="CZ2185" s="6"/>
      <c r="DA2185" s="6"/>
      <c r="DB2185" s="6"/>
      <c r="DC2185" s="6"/>
      <c r="DD2185" s="6"/>
    </row>
    <row r="2186" spans="1:108" ht="12.75" hidden="1" customHeight="1" outlineLevel="5">
      <c r="A2186" s="104" t="s">
        <v>137</v>
      </c>
      <c r="B2186" s="100"/>
      <c r="C2186" s="11"/>
      <c r="D2186" s="6" t="str">
        <f>"&lt;" &amp; A2186 &amp; "&gt;"</f>
        <v>&lt;/Section_List&gt;</v>
      </c>
      <c r="F2186" s="6"/>
      <c r="G2186" s="6"/>
      <c r="H2186" s="6"/>
      <c r="I2186" s="6"/>
      <c r="J2186" s="6"/>
      <c r="K2186" s="6"/>
      <c r="L2186" s="6"/>
      <c r="M2186" s="6"/>
      <c r="N2186" s="6"/>
      <c r="O2186" s="6"/>
      <c r="P2186" s="6"/>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c r="BU2186" s="6"/>
      <c r="BV2186" s="6"/>
      <c r="BW2186" s="6"/>
      <c r="BX2186" s="6"/>
      <c r="BY2186" s="6"/>
      <c r="BZ2186" s="6"/>
      <c r="CA2186" s="6"/>
      <c r="CB2186" s="6"/>
      <c r="CC2186" s="6"/>
      <c r="CD2186" s="6"/>
      <c r="CE2186" s="6"/>
      <c r="CF2186" s="6"/>
      <c r="CG2186" s="6"/>
      <c r="CH2186" s="6"/>
      <c r="CI2186" s="6"/>
      <c r="CJ2186" s="6"/>
      <c r="CK2186" s="6"/>
      <c r="CL2186" s="6"/>
      <c r="CM2186" s="6"/>
      <c r="CN2186" s="6"/>
      <c r="CO2186" s="6"/>
      <c r="CP2186" s="6"/>
      <c r="CQ2186" s="6"/>
      <c r="CR2186" s="6"/>
      <c r="CS2186" s="6"/>
      <c r="CT2186" s="6"/>
      <c r="CU2186" s="6"/>
      <c r="CV2186" s="6"/>
      <c r="CW2186" s="6"/>
      <c r="CX2186" s="6"/>
      <c r="CY2186" s="6"/>
      <c r="CZ2186" s="6"/>
      <c r="DA2186" s="6"/>
      <c r="DB2186" s="6"/>
      <c r="DC2186" s="6"/>
      <c r="DD2186" s="6"/>
    </row>
    <row r="2187" spans="1:108" ht="12.75" hidden="1" customHeight="1" outlineLevel="4">
      <c r="A2187" s="104" t="s">
        <v>138</v>
      </c>
      <c r="B2187" s="100"/>
      <c r="C2187" s="11" t="str">
        <f>C2058</f>
        <v>Yes</v>
      </c>
      <c r="D2187" s="133" t="str">
        <f>IF(C2187="Yes",("&lt;"&amp;A2187&amp;"&gt;"),("&lt;"&amp;A2187&amp;"--&gt;"))</f>
        <v>&lt;/Component&gt;</v>
      </c>
      <c r="F2187" s="6"/>
      <c r="G2187" s="6"/>
      <c r="H2187" s="6"/>
      <c r="I2187" s="6"/>
      <c r="J2187" s="6"/>
      <c r="K2187" s="6"/>
      <c r="L2187" s="6"/>
      <c r="M2187" s="6"/>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c r="BU2187" s="6"/>
      <c r="BV2187" s="6"/>
      <c r="BW2187" s="6"/>
      <c r="BX2187" s="6"/>
      <c r="BY2187" s="6"/>
      <c r="BZ2187" s="6"/>
      <c r="CA2187" s="6"/>
      <c r="CB2187" s="6"/>
      <c r="CC2187" s="6"/>
      <c r="CD2187" s="6"/>
      <c r="CE2187" s="6"/>
      <c r="CF2187" s="6"/>
      <c r="CG2187" s="6"/>
      <c r="CH2187" s="6"/>
      <c r="CI2187" s="6"/>
      <c r="CJ2187" s="6"/>
      <c r="CK2187" s="6"/>
      <c r="CL2187" s="6"/>
      <c r="CM2187" s="6"/>
      <c r="CN2187" s="6"/>
      <c r="CO2187" s="6"/>
      <c r="CP2187" s="6"/>
      <c r="CQ2187" s="6"/>
      <c r="CR2187" s="6"/>
      <c r="CS2187" s="6"/>
      <c r="CT2187" s="6"/>
      <c r="CU2187" s="6"/>
      <c r="CV2187" s="6"/>
      <c r="CW2187" s="6"/>
      <c r="CX2187" s="6"/>
      <c r="CY2187" s="6"/>
      <c r="CZ2187" s="6"/>
      <c r="DA2187" s="6"/>
      <c r="DB2187" s="6"/>
      <c r="DC2187" s="6"/>
      <c r="DD2187" s="6"/>
    </row>
    <row r="2188" spans="1:108" ht="12.75" hidden="1" customHeight="1" outlineLevel="3" collapsed="1">
      <c r="A2188" s="104" t="s">
        <v>40</v>
      </c>
      <c r="B2188" s="110" t="s">
        <v>543</v>
      </c>
      <c r="C2188" s="2" t="str">
        <f>IF(AND(C1743="Yes",C1890="Yes"),"No","Yes")</f>
        <v>Yes</v>
      </c>
      <c r="D2188" s="6" t="str">
        <f>IF(C2188="Yes",("&lt;"&amp;A2188&amp;"&gt;"),("&lt;!--"&amp;A2188&amp;"&gt;"))</f>
        <v>&lt;Component&gt;</v>
      </c>
      <c r="F2188" s="6"/>
      <c r="G2188" s="6"/>
      <c r="H2188" s="6"/>
      <c r="I2188" s="6"/>
      <c r="J2188" s="6"/>
      <c r="K2188" s="6"/>
      <c r="L2188" s="6"/>
      <c r="M2188" s="6"/>
      <c r="N2188" s="6"/>
      <c r="O2188" s="6"/>
      <c r="P2188" s="6"/>
      <c r="Q2188" s="6"/>
      <c r="R2188" s="6"/>
      <c r="S2188" s="6"/>
      <c r="T2188" s="6"/>
      <c r="U2188" s="6"/>
      <c r="V2188" s="6"/>
      <c r="W2188" s="6"/>
      <c r="X2188" s="6"/>
      <c r="Y2188" s="6"/>
      <c r="Z2188" s="6"/>
      <c r="AA2188" s="6"/>
      <c r="AB2188" s="6"/>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c r="BU2188" s="6"/>
      <c r="BV2188" s="6"/>
      <c r="BW2188" s="6"/>
      <c r="BX2188" s="6"/>
      <c r="BY2188" s="6"/>
      <c r="BZ2188" s="6"/>
      <c r="CA2188" s="6"/>
      <c r="CB2188" s="6"/>
      <c r="CC2188" s="6"/>
      <c r="CD2188" s="6"/>
      <c r="CE2188" s="6"/>
      <c r="CF2188" s="6"/>
      <c r="CG2188" s="6"/>
      <c r="CH2188" s="6"/>
      <c r="CI2188" s="6"/>
      <c r="CJ2188" s="6"/>
      <c r="CK2188" s="6"/>
      <c r="CL2188" s="6"/>
      <c r="CM2188" s="6"/>
      <c r="CN2188" s="6"/>
      <c r="CO2188" s="6"/>
      <c r="CP2188" s="6"/>
      <c r="CQ2188" s="6"/>
      <c r="CR2188" s="6"/>
      <c r="CS2188" s="6"/>
      <c r="CT2188" s="6"/>
      <c r="CU2188" s="6"/>
      <c r="CV2188" s="6"/>
      <c r="CW2188" s="6"/>
      <c r="CX2188" s="6"/>
      <c r="CY2188" s="6"/>
      <c r="CZ2188" s="6"/>
      <c r="DA2188" s="6"/>
      <c r="DB2188" s="6"/>
      <c r="DC2188" s="6"/>
      <c r="DD2188" s="6"/>
    </row>
    <row r="2189" spans="1:108" ht="12.75" hidden="1" customHeight="1" outlineLevel="4">
      <c r="A2189" s="104" t="s">
        <v>14</v>
      </c>
      <c r="B2189" s="100" t="s">
        <v>226</v>
      </c>
      <c r="C2189" s="11"/>
      <c r="D2189" s="18" t="str">
        <f>"&lt;" &amp; A2189 &amp; "&gt;" &amp; TEXT(B2189,"0.000000") &amp; "&lt;/" &amp; A2189 &amp; "&gt;"</f>
        <v>&lt;Type&gt;Engine&lt;/Type&gt;</v>
      </c>
      <c r="F2189" s="6"/>
      <c r="G2189" s="6"/>
      <c r="H2189" s="6"/>
      <c r="I2189" s="6"/>
      <c r="J2189" s="6"/>
      <c r="K2189" s="6"/>
      <c r="L2189" s="6"/>
      <c r="M2189" s="6"/>
      <c r="N2189" s="6"/>
      <c r="O2189" s="6"/>
      <c r="P2189" s="6"/>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c r="BU2189" s="6"/>
      <c r="BV2189" s="6"/>
      <c r="BW2189" s="6"/>
      <c r="BX2189" s="6"/>
      <c r="BY2189" s="6"/>
      <c r="BZ2189" s="6"/>
      <c r="CA2189" s="6"/>
      <c r="CB2189" s="6"/>
      <c r="CC2189" s="6"/>
      <c r="CD2189" s="6"/>
      <c r="CE2189" s="6"/>
      <c r="CF2189" s="6"/>
      <c r="CG2189" s="6"/>
      <c r="CH2189" s="6"/>
      <c r="CI2189" s="6"/>
      <c r="CJ2189" s="6"/>
      <c r="CK2189" s="6"/>
      <c r="CL2189" s="6"/>
      <c r="CM2189" s="6"/>
      <c r="CN2189" s="6"/>
      <c r="CO2189" s="6"/>
      <c r="CP2189" s="6"/>
      <c r="CQ2189" s="6"/>
      <c r="CR2189" s="6"/>
      <c r="CS2189" s="6"/>
      <c r="CT2189" s="6"/>
      <c r="CU2189" s="6"/>
      <c r="CV2189" s="6"/>
      <c r="CW2189" s="6"/>
      <c r="CX2189" s="6"/>
      <c r="CY2189" s="6"/>
      <c r="CZ2189" s="6"/>
      <c r="DA2189" s="6"/>
      <c r="DB2189" s="6"/>
      <c r="DC2189" s="6"/>
      <c r="DD2189" s="6"/>
    </row>
    <row r="2190" spans="1:108" ht="12.75" hidden="1" customHeight="1" outlineLevel="4" collapsed="1">
      <c r="A2190" s="104" t="s">
        <v>42</v>
      </c>
      <c r="B2190" s="100"/>
      <c r="C2190" s="11"/>
      <c r="D2190" s="6" t="str">
        <f>"&lt;" &amp; A2190 &amp; "&gt;"</f>
        <v>&lt;General_Parms&gt;</v>
      </c>
      <c r="F2190" s="6"/>
      <c r="G2190" s="6"/>
      <c r="H2190" s="6"/>
      <c r="I2190" s="6"/>
      <c r="J2190" s="6"/>
      <c r="K2190" s="6"/>
      <c r="L2190" s="6"/>
      <c r="M2190" s="6"/>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c r="BU2190" s="6"/>
      <c r="BV2190" s="6"/>
      <c r="BW2190" s="6"/>
      <c r="BX2190" s="6"/>
      <c r="BY2190" s="6"/>
      <c r="BZ2190" s="6"/>
      <c r="CA2190" s="6"/>
      <c r="CB2190" s="6"/>
      <c r="CC2190" s="6"/>
      <c r="CD2190" s="6"/>
      <c r="CE2190" s="6"/>
      <c r="CF2190" s="6"/>
      <c r="CG2190" s="6"/>
      <c r="CH2190" s="6"/>
      <c r="CI2190" s="6"/>
      <c r="CJ2190" s="6"/>
      <c r="CK2190" s="6"/>
      <c r="CL2190" s="6"/>
      <c r="CM2190" s="6"/>
      <c r="CN2190" s="6"/>
      <c r="CO2190" s="6"/>
      <c r="CP2190" s="6"/>
      <c r="CQ2190" s="6"/>
      <c r="CR2190" s="6"/>
      <c r="CS2190" s="6"/>
      <c r="CT2190" s="6"/>
      <c r="CU2190" s="6"/>
      <c r="CV2190" s="6"/>
      <c r="CW2190" s="6"/>
      <c r="CX2190" s="6"/>
      <c r="CY2190" s="6"/>
      <c r="CZ2190" s="6"/>
      <c r="DA2190" s="6"/>
      <c r="DB2190" s="6"/>
      <c r="DC2190" s="6"/>
      <c r="DD2190" s="6"/>
    </row>
    <row r="2191" spans="1:108" ht="12.75" hidden="1" customHeight="1" outlineLevel="5">
      <c r="A2191" s="104" t="s">
        <v>1</v>
      </c>
      <c r="B2191" s="100" t="str">
        <f t="shared" ref="B2191:B2234" si="120">B1658</f>
        <v>fan_section</v>
      </c>
      <c r="C2191" s="11"/>
      <c r="D2191" s="18" t="str">
        <f>"&lt;" &amp; A2191 &amp; "&gt;" &amp; TEXT(B2191,"0.000000") &amp; "&lt;/" &amp; A2191 &amp; "&gt;"</f>
        <v>&lt;Name&gt;fan_section&lt;/Name&gt;</v>
      </c>
      <c r="F2191" s="6"/>
      <c r="G2191" s="6"/>
      <c r="H2191" s="6"/>
      <c r="I2191" s="6"/>
      <c r="J2191" s="6"/>
      <c r="K2191" s="6"/>
      <c r="L2191" s="6"/>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c r="BU2191" s="6"/>
      <c r="BV2191" s="6"/>
      <c r="BW2191" s="6"/>
      <c r="BX2191" s="6"/>
      <c r="BY2191" s="6"/>
      <c r="BZ2191" s="6"/>
      <c r="CA2191" s="6"/>
      <c r="CB2191" s="6"/>
      <c r="CC2191" s="6"/>
      <c r="CD2191" s="6"/>
      <c r="CE2191" s="6"/>
      <c r="CF2191" s="6"/>
      <c r="CG2191" s="6"/>
      <c r="CH2191" s="6"/>
      <c r="CI2191" s="6"/>
      <c r="CJ2191" s="6"/>
      <c r="CK2191" s="6"/>
      <c r="CL2191" s="6"/>
      <c r="CM2191" s="6"/>
      <c r="CN2191" s="6"/>
      <c r="CO2191" s="6"/>
      <c r="CP2191" s="6"/>
      <c r="CQ2191" s="6"/>
      <c r="CR2191" s="6"/>
      <c r="CS2191" s="6"/>
      <c r="CT2191" s="6"/>
      <c r="CU2191" s="6"/>
      <c r="CV2191" s="6"/>
      <c r="CW2191" s="6"/>
      <c r="CX2191" s="6"/>
      <c r="CY2191" s="6"/>
      <c r="CZ2191" s="6"/>
      <c r="DA2191" s="6"/>
      <c r="DB2191" s="6"/>
      <c r="DC2191" s="6"/>
      <c r="DD2191" s="6"/>
    </row>
    <row r="2192" spans="1:108" ht="12.75" hidden="1" customHeight="1" outlineLevel="5">
      <c r="A2192" s="104" t="s">
        <v>43</v>
      </c>
      <c r="B2192" s="28">
        <f t="shared" si="120"/>
        <v>0</v>
      </c>
      <c r="C2192" s="11"/>
      <c r="D2192" s="18" t="str">
        <f>"&lt;" &amp; A2192 &amp; "&gt;" &amp; TEXT(B2192,"0.000000") &amp; "&lt;/" &amp; A2192 &amp; "&gt;"</f>
        <v>&lt;ColorR&gt;0.000000&lt;/ColorR&gt;</v>
      </c>
      <c r="F2192" s="6"/>
      <c r="G2192" s="6"/>
      <c r="H2192" s="6"/>
      <c r="I2192" s="6"/>
      <c r="J2192" s="6"/>
      <c r="K2192" s="6"/>
      <c r="L2192" s="6"/>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c r="BU2192" s="6"/>
      <c r="BV2192" s="6"/>
      <c r="BW2192" s="6"/>
      <c r="BX2192" s="6"/>
      <c r="BY2192" s="6"/>
      <c r="BZ2192" s="6"/>
      <c r="CA2192" s="6"/>
      <c r="CB2192" s="6"/>
      <c r="CC2192" s="6"/>
      <c r="CD2192" s="6"/>
      <c r="CE2192" s="6"/>
      <c r="CF2192" s="6"/>
      <c r="CG2192" s="6"/>
      <c r="CH2192" s="6"/>
      <c r="CI2192" s="6"/>
      <c r="CJ2192" s="6"/>
      <c r="CK2192" s="6"/>
      <c r="CL2192" s="6"/>
      <c r="CM2192" s="6"/>
      <c r="CN2192" s="6"/>
      <c r="CO2192" s="6"/>
      <c r="CP2192" s="6"/>
      <c r="CQ2192" s="6"/>
      <c r="CR2192" s="6"/>
      <c r="CS2192" s="6"/>
      <c r="CT2192" s="6"/>
      <c r="CU2192" s="6"/>
      <c r="CV2192" s="6"/>
      <c r="CW2192" s="6"/>
      <c r="CX2192" s="6"/>
      <c r="CY2192" s="6"/>
      <c r="CZ2192" s="6"/>
      <c r="DA2192" s="6"/>
      <c r="DB2192" s="6"/>
      <c r="DC2192" s="6"/>
      <c r="DD2192" s="6"/>
    </row>
    <row r="2193" spans="1:108" ht="12.75" hidden="1" customHeight="1" outlineLevel="5">
      <c r="A2193" s="104" t="s">
        <v>44</v>
      </c>
      <c r="B2193" s="28">
        <f t="shared" si="120"/>
        <v>0</v>
      </c>
      <c r="C2193" s="11"/>
      <c r="D2193" s="18" t="str">
        <f>"&lt;" &amp; A2193 &amp; "&gt;" &amp; TEXT(B2193,"0.000000") &amp; "&lt;/" &amp; A2193 &amp; "&gt;"</f>
        <v>&lt;ColorG&gt;0.000000&lt;/ColorG&gt;</v>
      </c>
      <c r="F2193" s="6"/>
      <c r="G2193" s="6"/>
      <c r="H2193" s="6"/>
      <c r="I2193" s="6"/>
      <c r="J2193" s="6"/>
      <c r="K2193" s="6"/>
      <c r="L2193" s="6"/>
      <c r="M2193" s="6"/>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c r="BU2193" s="6"/>
      <c r="BV2193" s="6"/>
      <c r="BW2193" s="6"/>
      <c r="BX2193" s="6"/>
      <c r="BY2193" s="6"/>
      <c r="BZ2193" s="6"/>
      <c r="CA2193" s="6"/>
      <c r="CB2193" s="6"/>
      <c r="CC2193" s="6"/>
      <c r="CD2193" s="6"/>
      <c r="CE2193" s="6"/>
      <c r="CF2193" s="6"/>
      <c r="CG2193" s="6"/>
      <c r="CH2193" s="6"/>
      <c r="CI2193" s="6"/>
      <c r="CJ2193" s="6"/>
      <c r="CK2193" s="6"/>
      <c r="CL2193" s="6"/>
      <c r="CM2193" s="6"/>
      <c r="CN2193" s="6"/>
      <c r="CO2193" s="6"/>
      <c r="CP2193" s="6"/>
      <c r="CQ2193" s="6"/>
      <c r="CR2193" s="6"/>
      <c r="CS2193" s="6"/>
      <c r="CT2193" s="6"/>
      <c r="CU2193" s="6"/>
      <c r="CV2193" s="6"/>
      <c r="CW2193" s="6"/>
      <c r="CX2193" s="6"/>
      <c r="CY2193" s="6"/>
      <c r="CZ2193" s="6"/>
      <c r="DA2193" s="6"/>
      <c r="DB2193" s="6"/>
      <c r="DC2193" s="6"/>
      <c r="DD2193" s="6"/>
    </row>
    <row r="2194" spans="1:108" ht="12.75" hidden="1" customHeight="1" outlineLevel="5">
      <c r="A2194" s="104" t="s">
        <v>45</v>
      </c>
      <c r="B2194" s="28">
        <f t="shared" si="120"/>
        <v>255</v>
      </c>
      <c r="C2194" s="11"/>
      <c r="D2194" s="18" t="str">
        <f>"&lt;" &amp; A2194 &amp; "&gt;" &amp; TEXT(B2194,"0.000000") &amp; "&lt;/" &amp; A2194 &amp; "&gt;"</f>
        <v>&lt;ColorB&gt;255.000000&lt;/ColorB&gt;</v>
      </c>
      <c r="F2194" s="6"/>
      <c r="G2194" s="6"/>
      <c r="H2194" s="6"/>
      <c r="I2194" s="6"/>
      <c r="J2194" s="6"/>
      <c r="K2194" s="6"/>
      <c r="L2194" s="6"/>
      <c r="M2194" s="6"/>
      <c r="N2194" s="6"/>
      <c r="O2194" s="6"/>
      <c r="P2194" s="6"/>
      <c r="Q2194" s="6"/>
      <c r="R2194" s="6"/>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c r="BU2194" s="6"/>
      <c r="BV2194" s="6"/>
      <c r="BW2194" s="6"/>
      <c r="BX2194" s="6"/>
      <c r="BY2194" s="6"/>
      <c r="BZ2194" s="6"/>
      <c r="CA2194" s="6"/>
      <c r="CB2194" s="6"/>
      <c r="CC2194" s="6"/>
      <c r="CD2194" s="6"/>
      <c r="CE2194" s="6"/>
      <c r="CF2194" s="6"/>
      <c r="CG2194" s="6"/>
      <c r="CH2194" s="6"/>
      <c r="CI2194" s="6"/>
      <c r="CJ2194" s="6"/>
      <c r="CK2194" s="6"/>
      <c r="CL2194" s="6"/>
      <c r="CM2194" s="6"/>
      <c r="CN2194" s="6"/>
      <c r="CO2194" s="6"/>
      <c r="CP2194" s="6"/>
      <c r="CQ2194" s="6"/>
      <c r="CR2194" s="6"/>
      <c r="CS2194" s="6"/>
      <c r="CT2194" s="6"/>
      <c r="CU2194" s="6"/>
      <c r="CV2194" s="6"/>
      <c r="CW2194" s="6"/>
      <c r="CX2194" s="6"/>
      <c r="CY2194" s="6"/>
      <c r="CZ2194" s="6"/>
      <c r="DA2194" s="6"/>
      <c r="DB2194" s="6"/>
      <c r="DC2194" s="6"/>
      <c r="DD2194" s="6"/>
    </row>
    <row r="2195" spans="1:108" ht="12.75" hidden="1" customHeight="1" outlineLevel="5">
      <c r="A2195" s="104" t="s">
        <v>46</v>
      </c>
      <c r="B2195" s="28">
        <f t="shared" si="120"/>
        <v>0</v>
      </c>
      <c r="C2195" s="11"/>
      <c r="D2195" s="18" t="str">
        <f t="shared" ref="D2195:D2204" si="121">"&lt;" &amp; A2195 &amp; "&gt;" &amp; TEXT(B2195,0) &amp; "&lt;/" &amp; A2195 &amp; "&gt;"</f>
        <v>&lt;Symmetry&gt;0&lt;/Symmetry&gt;</v>
      </c>
      <c r="F2195" s="6"/>
      <c r="G2195" s="6"/>
      <c r="H2195" s="6"/>
      <c r="I2195" s="6"/>
      <c r="J2195" s="6"/>
      <c r="K2195" s="6"/>
      <c r="L2195" s="6"/>
      <c r="M2195" s="6"/>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c r="BU2195" s="6"/>
      <c r="BV2195" s="6"/>
      <c r="BW2195" s="6"/>
      <c r="BX2195" s="6"/>
      <c r="BY2195" s="6"/>
      <c r="BZ2195" s="6"/>
      <c r="CA2195" s="6"/>
      <c r="CB2195" s="6"/>
      <c r="CC2195" s="6"/>
      <c r="CD2195" s="6"/>
      <c r="CE2195" s="6"/>
      <c r="CF2195" s="6"/>
      <c r="CG2195" s="6"/>
      <c r="CH2195" s="6"/>
      <c r="CI2195" s="6"/>
      <c r="CJ2195" s="6"/>
      <c r="CK2195" s="6"/>
      <c r="CL2195" s="6"/>
      <c r="CM2195" s="6"/>
      <c r="CN2195" s="6"/>
      <c r="CO2195" s="6"/>
      <c r="CP2195" s="6"/>
      <c r="CQ2195" s="6"/>
      <c r="CR2195" s="6"/>
      <c r="CS2195" s="6"/>
      <c r="CT2195" s="6"/>
      <c r="CU2195" s="6"/>
      <c r="CV2195" s="6"/>
      <c r="CW2195" s="6"/>
      <c r="CX2195" s="6"/>
      <c r="CY2195" s="6"/>
      <c r="CZ2195" s="6"/>
      <c r="DA2195" s="6"/>
      <c r="DB2195" s="6"/>
      <c r="DC2195" s="6"/>
      <c r="DD2195" s="6"/>
    </row>
    <row r="2196" spans="1:108" ht="12.75" hidden="1" customHeight="1" outlineLevel="5">
      <c r="A2196" s="104" t="s">
        <v>47</v>
      </c>
      <c r="B2196" s="28">
        <f t="shared" si="120"/>
        <v>0</v>
      </c>
      <c r="C2196" s="11"/>
      <c r="D2196" s="18" t="str">
        <f t="shared" si="121"/>
        <v>&lt;RelXFormFlag&gt;0&lt;/RelXFormFlag&gt;</v>
      </c>
      <c r="F2196" s="6"/>
      <c r="G2196" s="6"/>
      <c r="H2196" s="6"/>
      <c r="I2196" s="6"/>
      <c r="J2196" s="6"/>
      <c r="K2196" s="6"/>
      <c r="L2196" s="6"/>
      <c r="M2196" s="6"/>
      <c r="N2196" s="6"/>
      <c r="O2196" s="6"/>
      <c r="P2196" s="6"/>
      <c r="Q2196" s="6"/>
      <c r="R2196" s="6"/>
      <c r="S2196" s="6"/>
      <c r="T2196" s="6"/>
      <c r="U2196" s="6"/>
      <c r="V2196" s="6"/>
      <c r="W2196" s="6"/>
      <c r="X2196" s="6"/>
      <c r="Y2196" s="6"/>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c r="BU2196" s="6"/>
      <c r="BV2196" s="6"/>
      <c r="BW2196" s="6"/>
      <c r="BX2196" s="6"/>
      <c r="BY2196" s="6"/>
      <c r="BZ2196" s="6"/>
      <c r="CA2196" s="6"/>
      <c r="CB2196" s="6"/>
      <c r="CC2196" s="6"/>
      <c r="CD2196" s="6"/>
      <c r="CE2196" s="6"/>
      <c r="CF2196" s="6"/>
      <c r="CG2196" s="6"/>
      <c r="CH2196" s="6"/>
      <c r="CI2196" s="6"/>
      <c r="CJ2196" s="6"/>
      <c r="CK2196" s="6"/>
      <c r="CL2196" s="6"/>
      <c r="CM2196" s="6"/>
      <c r="CN2196" s="6"/>
      <c r="CO2196" s="6"/>
      <c r="CP2196" s="6"/>
      <c r="CQ2196" s="6"/>
      <c r="CR2196" s="6"/>
      <c r="CS2196" s="6"/>
      <c r="CT2196" s="6"/>
      <c r="CU2196" s="6"/>
      <c r="CV2196" s="6"/>
      <c r="CW2196" s="6"/>
      <c r="CX2196" s="6"/>
      <c r="CY2196" s="6"/>
      <c r="CZ2196" s="6"/>
      <c r="DA2196" s="6"/>
      <c r="DB2196" s="6"/>
      <c r="DC2196" s="6"/>
      <c r="DD2196" s="6"/>
    </row>
    <row r="2197" spans="1:108" ht="12.75" hidden="1" customHeight="1" outlineLevel="5">
      <c r="A2197" s="104" t="s">
        <v>48</v>
      </c>
      <c r="B2197" s="28">
        <f t="shared" si="120"/>
        <v>2</v>
      </c>
      <c r="C2197" s="11"/>
      <c r="D2197" s="18" t="str">
        <f t="shared" si="121"/>
        <v>&lt;MaterialID&gt;2&lt;/MaterialID&gt;</v>
      </c>
      <c r="F2197" s="6"/>
      <c r="G2197" s="6"/>
      <c r="H2197" s="6"/>
      <c r="I2197" s="6"/>
      <c r="J2197" s="6"/>
      <c r="K2197" s="6"/>
      <c r="L2197" s="6"/>
      <c r="M2197" s="6"/>
      <c r="N2197" s="6"/>
      <c r="O2197" s="6"/>
      <c r="P2197" s="6"/>
      <c r="Q2197" s="6"/>
      <c r="R2197" s="6"/>
      <c r="S2197" s="6"/>
      <c r="T2197" s="6"/>
      <c r="U2197" s="6"/>
      <c r="V2197" s="6"/>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c r="BU2197" s="6"/>
      <c r="BV2197" s="6"/>
      <c r="BW2197" s="6"/>
      <c r="BX2197" s="6"/>
      <c r="BY2197" s="6"/>
      <c r="BZ2197" s="6"/>
      <c r="CA2197" s="6"/>
      <c r="CB2197" s="6"/>
      <c r="CC2197" s="6"/>
      <c r="CD2197" s="6"/>
      <c r="CE2197" s="6"/>
      <c r="CF2197" s="6"/>
      <c r="CG2197" s="6"/>
      <c r="CH2197" s="6"/>
      <c r="CI2197" s="6"/>
      <c r="CJ2197" s="6"/>
      <c r="CK2197" s="6"/>
      <c r="CL2197" s="6"/>
      <c r="CM2197" s="6"/>
      <c r="CN2197" s="6"/>
      <c r="CO2197" s="6"/>
      <c r="CP2197" s="6"/>
      <c r="CQ2197" s="6"/>
      <c r="CR2197" s="6"/>
      <c r="CS2197" s="6"/>
      <c r="CT2197" s="6"/>
      <c r="CU2197" s="6"/>
      <c r="CV2197" s="6"/>
      <c r="CW2197" s="6"/>
      <c r="CX2197" s="6"/>
      <c r="CY2197" s="6"/>
      <c r="CZ2197" s="6"/>
      <c r="DA2197" s="6"/>
      <c r="DB2197" s="6"/>
      <c r="DC2197" s="6"/>
      <c r="DD2197" s="6"/>
    </row>
    <row r="2198" spans="1:108" ht="12.75" hidden="1" customHeight="1" outlineLevel="5">
      <c r="A2198" s="104" t="s">
        <v>49</v>
      </c>
      <c r="B2198" s="28">
        <f t="shared" si="120"/>
        <v>1</v>
      </c>
      <c r="C2198" s="11"/>
      <c r="D2198" s="18" t="str">
        <f t="shared" si="121"/>
        <v>&lt;OutputFlag&gt;1&lt;/OutputFlag&gt;</v>
      </c>
      <c r="F2198" s="6"/>
      <c r="G2198" s="6"/>
      <c r="H2198" s="6"/>
      <c r="I2198" s="6"/>
      <c r="J2198" s="6"/>
      <c r="K2198" s="6"/>
      <c r="L2198" s="6"/>
      <c r="M2198" s="6"/>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c r="BU2198" s="6"/>
      <c r="BV2198" s="6"/>
      <c r="BW2198" s="6"/>
      <c r="BX2198" s="6"/>
      <c r="BY2198" s="6"/>
      <c r="BZ2198" s="6"/>
      <c r="CA2198" s="6"/>
      <c r="CB2198" s="6"/>
      <c r="CC2198" s="6"/>
      <c r="CD2198" s="6"/>
      <c r="CE2198" s="6"/>
      <c r="CF2198" s="6"/>
      <c r="CG2198" s="6"/>
      <c r="CH2198" s="6"/>
      <c r="CI2198" s="6"/>
      <c r="CJ2198" s="6"/>
      <c r="CK2198" s="6"/>
      <c r="CL2198" s="6"/>
      <c r="CM2198" s="6"/>
      <c r="CN2198" s="6"/>
      <c r="CO2198" s="6"/>
      <c r="CP2198" s="6"/>
      <c r="CQ2198" s="6"/>
      <c r="CR2198" s="6"/>
      <c r="CS2198" s="6"/>
      <c r="CT2198" s="6"/>
      <c r="CU2198" s="6"/>
      <c r="CV2198" s="6"/>
      <c r="CW2198" s="6"/>
      <c r="CX2198" s="6"/>
      <c r="CY2198" s="6"/>
      <c r="CZ2198" s="6"/>
      <c r="DA2198" s="6"/>
      <c r="DB2198" s="6"/>
      <c r="DC2198" s="6"/>
      <c r="DD2198" s="6"/>
    </row>
    <row r="2199" spans="1:108" ht="12.75" hidden="1" customHeight="1" outlineLevel="5">
      <c r="A2199" s="104" t="s">
        <v>50</v>
      </c>
      <c r="B2199" s="28">
        <f t="shared" si="120"/>
        <v>0</v>
      </c>
      <c r="C2199" s="11"/>
      <c r="D2199" s="18" t="str">
        <f t="shared" si="121"/>
        <v>&lt;OutputNameID&gt;0&lt;/OutputNameID&gt;</v>
      </c>
      <c r="F2199" s="6"/>
      <c r="G2199" s="6"/>
      <c r="H2199" s="6"/>
      <c r="I2199" s="6"/>
      <c r="J2199" s="6"/>
      <c r="K2199" s="6"/>
      <c r="L2199" s="6"/>
      <c r="M2199" s="6"/>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c r="BU2199" s="6"/>
      <c r="BV2199" s="6"/>
      <c r="BW2199" s="6"/>
      <c r="BX2199" s="6"/>
      <c r="BY2199" s="6"/>
      <c r="BZ2199" s="6"/>
      <c r="CA2199" s="6"/>
      <c r="CB2199" s="6"/>
      <c r="CC2199" s="6"/>
      <c r="CD2199" s="6"/>
      <c r="CE2199" s="6"/>
      <c r="CF2199" s="6"/>
      <c r="CG2199" s="6"/>
      <c r="CH2199" s="6"/>
      <c r="CI2199" s="6"/>
      <c r="CJ2199" s="6"/>
      <c r="CK2199" s="6"/>
      <c r="CL2199" s="6"/>
      <c r="CM2199" s="6"/>
      <c r="CN2199" s="6"/>
      <c r="CO2199" s="6"/>
      <c r="CP2199" s="6"/>
      <c r="CQ2199" s="6"/>
      <c r="CR2199" s="6"/>
      <c r="CS2199" s="6"/>
      <c r="CT2199" s="6"/>
      <c r="CU2199" s="6"/>
      <c r="CV2199" s="6"/>
      <c r="CW2199" s="6"/>
      <c r="CX2199" s="6"/>
      <c r="CY2199" s="6"/>
      <c r="CZ2199" s="6"/>
      <c r="DA2199" s="6"/>
      <c r="DB2199" s="6"/>
      <c r="DC2199" s="6"/>
      <c r="DD2199" s="6"/>
    </row>
    <row r="2200" spans="1:108" ht="12.75" hidden="1" customHeight="1" outlineLevel="5">
      <c r="A2200" s="104" t="s">
        <v>51</v>
      </c>
      <c r="B2200" s="28">
        <f t="shared" si="120"/>
        <v>1</v>
      </c>
      <c r="C2200" s="11"/>
      <c r="D2200" s="18" t="str">
        <f t="shared" si="121"/>
        <v>&lt;DisplayChildrenFlag&gt;1&lt;/DisplayChildrenFlag&gt;</v>
      </c>
      <c r="F2200" s="6"/>
      <c r="G2200" s="6"/>
      <c r="H2200" s="6"/>
      <c r="I2200" s="6"/>
      <c r="J2200" s="6"/>
      <c r="K2200" s="6"/>
      <c r="L2200" s="6"/>
      <c r="M2200" s="6"/>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c r="BU2200" s="6"/>
      <c r="BV2200" s="6"/>
      <c r="BW2200" s="6"/>
      <c r="BX2200" s="6"/>
      <c r="BY2200" s="6"/>
      <c r="BZ2200" s="6"/>
      <c r="CA2200" s="6"/>
      <c r="CB2200" s="6"/>
      <c r="CC2200" s="6"/>
      <c r="CD2200" s="6"/>
      <c r="CE2200" s="6"/>
      <c r="CF2200" s="6"/>
      <c r="CG2200" s="6"/>
      <c r="CH2200" s="6"/>
      <c r="CI2200" s="6"/>
      <c r="CJ2200" s="6"/>
      <c r="CK2200" s="6"/>
      <c r="CL2200" s="6"/>
      <c r="CM2200" s="6"/>
      <c r="CN2200" s="6"/>
      <c r="CO2200" s="6"/>
      <c r="CP2200" s="6"/>
      <c r="CQ2200" s="6"/>
      <c r="CR2200" s="6"/>
      <c r="CS2200" s="6"/>
      <c r="CT2200" s="6"/>
      <c r="CU2200" s="6"/>
      <c r="CV2200" s="6"/>
      <c r="CW2200" s="6"/>
      <c r="CX2200" s="6"/>
      <c r="CY2200" s="6"/>
      <c r="CZ2200" s="6"/>
      <c r="DA2200" s="6"/>
      <c r="DB2200" s="6"/>
      <c r="DC2200" s="6"/>
      <c r="DD2200" s="6"/>
    </row>
    <row r="2201" spans="1:108" ht="12.75" hidden="1" customHeight="1" outlineLevel="5">
      <c r="A2201" s="104" t="s">
        <v>52</v>
      </c>
      <c r="B2201" s="28">
        <f t="shared" si="120"/>
        <v>21</v>
      </c>
      <c r="C2201" s="11"/>
      <c r="D2201" s="18" t="str">
        <f t="shared" si="121"/>
        <v>&lt;NumPnts&gt;21&lt;/NumPnts&gt;</v>
      </c>
      <c r="F2201" s="6"/>
      <c r="G2201" s="6"/>
      <c r="H2201" s="6"/>
      <c r="I2201" s="6"/>
      <c r="J2201" s="6"/>
      <c r="K2201" s="6"/>
      <c r="L2201" s="6"/>
      <c r="M2201" s="6"/>
      <c r="N2201" s="6"/>
      <c r="O2201" s="6"/>
      <c r="P2201" s="6"/>
      <c r="Q2201" s="6"/>
      <c r="R2201" s="6"/>
      <c r="S2201" s="6"/>
      <c r="T2201" s="6"/>
      <c r="U2201" s="6"/>
      <c r="V2201" s="6"/>
      <c r="W2201" s="6"/>
      <c r="X2201" s="6"/>
      <c r="Y2201" s="6"/>
      <c r="Z2201" s="6"/>
      <c r="AA2201" s="6"/>
      <c r="AB2201" s="6"/>
      <c r="AC2201" s="6"/>
      <c r="AD2201" s="6"/>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c r="BU2201" s="6"/>
      <c r="BV2201" s="6"/>
      <c r="BW2201" s="6"/>
      <c r="BX2201" s="6"/>
      <c r="BY2201" s="6"/>
      <c r="BZ2201" s="6"/>
      <c r="CA2201" s="6"/>
      <c r="CB2201" s="6"/>
      <c r="CC2201" s="6"/>
      <c r="CD2201" s="6"/>
      <c r="CE2201" s="6"/>
      <c r="CF2201" s="6"/>
      <c r="CG2201" s="6"/>
      <c r="CH2201" s="6"/>
      <c r="CI2201" s="6"/>
      <c r="CJ2201" s="6"/>
      <c r="CK2201" s="6"/>
      <c r="CL2201" s="6"/>
      <c r="CM2201" s="6"/>
      <c r="CN2201" s="6"/>
      <c r="CO2201" s="6"/>
      <c r="CP2201" s="6"/>
      <c r="CQ2201" s="6"/>
      <c r="CR2201" s="6"/>
      <c r="CS2201" s="6"/>
      <c r="CT2201" s="6"/>
      <c r="CU2201" s="6"/>
      <c r="CV2201" s="6"/>
      <c r="CW2201" s="6"/>
      <c r="CX2201" s="6"/>
      <c r="CY2201" s="6"/>
      <c r="CZ2201" s="6"/>
      <c r="DA2201" s="6"/>
      <c r="DB2201" s="6"/>
      <c r="DC2201" s="6"/>
      <c r="DD2201" s="6"/>
    </row>
    <row r="2202" spans="1:108" ht="12.75" hidden="1" customHeight="1" outlineLevel="5">
      <c r="A2202" s="104" t="s">
        <v>53</v>
      </c>
      <c r="B2202" s="28">
        <f t="shared" si="120"/>
        <v>11</v>
      </c>
      <c r="C2202" s="11"/>
      <c r="D2202" s="18" t="str">
        <f t="shared" si="121"/>
        <v>&lt;NumXsecs&gt;11&lt;/NumXsecs&gt;</v>
      </c>
      <c r="F2202" s="6"/>
      <c r="G2202" s="6"/>
      <c r="H2202" s="6"/>
      <c r="I2202" s="6"/>
      <c r="J2202" s="6"/>
      <c r="K2202" s="6"/>
      <c r="L2202" s="6"/>
      <c r="M2202" s="6"/>
      <c r="N2202" s="6"/>
      <c r="O2202" s="6"/>
      <c r="P2202" s="6"/>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c r="BU2202" s="6"/>
      <c r="BV2202" s="6"/>
      <c r="BW2202" s="6"/>
      <c r="BX2202" s="6"/>
      <c r="BY2202" s="6"/>
      <c r="BZ2202" s="6"/>
      <c r="CA2202" s="6"/>
      <c r="CB2202" s="6"/>
      <c r="CC2202" s="6"/>
      <c r="CD2202" s="6"/>
      <c r="CE2202" s="6"/>
      <c r="CF2202" s="6"/>
      <c r="CG2202" s="6"/>
      <c r="CH2202" s="6"/>
      <c r="CI2202" s="6"/>
      <c r="CJ2202" s="6"/>
      <c r="CK2202" s="6"/>
      <c r="CL2202" s="6"/>
      <c r="CM2202" s="6"/>
      <c r="CN2202" s="6"/>
      <c r="CO2202" s="6"/>
      <c r="CP2202" s="6"/>
      <c r="CQ2202" s="6"/>
      <c r="CR2202" s="6"/>
      <c r="CS2202" s="6"/>
      <c r="CT2202" s="6"/>
      <c r="CU2202" s="6"/>
      <c r="CV2202" s="6"/>
      <c r="CW2202" s="6"/>
      <c r="CX2202" s="6"/>
      <c r="CY2202" s="6"/>
      <c r="CZ2202" s="6"/>
      <c r="DA2202" s="6"/>
      <c r="DB2202" s="6"/>
      <c r="DC2202" s="6"/>
      <c r="DD2202" s="6"/>
    </row>
    <row r="2203" spans="1:108" ht="12.75" hidden="1" customHeight="1" outlineLevel="5">
      <c r="A2203" s="104" t="s">
        <v>54</v>
      </c>
      <c r="B2203" s="28">
        <f t="shared" si="120"/>
        <v>0</v>
      </c>
      <c r="C2203" s="11"/>
      <c r="D2203" s="18" t="str">
        <f t="shared" si="121"/>
        <v>&lt;MassPrior&gt;0&lt;/MassPrior&gt;</v>
      </c>
      <c r="F2203" s="6"/>
      <c r="G2203" s="6"/>
      <c r="H2203" s="6"/>
      <c r="I2203" s="6"/>
      <c r="J2203" s="6"/>
      <c r="K2203" s="6"/>
      <c r="L2203" s="6"/>
      <c r="M2203" s="6"/>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c r="BU2203" s="6"/>
      <c r="BV2203" s="6"/>
      <c r="BW2203" s="6"/>
      <c r="BX2203" s="6"/>
      <c r="BY2203" s="6"/>
      <c r="BZ2203" s="6"/>
      <c r="CA2203" s="6"/>
      <c r="CB2203" s="6"/>
      <c r="CC2203" s="6"/>
      <c r="CD2203" s="6"/>
      <c r="CE2203" s="6"/>
      <c r="CF2203" s="6"/>
      <c r="CG2203" s="6"/>
      <c r="CH2203" s="6"/>
      <c r="CI2203" s="6"/>
      <c r="CJ2203" s="6"/>
      <c r="CK2203" s="6"/>
      <c r="CL2203" s="6"/>
      <c r="CM2203" s="6"/>
      <c r="CN2203" s="6"/>
      <c r="CO2203" s="6"/>
      <c r="CP2203" s="6"/>
      <c r="CQ2203" s="6"/>
      <c r="CR2203" s="6"/>
      <c r="CS2203" s="6"/>
      <c r="CT2203" s="6"/>
      <c r="CU2203" s="6"/>
      <c r="CV2203" s="6"/>
      <c r="CW2203" s="6"/>
      <c r="CX2203" s="6"/>
      <c r="CY2203" s="6"/>
      <c r="CZ2203" s="6"/>
      <c r="DA2203" s="6"/>
      <c r="DB2203" s="6"/>
      <c r="DC2203" s="6"/>
      <c r="DD2203" s="6"/>
    </row>
    <row r="2204" spans="1:108" ht="12.75" hidden="1" customHeight="1" outlineLevel="5">
      <c r="A2204" s="104" t="s">
        <v>55</v>
      </c>
      <c r="B2204" s="28">
        <f t="shared" si="120"/>
        <v>0</v>
      </c>
      <c r="C2204" s="11"/>
      <c r="D2204" s="18" t="str">
        <f t="shared" si="121"/>
        <v>&lt;ShellFlag&gt;0&lt;/ShellFlag&gt;</v>
      </c>
      <c r="F2204" s="6"/>
      <c r="G2204" s="6"/>
      <c r="H2204" s="6"/>
      <c r="I2204" s="6"/>
      <c r="J2204" s="6"/>
      <c r="K2204" s="6"/>
      <c r="L2204" s="6"/>
      <c r="M2204" s="6"/>
      <c r="N2204" s="6"/>
      <c r="O2204" s="6"/>
      <c r="P2204" s="6"/>
      <c r="Q2204" s="6"/>
      <c r="R2204" s="6"/>
      <c r="S2204" s="6"/>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c r="BU2204" s="6"/>
      <c r="BV2204" s="6"/>
      <c r="BW2204" s="6"/>
      <c r="BX2204" s="6"/>
      <c r="BY2204" s="6"/>
      <c r="BZ2204" s="6"/>
      <c r="CA2204" s="6"/>
      <c r="CB2204" s="6"/>
      <c r="CC2204" s="6"/>
      <c r="CD2204" s="6"/>
      <c r="CE2204" s="6"/>
      <c r="CF2204" s="6"/>
      <c r="CG2204" s="6"/>
      <c r="CH2204" s="6"/>
      <c r="CI2204" s="6"/>
      <c r="CJ2204" s="6"/>
      <c r="CK2204" s="6"/>
      <c r="CL2204" s="6"/>
      <c r="CM2204" s="6"/>
      <c r="CN2204" s="6"/>
      <c r="CO2204" s="6"/>
      <c r="CP2204" s="6"/>
      <c r="CQ2204" s="6"/>
      <c r="CR2204" s="6"/>
      <c r="CS2204" s="6"/>
      <c r="CT2204" s="6"/>
      <c r="CU2204" s="6"/>
      <c r="CV2204" s="6"/>
      <c r="CW2204" s="6"/>
      <c r="CX2204" s="6"/>
      <c r="CY2204" s="6"/>
      <c r="CZ2204" s="6"/>
      <c r="DA2204" s="6"/>
      <c r="DB2204" s="6"/>
      <c r="DC2204" s="6"/>
      <c r="DD2204" s="6"/>
    </row>
    <row r="2205" spans="1:108" ht="12.75" hidden="1" customHeight="1" outlineLevel="5">
      <c r="A2205" s="104" t="s">
        <v>56</v>
      </c>
      <c r="B2205" s="28">
        <f t="shared" si="120"/>
        <v>0</v>
      </c>
      <c r="C2205" s="11"/>
      <c r="D2205" s="18" t="str">
        <f t="shared" ref="D2205:D2219" si="122">"&lt;" &amp; A2205 &amp; "&gt;" &amp; TEXT(B2205,"0.000000") &amp; "&lt;/" &amp; A2205 &amp; "&gt;"</f>
        <v>&lt;Tran_X&gt;0.000000&lt;/Tran_X&gt;</v>
      </c>
      <c r="F2205" s="6"/>
      <c r="G2205" s="6"/>
      <c r="H2205" s="6"/>
      <c r="I2205" s="6"/>
      <c r="J2205" s="6"/>
      <c r="K2205" s="6"/>
      <c r="L2205" s="6"/>
      <c r="M2205" s="6"/>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c r="BU2205" s="6"/>
      <c r="BV2205" s="6"/>
      <c r="BW2205" s="6"/>
      <c r="BX2205" s="6"/>
      <c r="BY2205" s="6"/>
      <c r="BZ2205" s="6"/>
      <c r="CA2205" s="6"/>
      <c r="CB2205" s="6"/>
      <c r="CC2205" s="6"/>
      <c r="CD2205" s="6"/>
      <c r="CE2205" s="6"/>
      <c r="CF2205" s="6"/>
      <c r="CG2205" s="6"/>
      <c r="CH2205" s="6"/>
      <c r="CI2205" s="6"/>
      <c r="CJ2205" s="6"/>
      <c r="CK2205" s="6"/>
      <c r="CL2205" s="6"/>
      <c r="CM2205" s="6"/>
      <c r="CN2205" s="6"/>
      <c r="CO2205" s="6"/>
      <c r="CP2205" s="6"/>
      <c r="CQ2205" s="6"/>
      <c r="CR2205" s="6"/>
      <c r="CS2205" s="6"/>
      <c r="CT2205" s="6"/>
      <c r="CU2205" s="6"/>
      <c r="CV2205" s="6"/>
      <c r="CW2205" s="6"/>
      <c r="CX2205" s="6"/>
      <c r="CY2205" s="6"/>
      <c r="CZ2205" s="6"/>
      <c r="DA2205" s="6"/>
      <c r="DB2205" s="6"/>
      <c r="DC2205" s="6"/>
      <c r="DD2205" s="6"/>
    </row>
    <row r="2206" spans="1:108" ht="12.75" hidden="1" customHeight="1" outlineLevel="5">
      <c r="A2206" s="104" t="s">
        <v>57</v>
      </c>
      <c r="B2206" s="28">
        <f t="shared" si="120"/>
        <v>0</v>
      </c>
      <c r="C2206" s="11"/>
      <c r="D2206" s="18" t="str">
        <f t="shared" si="122"/>
        <v>&lt;Tran_Y&gt;0.000000&lt;/Tran_Y&gt;</v>
      </c>
      <c r="F2206" s="6"/>
      <c r="G2206" s="6"/>
      <c r="H2206" s="6"/>
      <c r="I2206" s="6"/>
      <c r="J2206" s="6"/>
      <c r="K2206" s="6"/>
      <c r="L2206" s="6"/>
      <c r="M2206" s="6"/>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c r="BU2206" s="6"/>
      <c r="BV2206" s="6"/>
      <c r="BW2206" s="6"/>
      <c r="BX2206" s="6"/>
      <c r="BY2206" s="6"/>
      <c r="BZ2206" s="6"/>
      <c r="CA2206" s="6"/>
      <c r="CB2206" s="6"/>
      <c r="CC2206" s="6"/>
      <c r="CD2206" s="6"/>
      <c r="CE2206" s="6"/>
      <c r="CF2206" s="6"/>
      <c r="CG2206" s="6"/>
      <c r="CH2206" s="6"/>
      <c r="CI2206" s="6"/>
      <c r="CJ2206" s="6"/>
      <c r="CK2206" s="6"/>
      <c r="CL2206" s="6"/>
      <c r="CM2206" s="6"/>
      <c r="CN2206" s="6"/>
      <c r="CO2206" s="6"/>
      <c r="CP2206" s="6"/>
      <c r="CQ2206" s="6"/>
      <c r="CR2206" s="6"/>
      <c r="CS2206" s="6"/>
      <c r="CT2206" s="6"/>
      <c r="CU2206" s="6"/>
      <c r="CV2206" s="6"/>
      <c r="CW2206" s="6"/>
      <c r="CX2206" s="6"/>
      <c r="CY2206" s="6"/>
      <c r="CZ2206" s="6"/>
      <c r="DA2206" s="6"/>
      <c r="DB2206" s="6"/>
      <c r="DC2206" s="6"/>
      <c r="DD2206" s="6"/>
    </row>
    <row r="2207" spans="1:108" ht="12.75" hidden="1" customHeight="1" outlineLevel="5">
      <c r="A2207" s="104" t="s">
        <v>58</v>
      </c>
      <c r="B2207" s="28">
        <f t="shared" si="120"/>
        <v>0</v>
      </c>
      <c r="C2207" s="11"/>
      <c r="D2207" s="18" t="str">
        <f t="shared" si="122"/>
        <v>&lt;Tran_Z&gt;0.000000&lt;/Tran_Z&gt;</v>
      </c>
      <c r="F2207" s="6"/>
      <c r="G2207" s="6"/>
      <c r="H2207" s="6"/>
      <c r="I2207" s="6"/>
      <c r="J2207" s="6"/>
      <c r="K2207" s="6"/>
      <c r="L2207" s="6"/>
      <c r="M2207" s="6"/>
      <c r="N2207" s="6"/>
      <c r="O2207" s="6"/>
      <c r="P2207" s="6"/>
      <c r="Q2207" s="6"/>
      <c r="R2207" s="6"/>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c r="BU2207" s="6"/>
      <c r="BV2207" s="6"/>
      <c r="BW2207" s="6"/>
      <c r="BX2207" s="6"/>
      <c r="BY2207" s="6"/>
      <c r="BZ2207" s="6"/>
      <c r="CA2207" s="6"/>
      <c r="CB2207" s="6"/>
      <c r="CC2207" s="6"/>
      <c r="CD2207" s="6"/>
      <c r="CE2207" s="6"/>
      <c r="CF2207" s="6"/>
      <c r="CG2207" s="6"/>
      <c r="CH2207" s="6"/>
      <c r="CI2207" s="6"/>
      <c r="CJ2207" s="6"/>
      <c r="CK2207" s="6"/>
      <c r="CL2207" s="6"/>
      <c r="CM2207" s="6"/>
      <c r="CN2207" s="6"/>
      <c r="CO2207" s="6"/>
      <c r="CP2207" s="6"/>
      <c r="CQ2207" s="6"/>
      <c r="CR2207" s="6"/>
      <c r="CS2207" s="6"/>
      <c r="CT2207" s="6"/>
      <c r="CU2207" s="6"/>
      <c r="CV2207" s="6"/>
      <c r="CW2207" s="6"/>
      <c r="CX2207" s="6"/>
      <c r="CY2207" s="6"/>
      <c r="CZ2207" s="6"/>
      <c r="DA2207" s="6"/>
      <c r="DB2207" s="6"/>
      <c r="DC2207" s="6"/>
      <c r="DD2207" s="6"/>
    </row>
    <row r="2208" spans="1:108" ht="12.75" hidden="1" customHeight="1" outlineLevel="5">
      <c r="A2208" s="104" t="s">
        <v>59</v>
      </c>
      <c r="B2208" s="28">
        <f t="shared" si="120"/>
        <v>0</v>
      </c>
      <c r="C2208" s="11"/>
      <c r="D2208" s="18" t="str">
        <f t="shared" si="122"/>
        <v>&lt;TranRel_X&gt;0.000000&lt;/TranRel_X&gt;</v>
      </c>
      <c r="F2208" s="6"/>
      <c r="G2208" s="6"/>
      <c r="H2208" s="6"/>
      <c r="I2208" s="6"/>
      <c r="J2208" s="6"/>
      <c r="K2208" s="6"/>
      <c r="L2208" s="6"/>
      <c r="M2208" s="6"/>
      <c r="N2208" s="6"/>
      <c r="O2208" s="6"/>
      <c r="P2208" s="6"/>
      <c r="Q2208" s="6"/>
      <c r="R2208" s="6"/>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c r="BU2208" s="6"/>
      <c r="BV2208" s="6"/>
      <c r="BW2208" s="6"/>
      <c r="BX2208" s="6"/>
      <c r="BY2208" s="6"/>
      <c r="BZ2208" s="6"/>
      <c r="CA2208" s="6"/>
      <c r="CB2208" s="6"/>
      <c r="CC2208" s="6"/>
      <c r="CD2208" s="6"/>
      <c r="CE2208" s="6"/>
      <c r="CF2208" s="6"/>
      <c r="CG2208" s="6"/>
      <c r="CH2208" s="6"/>
      <c r="CI2208" s="6"/>
      <c r="CJ2208" s="6"/>
      <c r="CK2208" s="6"/>
      <c r="CL2208" s="6"/>
      <c r="CM2208" s="6"/>
      <c r="CN2208" s="6"/>
      <c r="CO2208" s="6"/>
      <c r="CP2208" s="6"/>
      <c r="CQ2208" s="6"/>
      <c r="CR2208" s="6"/>
      <c r="CS2208" s="6"/>
      <c r="CT2208" s="6"/>
      <c r="CU2208" s="6"/>
      <c r="CV2208" s="6"/>
      <c r="CW2208" s="6"/>
      <c r="CX2208" s="6"/>
      <c r="CY2208" s="6"/>
      <c r="CZ2208" s="6"/>
      <c r="DA2208" s="6"/>
      <c r="DB2208" s="6"/>
      <c r="DC2208" s="6"/>
      <c r="DD2208" s="6"/>
    </row>
    <row r="2209" spans="1:108" ht="12.75" hidden="1" customHeight="1" outlineLevel="5">
      <c r="A2209" s="104" t="s">
        <v>60</v>
      </c>
      <c r="B2209" s="28">
        <f t="shared" si="120"/>
        <v>0</v>
      </c>
      <c r="C2209" s="11"/>
      <c r="D2209" s="18" t="str">
        <f t="shared" si="122"/>
        <v>&lt;TranRel_Y&gt;0.000000&lt;/TranRel_Y&gt;</v>
      </c>
      <c r="F2209" s="6"/>
      <c r="G2209" s="6"/>
      <c r="H2209" s="6"/>
      <c r="I2209" s="6"/>
      <c r="J2209" s="6"/>
      <c r="K2209" s="6"/>
      <c r="L2209" s="6"/>
      <c r="M2209" s="6"/>
      <c r="N2209" s="6"/>
      <c r="O2209" s="6"/>
      <c r="P2209" s="6"/>
      <c r="Q2209" s="6"/>
      <c r="R2209" s="6"/>
      <c r="S2209" s="6"/>
      <c r="T2209" s="6"/>
      <c r="U2209" s="6"/>
      <c r="V2209" s="6"/>
      <c r="W2209" s="6"/>
      <c r="X2209" s="6"/>
      <c r="Y2209" s="6"/>
      <c r="Z2209" s="6"/>
      <c r="AA2209" s="6"/>
      <c r="AB2209" s="6"/>
      <c r="AC2209" s="6"/>
      <c r="AD2209" s="6"/>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c r="BU2209" s="6"/>
      <c r="BV2209" s="6"/>
      <c r="BW2209" s="6"/>
      <c r="BX2209" s="6"/>
      <c r="BY2209" s="6"/>
      <c r="BZ2209" s="6"/>
      <c r="CA2209" s="6"/>
      <c r="CB2209" s="6"/>
      <c r="CC2209" s="6"/>
      <c r="CD2209" s="6"/>
      <c r="CE2209" s="6"/>
      <c r="CF2209" s="6"/>
      <c r="CG2209" s="6"/>
      <c r="CH2209" s="6"/>
      <c r="CI2209" s="6"/>
      <c r="CJ2209" s="6"/>
      <c r="CK2209" s="6"/>
      <c r="CL2209" s="6"/>
      <c r="CM2209" s="6"/>
      <c r="CN2209" s="6"/>
      <c r="CO2209" s="6"/>
      <c r="CP2209" s="6"/>
      <c r="CQ2209" s="6"/>
      <c r="CR2209" s="6"/>
      <c r="CS2209" s="6"/>
      <c r="CT2209" s="6"/>
      <c r="CU2209" s="6"/>
      <c r="CV2209" s="6"/>
      <c r="CW2209" s="6"/>
      <c r="CX2209" s="6"/>
      <c r="CY2209" s="6"/>
      <c r="CZ2209" s="6"/>
      <c r="DA2209" s="6"/>
      <c r="DB2209" s="6"/>
      <c r="DC2209" s="6"/>
      <c r="DD2209" s="6"/>
    </row>
    <row r="2210" spans="1:108" ht="12.75" hidden="1" customHeight="1" outlineLevel="5">
      <c r="A2210" s="104" t="s">
        <v>61</v>
      </c>
      <c r="B2210" s="28">
        <f t="shared" si="120"/>
        <v>0</v>
      </c>
      <c r="C2210" s="11"/>
      <c r="D2210" s="18" t="str">
        <f t="shared" si="122"/>
        <v>&lt;TranRel_Z&gt;0.000000&lt;/TranRel_Z&gt;</v>
      </c>
      <c r="F2210" s="6"/>
      <c r="G2210" s="6"/>
      <c r="H2210" s="6"/>
      <c r="I2210" s="6"/>
      <c r="J2210" s="6"/>
      <c r="K2210" s="6"/>
      <c r="L2210" s="6"/>
      <c r="M2210" s="6"/>
      <c r="N2210" s="6"/>
      <c r="O2210" s="6"/>
      <c r="P2210" s="6"/>
      <c r="Q2210" s="6"/>
      <c r="R2210" s="6"/>
      <c r="S2210" s="6"/>
      <c r="T2210" s="6"/>
      <c r="U2210" s="6"/>
      <c r="V2210" s="6"/>
      <c r="W2210" s="6"/>
      <c r="X2210" s="6"/>
      <c r="Y2210" s="6"/>
      <c r="Z2210" s="6"/>
      <c r="AA2210" s="6"/>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c r="BU2210" s="6"/>
      <c r="BV2210" s="6"/>
      <c r="BW2210" s="6"/>
      <c r="BX2210" s="6"/>
      <c r="BY2210" s="6"/>
      <c r="BZ2210" s="6"/>
      <c r="CA2210" s="6"/>
      <c r="CB2210" s="6"/>
      <c r="CC2210" s="6"/>
      <c r="CD2210" s="6"/>
      <c r="CE2210" s="6"/>
      <c r="CF2210" s="6"/>
      <c r="CG2210" s="6"/>
      <c r="CH2210" s="6"/>
      <c r="CI2210" s="6"/>
      <c r="CJ2210" s="6"/>
      <c r="CK2210" s="6"/>
      <c r="CL2210" s="6"/>
      <c r="CM2210" s="6"/>
      <c r="CN2210" s="6"/>
      <c r="CO2210" s="6"/>
      <c r="CP2210" s="6"/>
      <c r="CQ2210" s="6"/>
      <c r="CR2210" s="6"/>
      <c r="CS2210" s="6"/>
      <c r="CT2210" s="6"/>
      <c r="CU2210" s="6"/>
      <c r="CV2210" s="6"/>
      <c r="CW2210" s="6"/>
      <c r="CX2210" s="6"/>
      <c r="CY2210" s="6"/>
      <c r="CZ2210" s="6"/>
      <c r="DA2210" s="6"/>
      <c r="DB2210" s="6"/>
      <c r="DC2210" s="6"/>
      <c r="DD2210" s="6"/>
    </row>
    <row r="2211" spans="1:108" ht="12.75" hidden="1" customHeight="1" outlineLevel="5">
      <c r="A2211" s="104" t="s">
        <v>62</v>
      </c>
      <c r="B2211" s="28">
        <f t="shared" si="120"/>
        <v>0</v>
      </c>
      <c r="C2211" s="11"/>
      <c r="D2211" s="18" t="str">
        <f t="shared" si="122"/>
        <v>&lt;Rot_X&gt;0.000000&lt;/Rot_X&gt;</v>
      </c>
      <c r="F2211" s="6"/>
      <c r="G2211" s="6"/>
      <c r="H2211" s="6"/>
      <c r="I2211" s="6"/>
      <c r="J2211" s="6"/>
      <c r="K2211" s="6"/>
      <c r="L2211" s="6"/>
      <c r="M2211" s="6"/>
      <c r="N2211" s="6"/>
      <c r="O2211" s="6"/>
      <c r="P2211" s="6"/>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c r="BU2211" s="6"/>
      <c r="BV2211" s="6"/>
      <c r="BW2211" s="6"/>
      <c r="BX2211" s="6"/>
      <c r="BY2211" s="6"/>
      <c r="BZ2211" s="6"/>
      <c r="CA2211" s="6"/>
      <c r="CB2211" s="6"/>
      <c r="CC2211" s="6"/>
      <c r="CD2211" s="6"/>
      <c r="CE2211" s="6"/>
      <c r="CF2211" s="6"/>
      <c r="CG2211" s="6"/>
      <c r="CH2211" s="6"/>
      <c r="CI2211" s="6"/>
      <c r="CJ2211" s="6"/>
      <c r="CK2211" s="6"/>
      <c r="CL2211" s="6"/>
      <c r="CM2211" s="6"/>
      <c r="CN2211" s="6"/>
      <c r="CO2211" s="6"/>
      <c r="CP2211" s="6"/>
      <c r="CQ2211" s="6"/>
      <c r="CR2211" s="6"/>
      <c r="CS2211" s="6"/>
      <c r="CT2211" s="6"/>
      <c r="CU2211" s="6"/>
      <c r="CV2211" s="6"/>
      <c r="CW2211" s="6"/>
      <c r="CX2211" s="6"/>
      <c r="CY2211" s="6"/>
      <c r="CZ2211" s="6"/>
      <c r="DA2211" s="6"/>
      <c r="DB2211" s="6"/>
      <c r="DC2211" s="6"/>
      <c r="DD2211" s="6"/>
    </row>
    <row r="2212" spans="1:108" ht="12.75" hidden="1" customHeight="1" outlineLevel="5">
      <c r="A2212" s="104" t="s">
        <v>63</v>
      </c>
      <c r="B2212" s="28">
        <f t="shared" si="120"/>
        <v>0</v>
      </c>
      <c r="C2212" s="11"/>
      <c r="D2212" s="18" t="str">
        <f t="shared" si="122"/>
        <v>&lt;Rot_Y&gt;0.000000&lt;/Rot_Y&gt;</v>
      </c>
      <c r="F2212" s="6"/>
      <c r="G2212" s="6"/>
      <c r="H2212" s="6"/>
      <c r="I2212" s="6"/>
      <c r="J2212" s="6"/>
      <c r="K2212" s="6"/>
      <c r="L2212" s="6"/>
      <c r="M2212" s="6"/>
      <c r="N2212" s="6"/>
      <c r="O2212" s="6"/>
      <c r="P2212" s="6"/>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c r="BU2212" s="6"/>
      <c r="BV2212" s="6"/>
      <c r="BW2212" s="6"/>
      <c r="BX2212" s="6"/>
      <c r="BY2212" s="6"/>
      <c r="BZ2212" s="6"/>
      <c r="CA2212" s="6"/>
      <c r="CB2212" s="6"/>
      <c r="CC2212" s="6"/>
      <c r="CD2212" s="6"/>
      <c r="CE2212" s="6"/>
      <c r="CF2212" s="6"/>
      <c r="CG2212" s="6"/>
      <c r="CH2212" s="6"/>
      <c r="CI2212" s="6"/>
      <c r="CJ2212" s="6"/>
      <c r="CK2212" s="6"/>
      <c r="CL2212" s="6"/>
      <c r="CM2212" s="6"/>
      <c r="CN2212" s="6"/>
      <c r="CO2212" s="6"/>
      <c r="CP2212" s="6"/>
      <c r="CQ2212" s="6"/>
      <c r="CR2212" s="6"/>
      <c r="CS2212" s="6"/>
      <c r="CT2212" s="6"/>
      <c r="CU2212" s="6"/>
      <c r="CV2212" s="6"/>
      <c r="CW2212" s="6"/>
      <c r="CX2212" s="6"/>
      <c r="CY2212" s="6"/>
      <c r="CZ2212" s="6"/>
      <c r="DA2212" s="6"/>
      <c r="DB2212" s="6"/>
      <c r="DC2212" s="6"/>
      <c r="DD2212" s="6"/>
    </row>
    <row r="2213" spans="1:108" ht="12.75" hidden="1" customHeight="1" outlineLevel="5">
      <c r="A2213" s="104" t="s">
        <v>64</v>
      </c>
      <c r="B2213" s="28">
        <f t="shared" si="120"/>
        <v>0</v>
      </c>
      <c r="C2213" s="11"/>
      <c r="D2213" s="18" t="str">
        <f t="shared" si="122"/>
        <v>&lt;Rot_Z&gt;0.000000&lt;/Rot_Z&gt;</v>
      </c>
      <c r="F2213" s="6"/>
      <c r="G2213" s="6"/>
      <c r="H2213" s="6"/>
      <c r="I2213" s="6"/>
      <c r="J2213" s="6"/>
      <c r="K2213" s="6"/>
      <c r="L2213" s="6"/>
      <c r="M2213" s="6"/>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c r="BU2213" s="6"/>
      <c r="BV2213" s="6"/>
      <c r="BW2213" s="6"/>
      <c r="BX2213" s="6"/>
      <c r="BY2213" s="6"/>
      <c r="BZ2213" s="6"/>
      <c r="CA2213" s="6"/>
      <c r="CB2213" s="6"/>
      <c r="CC2213" s="6"/>
      <c r="CD2213" s="6"/>
      <c r="CE2213" s="6"/>
      <c r="CF2213" s="6"/>
      <c r="CG2213" s="6"/>
      <c r="CH2213" s="6"/>
      <c r="CI2213" s="6"/>
      <c r="CJ2213" s="6"/>
      <c r="CK2213" s="6"/>
      <c r="CL2213" s="6"/>
      <c r="CM2213" s="6"/>
      <c r="CN2213" s="6"/>
      <c r="CO2213" s="6"/>
      <c r="CP2213" s="6"/>
      <c r="CQ2213" s="6"/>
      <c r="CR2213" s="6"/>
      <c r="CS2213" s="6"/>
      <c r="CT2213" s="6"/>
      <c r="CU2213" s="6"/>
      <c r="CV2213" s="6"/>
      <c r="CW2213" s="6"/>
      <c r="CX2213" s="6"/>
      <c r="CY2213" s="6"/>
      <c r="CZ2213" s="6"/>
      <c r="DA2213" s="6"/>
      <c r="DB2213" s="6"/>
      <c r="DC2213" s="6"/>
      <c r="DD2213" s="6"/>
    </row>
    <row r="2214" spans="1:108" ht="12.75" hidden="1" customHeight="1" outlineLevel="5">
      <c r="A2214" s="104" t="s">
        <v>65</v>
      </c>
      <c r="B2214" s="28">
        <f t="shared" si="120"/>
        <v>0</v>
      </c>
      <c r="C2214" s="11"/>
      <c r="D2214" s="18" t="str">
        <f t="shared" si="122"/>
        <v>&lt;RotRel_X&gt;0.000000&lt;/RotRel_X&gt;</v>
      </c>
      <c r="F2214" s="6"/>
      <c r="G2214" s="6"/>
      <c r="H2214" s="6"/>
      <c r="I2214" s="6"/>
      <c r="J2214" s="6"/>
      <c r="K2214" s="6"/>
      <c r="L2214" s="6"/>
      <c r="M2214" s="6"/>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c r="BU2214" s="6"/>
      <c r="BV2214" s="6"/>
      <c r="BW2214" s="6"/>
      <c r="BX2214" s="6"/>
      <c r="BY2214" s="6"/>
      <c r="BZ2214" s="6"/>
      <c r="CA2214" s="6"/>
      <c r="CB2214" s="6"/>
      <c r="CC2214" s="6"/>
      <c r="CD2214" s="6"/>
      <c r="CE2214" s="6"/>
      <c r="CF2214" s="6"/>
      <c r="CG2214" s="6"/>
      <c r="CH2214" s="6"/>
      <c r="CI2214" s="6"/>
      <c r="CJ2214" s="6"/>
      <c r="CK2214" s="6"/>
      <c r="CL2214" s="6"/>
      <c r="CM2214" s="6"/>
      <c r="CN2214" s="6"/>
      <c r="CO2214" s="6"/>
      <c r="CP2214" s="6"/>
      <c r="CQ2214" s="6"/>
      <c r="CR2214" s="6"/>
      <c r="CS2214" s="6"/>
      <c r="CT2214" s="6"/>
      <c r="CU2214" s="6"/>
      <c r="CV2214" s="6"/>
      <c r="CW2214" s="6"/>
      <c r="CX2214" s="6"/>
      <c r="CY2214" s="6"/>
      <c r="CZ2214" s="6"/>
      <c r="DA2214" s="6"/>
      <c r="DB2214" s="6"/>
      <c r="DC2214" s="6"/>
      <c r="DD2214" s="6"/>
    </row>
    <row r="2215" spans="1:108" ht="12.75" hidden="1" customHeight="1" outlineLevel="5">
      <c r="A2215" s="104" t="s">
        <v>66</v>
      </c>
      <c r="B2215" s="28">
        <f t="shared" si="120"/>
        <v>0</v>
      </c>
      <c r="C2215" s="11"/>
      <c r="D2215" s="18" t="str">
        <f t="shared" si="122"/>
        <v>&lt;RotRel_Y&gt;0.000000&lt;/RotRel_Y&gt;</v>
      </c>
      <c r="F2215" s="6"/>
      <c r="G2215" s="6"/>
      <c r="H2215" s="6"/>
      <c r="I2215" s="6"/>
      <c r="J2215" s="6"/>
      <c r="K2215" s="6"/>
      <c r="L2215" s="6"/>
      <c r="M2215" s="6"/>
      <c r="N2215" s="6"/>
      <c r="O2215" s="6"/>
      <c r="P2215" s="6"/>
      <c r="Q2215" s="6"/>
      <c r="R2215" s="6"/>
      <c r="S2215" s="6"/>
      <c r="T2215" s="6"/>
      <c r="U2215" s="6"/>
      <c r="V2215" s="6"/>
      <c r="W2215" s="6"/>
      <c r="X2215" s="6"/>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c r="BU2215" s="6"/>
      <c r="BV2215" s="6"/>
      <c r="BW2215" s="6"/>
      <c r="BX2215" s="6"/>
      <c r="BY2215" s="6"/>
      <c r="BZ2215" s="6"/>
      <c r="CA2215" s="6"/>
      <c r="CB2215" s="6"/>
      <c r="CC2215" s="6"/>
      <c r="CD2215" s="6"/>
      <c r="CE2215" s="6"/>
      <c r="CF2215" s="6"/>
      <c r="CG2215" s="6"/>
      <c r="CH2215" s="6"/>
      <c r="CI2215" s="6"/>
      <c r="CJ2215" s="6"/>
      <c r="CK2215" s="6"/>
      <c r="CL2215" s="6"/>
      <c r="CM2215" s="6"/>
      <c r="CN2215" s="6"/>
      <c r="CO2215" s="6"/>
      <c r="CP2215" s="6"/>
      <c r="CQ2215" s="6"/>
      <c r="CR2215" s="6"/>
      <c r="CS2215" s="6"/>
      <c r="CT2215" s="6"/>
      <c r="CU2215" s="6"/>
      <c r="CV2215" s="6"/>
      <c r="CW2215" s="6"/>
      <c r="CX2215" s="6"/>
      <c r="CY2215" s="6"/>
      <c r="CZ2215" s="6"/>
      <c r="DA2215" s="6"/>
      <c r="DB2215" s="6"/>
      <c r="DC2215" s="6"/>
      <c r="DD2215" s="6"/>
    </row>
    <row r="2216" spans="1:108" ht="12.75" hidden="1" customHeight="1" outlineLevel="5">
      <c r="A2216" s="104" t="s">
        <v>67</v>
      </c>
      <c r="B2216" s="28">
        <f t="shared" si="120"/>
        <v>0</v>
      </c>
      <c r="C2216" s="11"/>
      <c r="D2216" s="18" t="str">
        <f t="shared" si="122"/>
        <v>&lt;RotRel_Z&gt;0.000000&lt;/RotRel_Z&gt;</v>
      </c>
      <c r="F2216" s="6"/>
      <c r="G2216" s="6"/>
      <c r="H2216" s="6"/>
      <c r="I2216" s="6"/>
      <c r="J2216" s="6"/>
      <c r="K2216" s="6"/>
      <c r="L2216" s="6"/>
      <c r="M2216" s="6"/>
      <c r="N2216" s="6"/>
      <c r="O2216" s="6"/>
      <c r="P2216" s="6"/>
      <c r="Q2216" s="6"/>
      <c r="R2216" s="6"/>
      <c r="S2216" s="6"/>
      <c r="T2216" s="6"/>
      <c r="U2216" s="6"/>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c r="BU2216" s="6"/>
      <c r="BV2216" s="6"/>
      <c r="BW2216" s="6"/>
      <c r="BX2216" s="6"/>
      <c r="BY2216" s="6"/>
      <c r="BZ2216" s="6"/>
      <c r="CA2216" s="6"/>
      <c r="CB2216" s="6"/>
      <c r="CC2216" s="6"/>
      <c r="CD2216" s="6"/>
      <c r="CE2216" s="6"/>
      <c r="CF2216" s="6"/>
      <c r="CG2216" s="6"/>
      <c r="CH2216" s="6"/>
      <c r="CI2216" s="6"/>
      <c r="CJ2216" s="6"/>
      <c r="CK2216" s="6"/>
      <c r="CL2216" s="6"/>
      <c r="CM2216" s="6"/>
      <c r="CN2216" s="6"/>
      <c r="CO2216" s="6"/>
      <c r="CP2216" s="6"/>
      <c r="CQ2216" s="6"/>
      <c r="CR2216" s="6"/>
      <c r="CS2216" s="6"/>
      <c r="CT2216" s="6"/>
      <c r="CU2216" s="6"/>
      <c r="CV2216" s="6"/>
      <c r="CW2216" s="6"/>
      <c r="CX2216" s="6"/>
      <c r="CY2216" s="6"/>
      <c r="CZ2216" s="6"/>
      <c r="DA2216" s="6"/>
      <c r="DB2216" s="6"/>
      <c r="DC2216" s="6"/>
      <c r="DD2216" s="6"/>
    </row>
    <row r="2217" spans="1:108" ht="12.75" hidden="1" customHeight="1" outlineLevel="5">
      <c r="A2217" s="104" t="s">
        <v>68</v>
      </c>
      <c r="B2217" s="28">
        <f t="shared" si="120"/>
        <v>0</v>
      </c>
      <c r="C2217" s="11"/>
      <c r="D2217" s="18" t="str">
        <f t="shared" si="122"/>
        <v>&lt;Origin&gt;0.000000&lt;/Origin&gt;</v>
      </c>
      <c r="F2217" s="6"/>
      <c r="G2217" s="6"/>
      <c r="H2217" s="6"/>
      <c r="I2217" s="6"/>
      <c r="J2217" s="6"/>
      <c r="K2217" s="6"/>
      <c r="L2217" s="6"/>
      <c r="M2217" s="6"/>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c r="BU2217" s="6"/>
      <c r="BV2217" s="6"/>
      <c r="BW2217" s="6"/>
      <c r="BX2217" s="6"/>
      <c r="BY2217" s="6"/>
      <c r="BZ2217" s="6"/>
      <c r="CA2217" s="6"/>
      <c r="CB2217" s="6"/>
      <c r="CC2217" s="6"/>
      <c r="CD2217" s="6"/>
      <c r="CE2217" s="6"/>
      <c r="CF2217" s="6"/>
      <c r="CG2217" s="6"/>
      <c r="CH2217" s="6"/>
      <c r="CI2217" s="6"/>
      <c r="CJ2217" s="6"/>
      <c r="CK2217" s="6"/>
      <c r="CL2217" s="6"/>
      <c r="CM2217" s="6"/>
      <c r="CN2217" s="6"/>
      <c r="CO2217" s="6"/>
      <c r="CP2217" s="6"/>
      <c r="CQ2217" s="6"/>
      <c r="CR2217" s="6"/>
      <c r="CS2217" s="6"/>
      <c r="CT2217" s="6"/>
      <c r="CU2217" s="6"/>
      <c r="CV2217" s="6"/>
      <c r="CW2217" s="6"/>
      <c r="CX2217" s="6"/>
      <c r="CY2217" s="6"/>
      <c r="CZ2217" s="6"/>
      <c r="DA2217" s="6"/>
      <c r="DB2217" s="6"/>
      <c r="DC2217" s="6"/>
      <c r="DD2217" s="6"/>
    </row>
    <row r="2218" spans="1:108" ht="12.75" hidden="1" customHeight="1" outlineLevel="5">
      <c r="A2218" s="104" t="s">
        <v>69</v>
      </c>
      <c r="B2218" s="28">
        <f t="shared" si="120"/>
        <v>1</v>
      </c>
      <c r="C2218" s="11"/>
      <c r="D2218" s="18" t="str">
        <f t="shared" si="122"/>
        <v>&lt;Density&gt;1.000000&lt;/Density&gt;</v>
      </c>
      <c r="F2218" s="6"/>
      <c r="G2218" s="6"/>
      <c r="H2218" s="6"/>
      <c r="I2218" s="6"/>
      <c r="J2218" s="6"/>
      <c r="K2218" s="6"/>
      <c r="L2218" s="6"/>
      <c r="M2218" s="6"/>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c r="BU2218" s="6"/>
      <c r="BV2218" s="6"/>
      <c r="BW2218" s="6"/>
      <c r="BX2218" s="6"/>
      <c r="BY2218" s="6"/>
      <c r="BZ2218" s="6"/>
      <c r="CA2218" s="6"/>
      <c r="CB2218" s="6"/>
      <c r="CC2218" s="6"/>
      <c r="CD2218" s="6"/>
      <c r="CE2218" s="6"/>
      <c r="CF2218" s="6"/>
      <c r="CG2218" s="6"/>
      <c r="CH2218" s="6"/>
      <c r="CI2218" s="6"/>
      <c r="CJ2218" s="6"/>
      <c r="CK2218" s="6"/>
      <c r="CL2218" s="6"/>
      <c r="CM2218" s="6"/>
      <c r="CN2218" s="6"/>
      <c r="CO2218" s="6"/>
      <c r="CP2218" s="6"/>
      <c r="CQ2218" s="6"/>
      <c r="CR2218" s="6"/>
      <c r="CS2218" s="6"/>
      <c r="CT2218" s="6"/>
      <c r="CU2218" s="6"/>
      <c r="CV2218" s="6"/>
      <c r="CW2218" s="6"/>
      <c r="CX2218" s="6"/>
      <c r="CY2218" s="6"/>
      <c r="CZ2218" s="6"/>
      <c r="DA2218" s="6"/>
      <c r="DB2218" s="6"/>
      <c r="DC2218" s="6"/>
      <c r="DD2218" s="6"/>
    </row>
    <row r="2219" spans="1:108" ht="12.75" hidden="1" customHeight="1" outlineLevel="5">
      <c r="A2219" s="104" t="s">
        <v>70</v>
      </c>
      <c r="B2219" s="28">
        <f t="shared" si="120"/>
        <v>1</v>
      </c>
      <c r="C2219" s="11"/>
      <c r="D2219" s="18" t="str">
        <f t="shared" si="122"/>
        <v>&lt;ShellMassArea&gt;1.000000&lt;/ShellMassArea&gt;</v>
      </c>
      <c r="F2219" s="6"/>
      <c r="G2219" s="6"/>
      <c r="H2219" s="6"/>
      <c r="I2219" s="6"/>
      <c r="J2219" s="6"/>
      <c r="K2219" s="6"/>
      <c r="L2219" s="6"/>
      <c r="M2219" s="6"/>
      <c r="N2219" s="6"/>
      <c r="O2219" s="6"/>
      <c r="P2219" s="6"/>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c r="BU2219" s="6"/>
      <c r="BV2219" s="6"/>
      <c r="BW2219" s="6"/>
      <c r="BX2219" s="6"/>
      <c r="BY2219" s="6"/>
      <c r="BZ2219" s="6"/>
      <c r="CA2219" s="6"/>
      <c r="CB2219" s="6"/>
      <c r="CC2219" s="6"/>
      <c r="CD2219" s="6"/>
      <c r="CE2219" s="6"/>
      <c r="CF2219" s="6"/>
      <c r="CG2219" s="6"/>
      <c r="CH2219" s="6"/>
      <c r="CI2219" s="6"/>
      <c r="CJ2219" s="6"/>
      <c r="CK2219" s="6"/>
      <c r="CL2219" s="6"/>
      <c r="CM2219" s="6"/>
      <c r="CN2219" s="6"/>
      <c r="CO2219" s="6"/>
      <c r="CP2219" s="6"/>
      <c r="CQ2219" s="6"/>
      <c r="CR2219" s="6"/>
      <c r="CS2219" s="6"/>
      <c r="CT2219" s="6"/>
      <c r="CU2219" s="6"/>
      <c r="CV2219" s="6"/>
      <c r="CW2219" s="6"/>
      <c r="CX2219" s="6"/>
      <c r="CY2219" s="6"/>
      <c r="CZ2219" s="6"/>
      <c r="DA2219" s="6"/>
      <c r="DB2219" s="6"/>
      <c r="DC2219" s="6"/>
      <c r="DD2219" s="6"/>
    </row>
    <row r="2220" spans="1:108" ht="12.75" hidden="1" customHeight="1" outlineLevel="5">
      <c r="A2220" s="104" t="s">
        <v>71</v>
      </c>
      <c r="B2220" s="28">
        <f t="shared" si="120"/>
        <v>0</v>
      </c>
      <c r="C2220" s="11"/>
      <c r="D2220" s="18" t="str">
        <f>"&lt;" &amp; A2220 &amp; "&gt;" &amp; TEXT(B2220,0) &amp; "&lt;/" &amp; A2220 &amp; "&gt;"</f>
        <v>&lt;RefFlag&gt;0&lt;/RefFlag&gt;</v>
      </c>
      <c r="F2220" s="6"/>
      <c r="G2220" s="6"/>
      <c r="H2220" s="6"/>
      <c r="I2220" s="6"/>
      <c r="J2220" s="6"/>
      <c r="K2220" s="6"/>
      <c r="L2220" s="6"/>
      <c r="M2220" s="6"/>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c r="BU2220" s="6"/>
      <c r="BV2220" s="6"/>
      <c r="BW2220" s="6"/>
      <c r="BX2220" s="6"/>
      <c r="BY2220" s="6"/>
      <c r="BZ2220" s="6"/>
      <c r="CA2220" s="6"/>
      <c r="CB2220" s="6"/>
      <c r="CC2220" s="6"/>
      <c r="CD2220" s="6"/>
      <c r="CE2220" s="6"/>
      <c r="CF2220" s="6"/>
      <c r="CG2220" s="6"/>
      <c r="CH2220" s="6"/>
      <c r="CI2220" s="6"/>
      <c r="CJ2220" s="6"/>
      <c r="CK2220" s="6"/>
      <c r="CL2220" s="6"/>
      <c r="CM2220" s="6"/>
      <c r="CN2220" s="6"/>
      <c r="CO2220" s="6"/>
      <c r="CP2220" s="6"/>
      <c r="CQ2220" s="6"/>
      <c r="CR2220" s="6"/>
      <c r="CS2220" s="6"/>
      <c r="CT2220" s="6"/>
      <c r="CU2220" s="6"/>
      <c r="CV2220" s="6"/>
      <c r="CW2220" s="6"/>
      <c r="CX2220" s="6"/>
      <c r="CY2220" s="6"/>
      <c r="CZ2220" s="6"/>
      <c r="DA2220" s="6"/>
      <c r="DB2220" s="6"/>
      <c r="DC2220" s="6"/>
      <c r="DD2220" s="6"/>
    </row>
    <row r="2221" spans="1:108" ht="12.75" hidden="1" customHeight="1" outlineLevel="5">
      <c r="A2221" s="104" t="s">
        <v>72</v>
      </c>
      <c r="B2221" s="28">
        <f t="shared" si="120"/>
        <v>100</v>
      </c>
      <c r="C2221" s="11"/>
      <c r="D2221" s="18" t="str">
        <f>"&lt;" &amp; A2221 &amp; "&gt;" &amp; TEXT(B2221,"0.000000") &amp; "&lt;/" &amp; A2221 &amp; "&gt;"</f>
        <v>&lt;RefArea&gt;100.000000&lt;/RefArea&gt;</v>
      </c>
      <c r="F2221" s="6"/>
      <c r="G2221" s="6"/>
      <c r="H2221" s="6"/>
      <c r="I2221" s="6"/>
      <c r="J2221" s="6"/>
      <c r="K2221" s="6"/>
      <c r="L2221" s="6"/>
      <c r="M2221" s="6"/>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c r="BU2221" s="6"/>
      <c r="BV2221" s="6"/>
      <c r="BW2221" s="6"/>
      <c r="BX2221" s="6"/>
      <c r="BY2221" s="6"/>
      <c r="BZ2221" s="6"/>
      <c r="CA2221" s="6"/>
      <c r="CB2221" s="6"/>
      <c r="CC2221" s="6"/>
      <c r="CD2221" s="6"/>
      <c r="CE2221" s="6"/>
      <c r="CF2221" s="6"/>
      <c r="CG2221" s="6"/>
      <c r="CH2221" s="6"/>
      <c r="CI2221" s="6"/>
      <c r="CJ2221" s="6"/>
      <c r="CK2221" s="6"/>
      <c r="CL2221" s="6"/>
      <c r="CM2221" s="6"/>
      <c r="CN2221" s="6"/>
      <c r="CO2221" s="6"/>
      <c r="CP2221" s="6"/>
      <c r="CQ2221" s="6"/>
      <c r="CR2221" s="6"/>
      <c r="CS2221" s="6"/>
      <c r="CT2221" s="6"/>
      <c r="CU2221" s="6"/>
      <c r="CV2221" s="6"/>
      <c r="CW2221" s="6"/>
      <c r="CX2221" s="6"/>
      <c r="CY2221" s="6"/>
      <c r="CZ2221" s="6"/>
      <c r="DA2221" s="6"/>
      <c r="DB2221" s="6"/>
      <c r="DC2221" s="6"/>
      <c r="DD2221" s="6"/>
    </row>
    <row r="2222" spans="1:108" ht="12.75" hidden="1" customHeight="1" outlineLevel="5">
      <c r="A2222" s="104" t="s">
        <v>73</v>
      </c>
      <c r="B2222" s="28">
        <f t="shared" si="120"/>
        <v>10</v>
      </c>
      <c r="C2222" s="11"/>
      <c r="D2222" s="18" t="str">
        <f>"&lt;" &amp; A2222 &amp; "&gt;" &amp; TEXT(B2222,"0.000000") &amp; "&lt;/" &amp; A2222 &amp; "&gt;"</f>
        <v>&lt;RefSpan&gt;10.000000&lt;/RefSpan&gt;</v>
      </c>
      <c r="F2222" s="6"/>
      <c r="G2222" s="6"/>
      <c r="H2222" s="6"/>
      <c r="I2222" s="6"/>
      <c r="J2222" s="6"/>
      <c r="K2222" s="6"/>
      <c r="L2222" s="6"/>
      <c r="M2222" s="6"/>
      <c r="N2222" s="6"/>
      <c r="O2222" s="6"/>
      <c r="P2222" s="6"/>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c r="BU2222" s="6"/>
      <c r="BV2222" s="6"/>
      <c r="BW2222" s="6"/>
      <c r="BX2222" s="6"/>
      <c r="BY2222" s="6"/>
      <c r="BZ2222" s="6"/>
      <c r="CA2222" s="6"/>
      <c r="CB2222" s="6"/>
      <c r="CC2222" s="6"/>
      <c r="CD2222" s="6"/>
      <c r="CE2222" s="6"/>
      <c r="CF2222" s="6"/>
      <c r="CG2222" s="6"/>
      <c r="CH2222" s="6"/>
      <c r="CI2222" s="6"/>
      <c r="CJ2222" s="6"/>
      <c r="CK2222" s="6"/>
      <c r="CL2222" s="6"/>
      <c r="CM2222" s="6"/>
      <c r="CN2222" s="6"/>
      <c r="CO2222" s="6"/>
      <c r="CP2222" s="6"/>
      <c r="CQ2222" s="6"/>
      <c r="CR2222" s="6"/>
      <c r="CS2222" s="6"/>
      <c r="CT2222" s="6"/>
      <c r="CU2222" s="6"/>
      <c r="CV2222" s="6"/>
      <c r="CW2222" s="6"/>
      <c r="CX2222" s="6"/>
      <c r="CY2222" s="6"/>
      <c r="CZ2222" s="6"/>
      <c r="DA2222" s="6"/>
      <c r="DB2222" s="6"/>
      <c r="DC2222" s="6"/>
      <c r="DD2222" s="6"/>
    </row>
    <row r="2223" spans="1:108" ht="12.75" hidden="1" customHeight="1" outlineLevel="5">
      <c r="A2223" s="104" t="s">
        <v>74</v>
      </c>
      <c r="B2223" s="28">
        <f t="shared" si="120"/>
        <v>1</v>
      </c>
      <c r="C2223" s="11"/>
      <c r="D2223" s="18" t="str">
        <f>"&lt;" &amp; A2223 &amp; "&gt;" &amp; TEXT(B2223,"0.000000") &amp; "&lt;/" &amp; A2223 &amp; "&gt;"</f>
        <v>&lt;RefCbar&gt;1.000000&lt;/RefCbar&gt;</v>
      </c>
      <c r="F2223" s="6"/>
      <c r="G2223" s="6"/>
      <c r="H2223" s="6"/>
      <c r="I2223" s="6"/>
      <c r="J2223" s="6"/>
      <c r="K2223" s="6"/>
      <c r="L2223" s="6"/>
      <c r="M2223" s="6"/>
      <c r="N2223" s="6"/>
      <c r="O2223" s="6"/>
      <c r="P2223" s="6"/>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c r="BU2223" s="6"/>
      <c r="BV2223" s="6"/>
      <c r="BW2223" s="6"/>
      <c r="BX2223" s="6"/>
      <c r="BY2223" s="6"/>
      <c r="BZ2223" s="6"/>
      <c r="CA2223" s="6"/>
      <c r="CB2223" s="6"/>
      <c r="CC2223" s="6"/>
      <c r="CD2223" s="6"/>
      <c r="CE2223" s="6"/>
      <c r="CF2223" s="6"/>
      <c r="CG2223" s="6"/>
      <c r="CH2223" s="6"/>
      <c r="CI2223" s="6"/>
      <c r="CJ2223" s="6"/>
      <c r="CK2223" s="6"/>
      <c r="CL2223" s="6"/>
      <c r="CM2223" s="6"/>
      <c r="CN2223" s="6"/>
      <c r="CO2223" s="6"/>
      <c r="CP2223" s="6"/>
      <c r="CQ2223" s="6"/>
      <c r="CR2223" s="6"/>
      <c r="CS2223" s="6"/>
      <c r="CT2223" s="6"/>
      <c r="CU2223" s="6"/>
      <c r="CV2223" s="6"/>
      <c r="CW2223" s="6"/>
      <c r="CX2223" s="6"/>
      <c r="CY2223" s="6"/>
      <c r="CZ2223" s="6"/>
      <c r="DA2223" s="6"/>
      <c r="DB2223" s="6"/>
      <c r="DC2223" s="6"/>
      <c r="DD2223" s="6"/>
    </row>
    <row r="2224" spans="1:108" ht="12.75" hidden="1" customHeight="1" outlineLevel="5">
      <c r="A2224" s="104" t="s">
        <v>75</v>
      </c>
      <c r="B2224" s="28">
        <f t="shared" si="120"/>
        <v>1</v>
      </c>
      <c r="C2224" s="11"/>
      <c r="D2224" s="18" t="str">
        <f>"&lt;" &amp; A2224 &amp; "&gt;" &amp; TEXT(B2224,0) &amp; "&lt;/" &amp; A2224 &amp; "&gt;"</f>
        <v>&lt;AutoRefAreaFlag&gt;1&lt;/AutoRefAreaFlag&gt;</v>
      </c>
      <c r="F2224" s="6"/>
      <c r="G2224" s="6"/>
      <c r="H2224" s="6"/>
      <c r="I2224" s="6"/>
      <c r="J2224" s="6"/>
      <c r="K2224" s="6"/>
      <c r="L2224" s="6"/>
      <c r="M2224" s="6"/>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c r="BU2224" s="6"/>
      <c r="BV2224" s="6"/>
      <c r="BW2224" s="6"/>
      <c r="BX2224" s="6"/>
      <c r="BY2224" s="6"/>
      <c r="BZ2224" s="6"/>
      <c r="CA2224" s="6"/>
      <c r="CB2224" s="6"/>
      <c r="CC2224" s="6"/>
      <c r="CD2224" s="6"/>
      <c r="CE2224" s="6"/>
      <c r="CF2224" s="6"/>
      <c r="CG2224" s="6"/>
      <c r="CH2224" s="6"/>
      <c r="CI2224" s="6"/>
      <c r="CJ2224" s="6"/>
      <c r="CK2224" s="6"/>
      <c r="CL2224" s="6"/>
      <c r="CM2224" s="6"/>
      <c r="CN2224" s="6"/>
      <c r="CO2224" s="6"/>
      <c r="CP2224" s="6"/>
      <c r="CQ2224" s="6"/>
      <c r="CR2224" s="6"/>
      <c r="CS2224" s="6"/>
      <c r="CT2224" s="6"/>
      <c r="CU2224" s="6"/>
      <c r="CV2224" s="6"/>
      <c r="CW2224" s="6"/>
      <c r="CX2224" s="6"/>
      <c r="CY2224" s="6"/>
      <c r="CZ2224" s="6"/>
      <c r="DA2224" s="6"/>
      <c r="DB2224" s="6"/>
      <c r="DC2224" s="6"/>
      <c r="DD2224" s="6"/>
    </row>
    <row r="2225" spans="1:108" ht="12.75" hidden="1" customHeight="1" outlineLevel="5">
      <c r="A2225" s="104" t="s">
        <v>76</v>
      </c>
      <c r="B2225" s="28">
        <f t="shared" si="120"/>
        <v>1</v>
      </c>
      <c r="C2225" s="11"/>
      <c r="D2225" s="18" t="str">
        <f>"&lt;" &amp; A2225 &amp; "&gt;" &amp; TEXT(B2225,0) &amp; "&lt;/" &amp; A2225 &amp; "&gt;"</f>
        <v>&lt;AutoRefSpanFlag&gt;1&lt;/AutoRefSpanFlag&gt;</v>
      </c>
      <c r="F2225" s="6"/>
      <c r="G2225" s="6"/>
      <c r="H2225" s="6"/>
      <c r="I2225" s="6"/>
      <c r="J2225" s="6"/>
      <c r="K2225" s="6"/>
      <c r="L2225" s="6"/>
      <c r="M2225" s="6"/>
      <c r="N2225" s="6"/>
      <c r="O2225" s="6"/>
      <c r="P2225" s="6"/>
      <c r="Q2225" s="6"/>
      <c r="R2225" s="6"/>
      <c r="S2225" s="6"/>
      <c r="T2225" s="6"/>
      <c r="U2225" s="6"/>
      <c r="V2225" s="6"/>
      <c r="W2225" s="6"/>
      <c r="X2225" s="6"/>
      <c r="Y2225" s="6"/>
      <c r="Z2225" s="6"/>
      <c r="AA2225" s="6"/>
      <c r="AB2225" s="6"/>
      <c r="AC2225" s="6"/>
      <c r="AD2225" s="6"/>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c r="BU2225" s="6"/>
      <c r="BV2225" s="6"/>
      <c r="BW2225" s="6"/>
      <c r="BX2225" s="6"/>
      <c r="BY2225" s="6"/>
      <c r="BZ2225" s="6"/>
      <c r="CA2225" s="6"/>
      <c r="CB2225" s="6"/>
      <c r="CC2225" s="6"/>
      <c r="CD2225" s="6"/>
      <c r="CE2225" s="6"/>
      <c r="CF2225" s="6"/>
      <c r="CG2225" s="6"/>
      <c r="CH2225" s="6"/>
      <c r="CI2225" s="6"/>
      <c r="CJ2225" s="6"/>
      <c r="CK2225" s="6"/>
      <c r="CL2225" s="6"/>
      <c r="CM2225" s="6"/>
      <c r="CN2225" s="6"/>
      <c r="CO2225" s="6"/>
      <c r="CP2225" s="6"/>
      <c r="CQ2225" s="6"/>
      <c r="CR2225" s="6"/>
      <c r="CS2225" s="6"/>
      <c r="CT2225" s="6"/>
      <c r="CU2225" s="6"/>
      <c r="CV2225" s="6"/>
      <c r="CW2225" s="6"/>
      <c r="CX2225" s="6"/>
      <c r="CY2225" s="6"/>
      <c r="CZ2225" s="6"/>
      <c r="DA2225" s="6"/>
      <c r="DB2225" s="6"/>
      <c r="DC2225" s="6"/>
      <c r="DD2225" s="6"/>
    </row>
    <row r="2226" spans="1:108" ht="12.75" hidden="1" customHeight="1" outlineLevel="5">
      <c r="A2226" s="104" t="s">
        <v>77</v>
      </c>
      <c r="B2226" s="28">
        <f t="shared" si="120"/>
        <v>1</v>
      </c>
      <c r="C2226" s="11"/>
      <c r="D2226" s="18" t="str">
        <f>"&lt;" &amp; A2226 &amp; "&gt;" &amp; TEXT(B2226,0) &amp; "&lt;/" &amp; A2226 &amp; "&gt;"</f>
        <v>&lt;AutoRefCbarFlag&gt;1&lt;/AutoRefCbarFlag&gt;</v>
      </c>
      <c r="F2226" s="6"/>
      <c r="G2226" s="6"/>
      <c r="H2226" s="6"/>
      <c r="I2226" s="6"/>
      <c r="J2226" s="6"/>
      <c r="K2226" s="6"/>
      <c r="L2226" s="6"/>
      <c r="M2226" s="6"/>
      <c r="N2226" s="6"/>
      <c r="O2226" s="6"/>
      <c r="P2226" s="6"/>
      <c r="Q2226" s="6"/>
      <c r="R2226" s="6"/>
      <c r="S2226" s="6"/>
      <c r="T2226" s="6"/>
      <c r="U2226" s="6"/>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c r="BU2226" s="6"/>
      <c r="BV2226" s="6"/>
      <c r="BW2226" s="6"/>
      <c r="BX2226" s="6"/>
      <c r="BY2226" s="6"/>
      <c r="BZ2226" s="6"/>
      <c r="CA2226" s="6"/>
      <c r="CB2226" s="6"/>
      <c r="CC2226" s="6"/>
      <c r="CD2226" s="6"/>
      <c r="CE2226" s="6"/>
      <c r="CF2226" s="6"/>
      <c r="CG2226" s="6"/>
      <c r="CH2226" s="6"/>
      <c r="CI2226" s="6"/>
      <c r="CJ2226" s="6"/>
      <c r="CK2226" s="6"/>
      <c r="CL2226" s="6"/>
      <c r="CM2226" s="6"/>
      <c r="CN2226" s="6"/>
      <c r="CO2226" s="6"/>
      <c r="CP2226" s="6"/>
      <c r="CQ2226" s="6"/>
      <c r="CR2226" s="6"/>
      <c r="CS2226" s="6"/>
      <c r="CT2226" s="6"/>
      <c r="CU2226" s="6"/>
      <c r="CV2226" s="6"/>
      <c r="CW2226" s="6"/>
      <c r="CX2226" s="6"/>
      <c r="CY2226" s="6"/>
      <c r="CZ2226" s="6"/>
      <c r="DA2226" s="6"/>
      <c r="DB2226" s="6"/>
      <c r="DC2226" s="6"/>
      <c r="DD2226" s="6"/>
    </row>
    <row r="2227" spans="1:108" ht="12.75" hidden="1" customHeight="1" outlineLevel="5">
      <c r="A2227" s="104" t="s">
        <v>78</v>
      </c>
      <c r="B2227" s="28">
        <f t="shared" si="120"/>
        <v>0</v>
      </c>
      <c r="C2227" s="11"/>
      <c r="D2227" s="18" t="str">
        <f>"&lt;" &amp; A2227 &amp; "&gt;" &amp; TEXT(B2227,"0.000000") &amp; "&lt;/" &amp; A2227 &amp; "&gt;"</f>
        <v>&lt;AeroCenter_X&gt;0.000000&lt;/AeroCenter_X&gt;</v>
      </c>
      <c r="F2227" s="6"/>
      <c r="G2227" s="6"/>
      <c r="H2227" s="6"/>
      <c r="I2227" s="6"/>
      <c r="J2227" s="6"/>
      <c r="K2227" s="6"/>
      <c r="L2227" s="6"/>
      <c r="M2227" s="6"/>
      <c r="N2227" s="6"/>
      <c r="O2227" s="6"/>
      <c r="P2227" s="6"/>
      <c r="Q2227" s="6"/>
      <c r="R2227" s="6"/>
      <c r="S2227" s="6"/>
      <c r="T2227" s="6"/>
      <c r="U2227" s="6"/>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c r="BU2227" s="6"/>
      <c r="BV2227" s="6"/>
      <c r="BW2227" s="6"/>
      <c r="BX2227" s="6"/>
      <c r="BY2227" s="6"/>
      <c r="BZ2227" s="6"/>
      <c r="CA2227" s="6"/>
      <c r="CB2227" s="6"/>
      <c r="CC2227" s="6"/>
      <c r="CD2227" s="6"/>
      <c r="CE2227" s="6"/>
      <c r="CF2227" s="6"/>
      <c r="CG2227" s="6"/>
      <c r="CH2227" s="6"/>
      <c r="CI2227" s="6"/>
      <c r="CJ2227" s="6"/>
      <c r="CK2227" s="6"/>
      <c r="CL2227" s="6"/>
      <c r="CM2227" s="6"/>
      <c r="CN2227" s="6"/>
      <c r="CO2227" s="6"/>
      <c r="CP2227" s="6"/>
      <c r="CQ2227" s="6"/>
      <c r="CR2227" s="6"/>
      <c r="CS2227" s="6"/>
      <c r="CT2227" s="6"/>
      <c r="CU2227" s="6"/>
      <c r="CV2227" s="6"/>
      <c r="CW2227" s="6"/>
      <c r="CX2227" s="6"/>
      <c r="CY2227" s="6"/>
      <c r="CZ2227" s="6"/>
      <c r="DA2227" s="6"/>
      <c r="DB2227" s="6"/>
      <c r="DC2227" s="6"/>
      <c r="DD2227" s="6"/>
    </row>
    <row r="2228" spans="1:108" ht="12.75" hidden="1" customHeight="1" outlineLevel="5">
      <c r="A2228" s="104" t="s">
        <v>79</v>
      </c>
      <c r="B2228" s="28">
        <f t="shared" si="120"/>
        <v>0</v>
      </c>
      <c r="C2228" s="11"/>
      <c r="D2228" s="18" t="str">
        <f>"&lt;" &amp; A2228 &amp; "&gt;" &amp; TEXT(B2228,"0.000000") &amp; "&lt;/" &amp; A2228 &amp; "&gt;"</f>
        <v>&lt;AeroCenter_Y&gt;0.000000&lt;/AeroCenter_Y&gt;</v>
      </c>
      <c r="F2228" s="6"/>
      <c r="G2228" s="6"/>
      <c r="H2228" s="6"/>
      <c r="I2228" s="6"/>
      <c r="J2228" s="6"/>
      <c r="K2228" s="6"/>
      <c r="L2228" s="6"/>
      <c r="M2228" s="6"/>
      <c r="N2228" s="6"/>
      <c r="O2228" s="6"/>
      <c r="P2228" s="6"/>
      <c r="Q2228" s="6"/>
      <c r="R2228" s="6"/>
      <c r="S2228" s="6"/>
      <c r="T2228" s="6"/>
      <c r="U2228" s="6"/>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c r="BU2228" s="6"/>
      <c r="BV2228" s="6"/>
      <c r="BW2228" s="6"/>
      <c r="BX2228" s="6"/>
      <c r="BY2228" s="6"/>
      <c r="BZ2228" s="6"/>
      <c r="CA2228" s="6"/>
      <c r="CB2228" s="6"/>
      <c r="CC2228" s="6"/>
      <c r="CD2228" s="6"/>
      <c r="CE2228" s="6"/>
      <c r="CF2228" s="6"/>
      <c r="CG2228" s="6"/>
      <c r="CH2228" s="6"/>
      <c r="CI2228" s="6"/>
      <c r="CJ2228" s="6"/>
      <c r="CK2228" s="6"/>
      <c r="CL2228" s="6"/>
      <c r="CM2228" s="6"/>
      <c r="CN2228" s="6"/>
      <c r="CO2228" s="6"/>
      <c r="CP2228" s="6"/>
      <c r="CQ2228" s="6"/>
      <c r="CR2228" s="6"/>
      <c r="CS2228" s="6"/>
      <c r="CT2228" s="6"/>
      <c r="CU2228" s="6"/>
      <c r="CV2228" s="6"/>
      <c r="CW2228" s="6"/>
      <c r="CX2228" s="6"/>
      <c r="CY2228" s="6"/>
      <c r="CZ2228" s="6"/>
      <c r="DA2228" s="6"/>
      <c r="DB2228" s="6"/>
      <c r="DC2228" s="6"/>
      <c r="DD2228" s="6"/>
    </row>
    <row r="2229" spans="1:108" ht="12.75" hidden="1" customHeight="1" outlineLevel="5">
      <c r="A2229" s="104" t="s">
        <v>80</v>
      </c>
      <c r="B2229" s="28">
        <f t="shared" si="120"/>
        <v>0</v>
      </c>
      <c r="C2229" s="11"/>
      <c r="D2229" s="18" t="str">
        <f>"&lt;" &amp; A2229 &amp; "&gt;" &amp; TEXT(B2229,"0.000000") &amp; "&lt;/" &amp; A2229 &amp; "&gt;"</f>
        <v>&lt;AeroCenter_Z&gt;0.000000&lt;/AeroCenter_Z&gt;</v>
      </c>
      <c r="F2229" s="6"/>
      <c r="G2229" s="6"/>
      <c r="H2229" s="6"/>
      <c r="I2229" s="6"/>
      <c r="J2229" s="6"/>
      <c r="K2229" s="6"/>
      <c r="L2229" s="6"/>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c r="BU2229" s="6"/>
      <c r="BV2229" s="6"/>
      <c r="BW2229" s="6"/>
      <c r="BX2229" s="6"/>
      <c r="BY2229" s="6"/>
      <c r="BZ2229" s="6"/>
      <c r="CA2229" s="6"/>
      <c r="CB2229" s="6"/>
      <c r="CC2229" s="6"/>
      <c r="CD2229" s="6"/>
      <c r="CE2229" s="6"/>
      <c r="CF2229" s="6"/>
      <c r="CG2229" s="6"/>
      <c r="CH2229" s="6"/>
      <c r="CI2229" s="6"/>
      <c r="CJ2229" s="6"/>
      <c r="CK2229" s="6"/>
      <c r="CL2229" s="6"/>
      <c r="CM2229" s="6"/>
      <c r="CN2229" s="6"/>
      <c r="CO2229" s="6"/>
      <c r="CP2229" s="6"/>
      <c r="CQ2229" s="6"/>
      <c r="CR2229" s="6"/>
      <c r="CS2229" s="6"/>
      <c r="CT2229" s="6"/>
      <c r="CU2229" s="6"/>
      <c r="CV2229" s="6"/>
      <c r="CW2229" s="6"/>
      <c r="CX2229" s="6"/>
      <c r="CY2229" s="6"/>
      <c r="CZ2229" s="6"/>
      <c r="DA2229" s="6"/>
      <c r="DB2229" s="6"/>
      <c r="DC2229" s="6"/>
      <c r="DD2229" s="6"/>
    </row>
    <row r="2230" spans="1:108" ht="12.75" hidden="1" customHeight="1" outlineLevel="5">
      <c r="A2230" s="104" t="s">
        <v>81</v>
      </c>
      <c r="B2230" s="28">
        <f t="shared" si="120"/>
        <v>1</v>
      </c>
      <c r="C2230" s="11"/>
      <c r="D2230" s="18" t="str">
        <f>"&lt;" &amp; A2230 &amp; "&gt;" &amp; TEXT(B2230,0) &amp; "&lt;/" &amp; A2230 &amp; "&gt;"</f>
        <v>&lt;AutoAeroCenterFlag&gt;1&lt;/AutoAeroCenterFlag&gt;</v>
      </c>
      <c r="F2230" s="6"/>
      <c r="G2230" s="6"/>
      <c r="H2230" s="6"/>
      <c r="I2230" s="6"/>
      <c r="J2230" s="6"/>
      <c r="K2230" s="6"/>
      <c r="L2230" s="6"/>
      <c r="M2230" s="6"/>
      <c r="N2230" s="6"/>
      <c r="O2230" s="6"/>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c r="BU2230" s="6"/>
      <c r="BV2230" s="6"/>
      <c r="BW2230" s="6"/>
      <c r="BX2230" s="6"/>
      <c r="BY2230" s="6"/>
      <c r="BZ2230" s="6"/>
      <c r="CA2230" s="6"/>
      <c r="CB2230" s="6"/>
      <c r="CC2230" s="6"/>
      <c r="CD2230" s="6"/>
      <c r="CE2230" s="6"/>
      <c r="CF2230" s="6"/>
      <c r="CG2230" s="6"/>
      <c r="CH2230" s="6"/>
      <c r="CI2230" s="6"/>
      <c r="CJ2230" s="6"/>
      <c r="CK2230" s="6"/>
      <c r="CL2230" s="6"/>
      <c r="CM2230" s="6"/>
      <c r="CN2230" s="6"/>
      <c r="CO2230" s="6"/>
      <c r="CP2230" s="6"/>
      <c r="CQ2230" s="6"/>
      <c r="CR2230" s="6"/>
      <c r="CS2230" s="6"/>
      <c r="CT2230" s="6"/>
      <c r="CU2230" s="6"/>
      <c r="CV2230" s="6"/>
      <c r="CW2230" s="6"/>
      <c r="CX2230" s="6"/>
      <c r="CY2230" s="6"/>
      <c r="CZ2230" s="6"/>
      <c r="DA2230" s="6"/>
      <c r="DB2230" s="6"/>
      <c r="DC2230" s="6"/>
      <c r="DD2230" s="6"/>
    </row>
    <row r="2231" spans="1:108" ht="12.75" hidden="1" customHeight="1" outlineLevel="5">
      <c r="A2231" s="104" t="s">
        <v>82</v>
      </c>
      <c r="B2231" s="28">
        <f t="shared" si="120"/>
        <v>0</v>
      </c>
      <c r="C2231" s="11"/>
      <c r="D2231" s="18" t="str">
        <f>"&lt;" &amp; A2231 &amp; "&gt;" &amp; TEXT(B2231,0) &amp; "&lt;/" &amp; A2231 &amp; "&gt;"</f>
        <v>&lt;WakeActiveFlag&gt;0&lt;/WakeActiveFlag&gt;</v>
      </c>
      <c r="F2231" s="6"/>
      <c r="G2231" s="6"/>
      <c r="H2231" s="6"/>
      <c r="I2231" s="6"/>
      <c r="J2231" s="6"/>
      <c r="K2231" s="6"/>
      <c r="L2231" s="6"/>
      <c r="M2231" s="6"/>
      <c r="N2231" s="6"/>
      <c r="O2231" s="6"/>
      <c r="P2231" s="6"/>
      <c r="Q2231" s="6"/>
      <c r="R2231" s="6"/>
      <c r="S2231" s="6"/>
      <c r="T2231" s="6"/>
      <c r="U2231" s="6"/>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c r="BU2231" s="6"/>
      <c r="BV2231" s="6"/>
      <c r="BW2231" s="6"/>
      <c r="BX2231" s="6"/>
      <c r="BY2231" s="6"/>
      <c r="BZ2231" s="6"/>
      <c r="CA2231" s="6"/>
      <c r="CB2231" s="6"/>
      <c r="CC2231" s="6"/>
      <c r="CD2231" s="6"/>
      <c r="CE2231" s="6"/>
      <c r="CF2231" s="6"/>
      <c r="CG2231" s="6"/>
      <c r="CH2231" s="6"/>
      <c r="CI2231" s="6"/>
      <c r="CJ2231" s="6"/>
      <c r="CK2231" s="6"/>
      <c r="CL2231" s="6"/>
      <c r="CM2231" s="6"/>
      <c r="CN2231" s="6"/>
      <c r="CO2231" s="6"/>
      <c r="CP2231" s="6"/>
      <c r="CQ2231" s="6"/>
      <c r="CR2231" s="6"/>
      <c r="CS2231" s="6"/>
      <c r="CT2231" s="6"/>
      <c r="CU2231" s="6"/>
      <c r="CV2231" s="6"/>
      <c r="CW2231" s="6"/>
      <c r="CX2231" s="6"/>
      <c r="CY2231" s="6"/>
      <c r="CZ2231" s="6"/>
      <c r="DA2231" s="6"/>
      <c r="DB2231" s="6"/>
      <c r="DC2231" s="6"/>
      <c r="DD2231" s="6"/>
    </row>
    <row r="2232" spans="1:108" ht="12.75" hidden="1" customHeight="1" outlineLevel="5">
      <c r="A2232" s="104" t="s">
        <v>83</v>
      </c>
      <c r="B2232" s="28">
        <f t="shared" si="120"/>
        <v>3</v>
      </c>
      <c r="C2232" s="11"/>
      <c r="D2232" s="18" t="str">
        <f>"&lt;" &amp; A2232 &amp; "&gt;" &amp; TEXT(B2232,0) &amp; "&lt;/" &amp; A2232 &amp; "&gt;"</f>
        <v>&lt;PosAttachFlag&gt;3&lt;/PosAttachFlag&gt;</v>
      </c>
      <c r="F2232" s="6"/>
      <c r="G2232" s="6"/>
      <c r="H2232" s="6"/>
      <c r="I2232" s="6"/>
      <c r="J2232" s="6"/>
      <c r="K2232" s="6"/>
      <c r="L2232" s="6"/>
      <c r="M2232" s="6"/>
      <c r="N2232" s="6"/>
      <c r="O2232" s="6"/>
      <c r="P2232" s="6"/>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c r="BU2232" s="6"/>
      <c r="BV2232" s="6"/>
      <c r="BW2232" s="6"/>
      <c r="BX2232" s="6"/>
      <c r="BY2232" s="6"/>
      <c r="BZ2232" s="6"/>
      <c r="CA2232" s="6"/>
      <c r="CB2232" s="6"/>
      <c r="CC2232" s="6"/>
      <c r="CD2232" s="6"/>
      <c r="CE2232" s="6"/>
      <c r="CF2232" s="6"/>
      <c r="CG2232" s="6"/>
      <c r="CH2232" s="6"/>
      <c r="CI2232" s="6"/>
      <c r="CJ2232" s="6"/>
      <c r="CK2232" s="6"/>
      <c r="CL2232" s="6"/>
      <c r="CM2232" s="6"/>
      <c r="CN2232" s="6"/>
      <c r="CO2232" s="6"/>
      <c r="CP2232" s="6"/>
      <c r="CQ2232" s="6"/>
      <c r="CR2232" s="6"/>
      <c r="CS2232" s="6"/>
      <c r="CT2232" s="6"/>
      <c r="CU2232" s="6"/>
      <c r="CV2232" s="6"/>
      <c r="CW2232" s="6"/>
      <c r="CX2232" s="6"/>
      <c r="CY2232" s="6"/>
      <c r="CZ2232" s="6"/>
      <c r="DA2232" s="6"/>
      <c r="DB2232" s="6"/>
      <c r="DC2232" s="6"/>
      <c r="DD2232" s="6"/>
    </row>
    <row r="2233" spans="1:108" ht="12.75" hidden="1" customHeight="1" outlineLevel="5">
      <c r="A2233" s="104" t="s">
        <v>84</v>
      </c>
      <c r="B2233" s="28">
        <f t="shared" si="120"/>
        <v>0</v>
      </c>
      <c r="C2233" s="11"/>
      <c r="D2233" s="18" t="str">
        <f>"&lt;" &amp; A2233 &amp; "&gt;" &amp; TEXT(B2233,"0.000000") &amp; "&lt;/" &amp; A2233 &amp; "&gt;"</f>
        <v>&lt;U_Attach&gt;0.000000&lt;/U_Attach&gt;</v>
      </c>
      <c r="F2233" s="6"/>
      <c r="G2233" s="6"/>
      <c r="H2233" s="6"/>
      <c r="I2233" s="6"/>
      <c r="J2233" s="6"/>
      <c r="K2233" s="6"/>
      <c r="L2233" s="6"/>
      <c r="M2233" s="6"/>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c r="BU2233" s="6"/>
      <c r="BV2233" s="6"/>
      <c r="BW2233" s="6"/>
      <c r="BX2233" s="6"/>
      <c r="BY2233" s="6"/>
      <c r="BZ2233" s="6"/>
      <c r="CA2233" s="6"/>
      <c r="CB2233" s="6"/>
      <c r="CC2233" s="6"/>
      <c r="CD2233" s="6"/>
      <c r="CE2233" s="6"/>
      <c r="CF2233" s="6"/>
      <c r="CG2233" s="6"/>
      <c r="CH2233" s="6"/>
      <c r="CI2233" s="6"/>
      <c r="CJ2233" s="6"/>
      <c r="CK2233" s="6"/>
      <c r="CL2233" s="6"/>
      <c r="CM2233" s="6"/>
      <c r="CN2233" s="6"/>
      <c r="CO2233" s="6"/>
      <c r="CP2233" s="6"/>
      <c r="CQ2233" s="6"/>
      <c r="CR2233" s="6"/>
      <c r="CS2233" s="6"/>
      <c r="CT2233" s="6"/>
      <c r="CU2233" s="6"/>
      <c r="CV2233" s="6"/>
      <c r="CW2233" s="6"/>
      <c r="CX2233" s="6"/>
      <c r="CY2233" s="6"/>
      <c r="CZ2233" s="6"/>
      <c r="DA2233" s="6"/>
      <c r="DB2233" s="6"/>
      <c r="DC2233" s="6"/>
      <c r="DD2233" s="6"/>
    </row>
    <row r="2234" spans="1:108" ht="12.75" hidden="1" customHeight="1" outlineLevel="5">
      <c r="A2234" s="104" t="s">
        <v>85</v>
      </c>
      <c r="B2234" s="28">
        <f t="shared" si="120"/>
        <v>0</v>
      </c>
      <c r="C2234" s="11"/>
      <c r="D2234" s="18" t="str">
        <f>"&lt;" &amp; A2234 &amp; "&gt;" &amp; TEXT(B2234,"0.000000") &amp; "&lt;/" &amp; A2234 &amp; "&gt;"</f>
        <v>&lt;V_Attach&gt;0.000000&lt;/V_Attach&gt;</v>
      </c>
      <c r="F2234" s="6"/>
      <c r="G2234" s="6"/>
      <c r="H2234" s="6"/>
      <c r="I2234" s="6"/>
      <c r="J2234" s="6"/>
      <c r="K2234" s="6"/>
      <c r="L2234" s="6"/>
      <c r="M2234" s="6"/>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c r="BU2234" s="6"/>
      <c r="BV2234" s="6"/>
      <c r="BW2234" s="6"/>
      <c r="BX2234" s="6"/>
      <c r="BY2234" s="6"/>
      <c r="BZ2234" s="6"/>
      <c r="CA2234" s="6"/>
      <c r="CB2234" s="6"/>
      <c r="CC2234" s="6"/>
      <c r="CD2234" s="6"/>
      <c r="CE2234" s="6"/>
      <c r="CF2234" s="6"/>
      <c r="CG2234" s="6"/>
      <c r="CH2234" s="6"/>
      <c r="CI2234" s="6"/>
      <c r="CJ2234" s="6"/>
      <c r="CK2234" s="6"/>
      <c r="CL2234" s="6"/>
      <c r="CM2234" s="6"/>
      <c r="CN2234" s="6"/>
      <c r="CO2234" s="6"/>
      <c r="CP2234" s="6"/>
      <c r="CQ2234" s="6"/>
      <c r="CR2234" s="6"/>
      <c r="CS2234" s="6"/>
      <c r="CT2234" s="6"/>
      <c r="CU2234" s="6"/>
      <c r="CV2234" s="6"/>
      <c r="CW2234" s="6"/>
      <c r="CX2234" s="6"/>
      <c r="CY2234" s="6"/>
      <c r="CZ2234" s="6"/>
      <c r="DA2234" s="6"/>
      <c r="DB2234" s="6"/>
      <c r="DC2234" s="6"/>
      <c r="DD2234" s="6"/>
    </row>
    <row r="2235" spans="1:108" ht="12.75" hidden="1" customHeight="1" outlineLevel="5">
      <c r="A2235" s="104" t="s">
        <v>86</v>
      </c>
      <c r="B2235" s="28">
        <v>148906600</v>
      </c>
      <c r="C2235" s="11"/>
      <c r="D2235" s="18" t="str">
        <f>"&lt;" &amp; A2235 &amp; "&gt;" &amp; TEXT(B2235,0) &amp; "&lt;/" &amp; A2235 &amp; "&gt;"</f>
        <v>&lt;PtrID&gt;148906600&lt;/PtrID&gt;</v>
      </c>
      <c r="F2235" s="6"/>
      <c r="G2235" s="6"/>
      <c r="H2235" s="6"/>
      <c r="I2235" s="6"/>
      <c r="J2235" s="6"/>
      <c r="K2235" s="6"/>
      <c r="L2235" s="6"/>
      <c r="M2235" s="6"/>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c r="BU2235" s="6"/>
      <c r="BV2235" s="6"/>
      <c r="BW2235" s="6"/>
      <c r="BX2235" s="6"/>
      <c r="BY2235" s="6"/>
      <c r="BZ2235" s="6"/>
      <c r="CA2235" s="6"/>
      <c r="CB2235" s="6"/>
      <c r="CC2235" s="6"/>
      <c r="CD2235" s="6"/>
      <c r="CE2235" s="6"/>
      <c r="CF2235" s="6"/>
      <c r="CG2235" s="6"/>
      <c r="CH2235" s="6"/>
      <c r="CI2235" s="6"/>
      <c r="CJ2235" s="6"/>
      <c r="CK2235" s="6"/>
      <c r="CL2235" s="6"/>
      <c r="CM2235" s="6"/>
      <c r="CN2235" s="6"/>
      <c r="CO2235" s="6"/>
      <c r="CP2235" s="6"/>
      <c r="CQ2235" s="6"/>
      <c r="CR2235" s="6"/>
      <c r="CS2235" s="6"/>
      <c r="CT2235" s="6"/>
      <c r="CU2235" s="6"/>
      <c r="CV2235" s="6"/>
      <c r="CW2235" s="6"/>
      <c r="CX2235" s="6"/>
      <c r="CY2235" s="6"/>
      <c r="CZ2235" s="6"/>
      <c r="DA2235" s="6"/>
      <c r="DB2235" s="6"/>
      <c r="DC2235" s="6"/>
      <c r="DD2235" s="6"/>
    </row>
    <row r="2236" spans="1:108" ht="12.75" hidden="1" customHeight="1" outlineLevel="5">
      <c r="A2236" s="104" t="s">
        <v>87</v>
      </c>
      <c r="B2236" s="28">
        <v>148674848</v>
      </c>
      <c r="C2236" s="11"/>
      <c r="D2236" s="18" t="str">
        <f>"&lt;" &amp; A2236 &amp; "&gt;" &amp; TEXT(B2236,0) &amp; "&lt;/" &amp; A2236 &amp; "&gt;"</f>
        <v>&lt;Parent_PtrID&gt;148674848&lt;/Parent_PtrID&gt;</v>
      </c>
      <c r="F2236" s="6"/>
      <c r="G2236" s="6"/>
      <c r="H2236" s="6"/>
      <c r="I2236" s="6"/>
      <c r="J2236" s="6"/>
      <c r="K2236" s="6"/>
      <c r="L2236" s="6"/>
      <c r="M2236" s="6"/>
      <c r="N2236" s="6"/>
      <c r="O2236" s="6"/>
      <c r="P2236" s="6"/>
      <c r="Q2236" s="6"/>
      <c r="R2236" s="6"/>
      <c r="S2236" s="6"/>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c r="BU2236" s="6"/>
      <c r="BV2236" s="6"/>
      <c r="BW2236" s="6"/>
      <c r="BX2236" s="6"/>
      <c r="BY2236" s="6"/>
      <c r="BZ2236" s="6"/>
      <c r="CA2236" s="6"/>
      <c r="CB2236" s="6"/>
      <c r="CC2236" s="6"/>
      <c r="CD2236" s="6"/>
      <c r="CE2236" s="6"/>
      <c r="CF2236" s="6"/>
      <c r="CG2236" s="6"/>
      <c r="CH2236" s="6"/>
      <c r="CI2236" s="6"/>
      <c r="CJ2236" s="6"/>
      <c r="CK2236" s="6"/>
      <c r="CL2236" s="6"/>
      <c r="CM2236" s="6"/>
      <c r="CN2236" s="6"/>
      <c r="CO2236" s="6"/>
      <c r="CP2236" s="6"/>
      <c r="CQ2236" s="6"/>
      <c r="CR2236" s="6"/>
      <c r="CS2236" s="6"/>
      <c r="CT2236" s="6"/>
      <c r="CU2236" s="6"/>
      <c r="CV2236" s="6"/>
      <c r="CW2236" s="6"/>
      <c r="CX2236" s="6"/>
      <c r="CY2236" s="6"/>
      <c r="CZ2236" s="6"/>
      <c r="DA2236" s="6"/>
      <c r="DB2236" s="6"/>
      <c r="DC2236" s="6"/>
      <c r="DD2236" s="6"/>
    </row>
    <row r="2237" spans="1:108" ht="12.75" hidden="1" customHeight="1" outlineLevel="5">
      <c r="A2237" s="104" t="s">
        <v>88</v>
      </c>
      <c r="B2237" s="100"/>
      <c r="C2237" s="11"/>
      <c r="D2237" s="6" t="str">
        <f>"&lt;" &amp; A2237 &amp; "&gt;"</f>
        <v>&lt;/General_Parms&gt;</v>
      </c>
      <c r="F2237" s="6"/>
      <c r="G2237" s="6"/>
      <c r="H2237" s="6"/>
      <c r="I2237" s="6"/>
      <c r="J2237" s="6"/>
      <c r="K2237" s="6"/>
      <c r="L2237" s="6"/>
      <c r="M2237" s="6"/>
      <c r="N2237" s="6"/>
      <c r="O2237" s="6"/>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c r="BU2237" s="6"/>
      <c r="BV2237" s="6"/>
      <c r="BW2237" s="6"/>
      <c r="BX2237" s="6"/>
      <c r="BY2237" s="6"/>
      <c r="BZ2237" s="6"/>
      <c r="CA2237" s="6"/>
      <c r="CB2237" s="6"/>
      <c r="CC2237" s="6"/>
      <c r="CD2237" s="6"/>
      <c r="CE2237" s="6"/>
      <c r="CF2237" s="6"/>
      <c r="CG2237" s="6"/>
      <c r="CH2237" s="6"/>
      <c r="CI2237" s="6"/>
      <c r="CJ2237" s="6"/>
      <c r="CK2237" s="6"/>
      <c r="CL2237" s="6"/>
      <c r="CM2237" s="6"/>
      <c r="CN2237" s="6"/>
      <c r="CO2237" s="6"/>
      <c r="CP2237" s="6"/>
      <c r="CQ2237" s="6"/>
      <c r="CR2237" s="6"/>
      <c r="CS2237" s="6"/>
      <c r="CT2237" s="6"/>
      <c r="CU2237" s="6"/>
      <c r="CV2237" s="6"/>
      <c r="CW2237" s="6"/>
      <c r="CX2237" s="6"/>
      <c r="CY2237" s="6"/>
      <c r="CZ2237" s="6"/>
      <c r="DA2237" s="6"/>
      <c r="DB2237" s="6"/>
      <c r="DC2237" s="6"/>
      <c r="DD2237" s="6"/>
    </row>
    <row r="2238" spans="1:108" ht="12.75" hidden="1" customHeight="1" outlineLevel="4">
      <c r="A2238" s="104" t="s">
        <v>228</v>
      </c>
      <c r="B2238" s="100"/>
      <c r="C2238" s="11"/>
      <c r="D2238" s="6" t="str">
        <f>"&lt;" &amp; A2238 &amp; "&gt;"</f>
        <v>&lt;Engine_Parms&gt;</v>
      </c>
      <c r="F2238" s="6"/>
      <c r="G2238" s="6"/>
      <c r="H2238" s="6"/>
      <c r="I2238" s="6"/>
      <c r="J2238" s="6"/>
      <c r="K2238" s="6"/>
      <c r="L2238" s="6"/>
      <c r="M2238" s="6"/>
      <c r="N2238" s="6"/>
      <c r="O2238" s="6"/>
      <c r="P2238" s="6"/>
      <c r="Q2238" s="6"/>
      <c r="R2238" s="6"/>
      <c r="S2238" s="6"/>
      <c r="T2238" s="6"/>
      <c r="U2238" s="6"/>
      <c r="V2238" s="6"/>
      <c r="W2238" s="6"/>
      <c r="X2238" s="6"/>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c r="BU2238" s="6"/>
      <c r="BV2238" s="6"/>
      <c r="BW2238" s="6"/>
      <c r="BX2238" s="6"/>
      <c r="BY2238" s="6"/>
      <c r="BZ2238" s="6"/>
      <c r="CA2238" s="6"/>
      <c r="CB2238" s="6"/>
      <c r="CC2238" s="6"/>
      <c r="CD2238" s="6"/>
      <c r="CE2238" s="6"/>
      <c r="CF2238" s="6"/>
      <c r="CG2238" s="6"/>
      <c r="CH2238" s="6"/>
      <c r="CI2238" s="6"/>
      <c r="CJ2238" s="6"/>
      <c r="CK2238" s="6"/>
      <c r="CL2238" s="6"/>
      <c r="CM2238" s="6"/>
      <c r="CN2238" s="6"/>
      <c r="CO2238" s="6"/>
      <c r="CP2238" s="6"/>
      <c r="CQ2238" s="6"/>
      <c r="CR2238" s="6"/>
      <c r="CS2238" s="6"/>
      <c r="CT2238" s="6"/>
      <c r="CU2238" s="6"/>
      <c r="CV2238" s="6"/>
      <c r="CW2238" s="6"/>
      <c r="CX2238" s="6"/>
      <c r="CY2238" s="6"/>
      <c r="CZ2238" s="6"/>
      <c r="DA2238" s="6"/>
      <c r="DB2238" s="6"/>
      <c r="DC2238" s="6"/>
      <c r="DD2238" s="6"/>
    </row>
    <row r="2239" spans="1:108" ht="12.75" hidden="1" customHeight="1" outlineLevel="5">
      <c r="A2239" s="104" t="s">
        <v>229</v>
      </c>
      <c r="B2239" s="28">
        <f t="shared" ref="B2239:B2273" si="123">B1706</f>
        <v>0</v>
      </c>
      <c r="C2239" s="11"/>
      <c r="D2239" s="18" t="str">
        <f>"&lt;" &amp; A2239 &amp; "&gt;" &amp; TEXT(B2239,0) &amp; "&lt;/" &amp; A2239 &amp; "&gt;"</f>
        <v>&lt;Engine_Type&gt;0&lt;/Engine_Type&gt;</v>
      </c>
      <c r="F2239" s="6"/>
      <c r="G2239" s="6"/>
      <c r="H2239" s="6"/>
      <c r="I2239" s="6"/>
      <c r="J2239" s="6"/>
      <c r="K2239" s="6"/>
      <c r="L2239" s="6"/>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c r="BU2239" s="6"/>
      <c r="BV2239" s="6"/>
      <c r="BW2239" s="6"/>
      <c r="BX2239" s="6"/>
      <c r="BY2239" s="6"/>
      <c r="BZ2239" s="6"/>
      <c r="CA2239" s="6"/>
      <c r="CB2239" s="6"/>
      <c r="CC2239" s="6"/>
      <c r="CD2239" s="6"/>
      <c r="CE2239" s="6"/>
      <c r="CF2239" s="6"/>
      <c r="CG2239" s="6"/>
      <c r="CH2239" s="6"/>
      <c r="CI2239" s="6"/>
      <c r="CJ2239" s="6"/>
      <c r="CK2239" s="6"/>
      <c r="CL2239" s="6"/>
      <c r="CM2239" s="6"/>
      <c r="CN2239" s="6"/>
      <c r="CO2239" s="6"/>
      <c r="CP2239" s="6"/>
      <c r="CQ2239" s="6"/>
      <c r="CR2239" s="6"/>
      <c r="CS2239" s="6"/>
      <c r="CT2239" s="6"/>
      <c r="CU2239" s="6"/>
      <c r="CV2239" s="6"/>
      <c r="CW2239" s="6"/>
      <c r="CX2239" s="6"/>
      <c r="CY2239" s="6"/>
      <c r="CZ2239" s="6"/>
      <c r="DA2239" s="6"/>
      <c r="DB2239" s="6"/>
      <c r="DC2239" s="6"/>
      <c r="DD2239" s="6"/>
    </row>
    <row r="2240" spans="1:108" ht="12.75" hidden="1" customHeight="1" outlineLevel="5">
      <c r="A2240" s="104" t="s">
        <v>230</v>
      </c>
      <c r="B2240" s="94">
        <f t="shared" si="123"/>
        <v>0.82173499999999999</v>
      </c>
      <c r="C2240" s="11"/>
      <c r="D2240" s="18" t="str">
        <f>"&lt;" &amp; A2240 &amp; "&gt;" &amp; TEXT(B2240,"0.000000") &amp; "&lt;/" &amp; A2240 &amp; "&gt;"</f>
        <v>&lt;Radius_Tip&gt;0.821735&lt;/Radius_Tip&gt;</v>
      </c>
      <c r="F2240" s="6"/>
      <c r="G2240" s="6"/>
      <c r="H2240" s="6"/>
      <c r="I2240" s="6"/>
      <c r="J2240" s="6"/>
      <c r="K2240" s="6"/>
      <c r="L2240" s="6"/>
      <c r="M2240" s="6"/>
      <c r="N2240" s="6"/>
      <c r="O2240" s="6"/>
      <c r="P2240" s="6"/>
      <c r="Q2240" s="6"/>
      <c r="R2240" s="6"/>
      <c r="S2240" s="6"/>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c r="BU2240" s="6"/>
      <c r="BV2240" s="6"/>
      <c r="BW2240" s="6"/>
      <c r="BX2240" s="6"/>
      <c r="BY2240" s="6"/>
      <c r="BZ2240" s="6"/>
      <c r="CA2240" s="6"/>
      <c r="CB2240" s="6"/>
      <c r="CC2240" s="6"/>
      <c r="CD2240" s="6"/>
      <c r="CE2240" s="6"/>
      <c r="CF2240" s="6"/>
      <c r="CG2240" s="6"/>
      <c r="CH2240" s="6"/>
      <c r="CI2240" s="6"/>
      <c r="CJ2240" s="6"/>
      <c r="CK2240" s="6"/>
      <c r="CL2240" s="6"/>
      <c r="CM2240" s="6"/>
      <c r="CN2240" s="6"/>
      <c r="CO2240" s="6"/>
      <c r="CP2240" s="6"/>
      <c r="CQ2240" s="6"/>
      <c r="CR2240" s="6"/>
      <c r="CS2240" s="6"/>
      <c r="CT2240" s="6"/>
      <c r="CU2240" s="6"/>
      <c r="CV2240" s="6"/>
      <c r="CW2240" s="6"/>
      <c r="CX2240" s="6"/>
      <c r="CY2240" s="6"/>
      <c r="CZ2240" s="6"/>
      <c r="DA2240" s="6"/>
      <c r="DB2240" s="6"/>
      <c r="DC2240" s="6"/>
      <c r="DD2240" s="6"/>
    </row>
    <row r="2241" spans="1:108" ht="12.75" hidden="1" customHeight="1" outlineLevel="5">
      <c r="A2241" s="104" t="s">
        <v>231</v>
      </c>
      <c r="B2241" s="28">
        <f t="shared" si="123"/>
        <v>1.1499999999999999</v>
      </c>
      <c r="C2241" s="11"/>
      <c r="D2241" s="18" t="str">
        <f>"&lt;" &amp; A2241 &amp; "&gt;" &amp; TEXT(B2241,"0.000000") &amp; "&lt;/" &amp; A2241 &amp; "&gt;"</f>
        <v>&lt;Max_Tip&gt;1.150000&lt;/Max_Tip&gt;</v>
      </c>
      <c r="F2241" s="6"/>
      <c r="G2241" s="6"/>
      <c r="H2241" s="6"/>
      <c r="I2241" s="6"/>
      <c r="J2241" s="6"/>
      <c r="K2241" s="6"/>
      <c r="L2241" s="6"/>
      <c r="M2241" s="6"/>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c r="BU2241" s="6"/>
      <c r="BV2241" s="6"/>
      <c r="BW2241" s="6"/>
      <c r="BX2241" s="6"/>
      <c r="BY2241" s="6"/>
      <c r="BZ2241" s="6"/>
      <c r="CA2241" s="6"/>
      <c r="CB2241" s="6"/>
      <c r="CC2241" s="6"/>
      <c r="CD2241" s="6"/>
      <c r="CE2241" s="6"/>
      <c r="CF2241" s="6"/>
      <c r="CG2241" s="6"/>
      <c r="CH2241" s="6"/>
      <c r="CI2241" s="6"/>
      <c r="CJ2241" s="6"/>
      <c r="CK2241" s="6"/>
      <c r="CL2241" s="6"/>
      <c r="CM2241" s="6"/>
      <c r="CN2241" s="6"/>
      <c r="CO2241" s="6"/>
      <c r="CP2241" s="6"/>
      <c r="CQ2241" s="6"/>
      <c r="CR2241" s="6"/>
      <c r="CS2241" s="6"/>
      <c r="CT2241" s="6"/>
      <c r="CU2241" s="6"/>
      <c r="CV2241" s="6"/>
      <c r="CW2241" s="6"/>
      <c r="CX2241" s="6"/>
      <c r="CY2241" s="6"/>
      <c r="CZ2241" s="6"/>
      <c r="DA2241" s="6"/>
      <c r="DB2241" s="6"/>
      <c r="DC2241" s="6"/>
      <c r="DD2241" s="6"/>
    </row>
    <row r="2242" spans="1:108" ht="12.75" hidden="1" customHeight="1" outlineLevel="5">
      <c r="A2242" s="104" t="s">
        <v>232</v>
      </c>
      <c r="B2242" s="28">
        <f t="shared" si="123"/>
        <v>0.31333299999999997</v>
      </c>
      <c r="C2242" s="11"/>
      <c r="D2242" s="18" t="str">
        <f>"&lt;" &amp; A2242 &amp; "&gt;" &amp; TEXT(B2242,"0.000000") &amp; "&lt;/" &amp; A2242 &amp; "&gt;"</f>
        <v>&lt;Hub_Tip&gt;0.313333&lt;/Hub_Tip&gt;</v>
      </c>
      <c r="F2242" s="6"/>
      <c r="G2242" s="6"/>
      <c r="H2242" s="6"/>
      <c r="I2242" s="6"/>
      <c r="J2242" s="6"/>
      <c r="K2242" s="6"/>
      <c r="L2242" s="6"/>
      <c r="M2242" s="6"/>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c r="BU2242" s="6"/>
      <c r="BV2242" s="6"/>
      <c r="BW2242" s="6"/>
      <c r="BX2242" s="6"/>
      <c r="BY2242" s="6"/>
      <c r="BZ2242" s="6"/>
      <c r="CA2242" s="6"/>
      <c r="CB2242" s="6"/>
      <c r="CC2242" s="6"/>
      <c r="CD2242" s="6"/>
      <c r="CE2242" s="6"/>
      <c r="CF2242" s="6"/>
      <c r="CG2242" s="6"/>
      <c r="CH2242" s="6"/>
      <c r="CI2242" s="6"/>
      <c r="CJ2242" s="6"/>
      <c r="CK2242" s="6"/>
      <c r="CL2242" s="6"/>
      <c r="CM2242" s="6"/>
      <c r="CN2242" s="6"/>
      <c r="CO2242" s="6"/>
      <c r="CP2242" s="6"/>
      <c r="CQ2242" s="6"/>
      <c r="CR2242" s="6"/>
      <c r="CS2242" s="6"/>
      <c r="CT2242" s="6"/>
      <c r="CU2242" s="6"/>
      <c r="CV2242" s="6"/>
      <c r="CW2242" s="6"/>
      <c r="CX2242" s="6"/>
      <c r="CY2242" s="6"/>
      <c r="CZ2242" s="6"/>
      <c r="DA2242" s="6"/>
      <c r="DB2242" s="6"/>
      <c r="DC2242" s="6"/>
      <c r="DD2242" s="6"/>
    </row>
    <row r="2243" spans="1:108" ht="12.75" hidden="1" customHeight="1" outlineLevel="5">
      <c r="A2243" s="104" t="s">
        <v>233</v>
      </c>
      <c r="B2243" s="28">
        <f t="shared" si="123"/>
        <v>0</v>
      </c>
      <c r="C2243" s="11"/>
      <c r="D2243" s="18" t="str">
        <f>"&lt;" &amp; A2243 &amp; "&gt;" &amp; TEXT(B2243,"0.000000") &amp; "&lt;/" &amp; A2243 &amp; "&gt;"</f>
        <v>&lt;Eng_Length&gt;0.000000&lt;/Eng_Length&gt;</v>
      </c>
      <c r="F2243" s="6"/>
      <c r="G2243" s="6"/>
      <c r="H2243" s="6"/>
      <c r="I2243" s="6"/>
      <c r="J2243" s="6"/>
      <c r="K2243" s="6"/>
      <c r="L2243" s="6"/>
      <c r="M2243" s="6"/>
      <c r="N2243" s="6"/>
      <c r="O2243" s="6"/>
      <c r="P2243" s="6"/>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c r="BU2243" s="6"/>
      <c r="BV2243" s="6"/>
      <c r="BW2243" s="6"/>
      <c r="BX2243" s="6"/>
      <c r="BY2243" s="6"/>
      <c r="BZ2243" s="6"/>
      <c r="CA2243" s="6"/>
      <c r="CB2243" s="6"/>
      <c r="CC2243" s="6"/>
      <c r="CD2243" s="6"/>
      <c r="CE2243" s="6"/>
      <c r="CF2243" s="6"/>
      <c r="CG2243" s="6"/>
      <c r="CH2243" s="6"/>
      <c r="CI2243" s="6"/>
      <c r="CJ2243" s="6"/>
      <c r="CK2243" s="6"/>
      <c r="CL2243" s="6"/>
      <c r="CM2243" s="6"/>
      <c r="CN2243" s="6"/>
      <c r="CO2243" s="6"/>
      <c r="CP2243" s="6"/>
      <c r="CQ2243" s="6"/>
      <c r="CR2243" s="6"/>
      <c r="CS2243" s="6"/>
      <c r="CT2243" s="6"/>
      <c r="CU2243" s="6"/>
      <c r="CV2243" s="6"/>
      <c r="CW2243" s="6"/>
      <c r="CX2243" s="6"/>
      <c r="CY2243" s="6"/>
      <c r="CZ2243" s="6"/>
      <c r="DA2243" s="6"/>
      <c r="DB2243" s="6"/>
      <c r="DC2243" s="6"/>
      <c r="DD2243" s="6"/>
    </row>
    <row r="2244" spans="1:108" ht="12.75" hidden="1" customHeight="1" outlineLevel="5">
      <c r="A2244" s="104" t="s">
        <v>234</v>
      </c>
      <c r="B2244" s="28">
        <f t="shared" si="123"/>
        <v>1</v>
      </c>
      <c r="C2244" s="11"/>
      <c r="D2244" s="18" t="str">
        <f>"&lt;" &amp; A2244 &amp; "&gt;" &amp; TEXT(B2244,0) &amp; "&lt;/" &amp; A2244 &amp; "&gt;"</f>
        <v>&lt;Inlet_Type&gt;1&lt;/Inlet_Type&gt;</v>
      </c>
      <c r="F2244" s="6"/>
      <c r="G2244" s="6"/>
      <c r="H2244" s="6"/>
      <c r="I2244" s="6"/>
      <c r="J2244" s="6"/>
      <c r="K2244" s="6"/>
      <c r="L2244" s="6"/>
      <c r="M2244" s="6"/>
      <c r="N2244" s="6"/>
      <c r="O2244" s="6"/>
      <c r="P2244" s="6"/>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c r="BU2244" s="6"/>
      <c r="BV2244" s="6"/>
      <c r="BW2244" s="6"/>
      <c r="BX2244" s="6"/>
      <c r="BY2244" s="6"/>
      <c r="BZ2244" s="6"/>
      <c r="CA2244" s="6"/>
      <c r="CB2244" s="6"/>
      <c r="CC2244" s="6"/>
      <c r="CD2244" s="6"/>
      <c r="CE2244" s="6"/>
      <c r="CF2244" s="6"/>
      <c r="CG2244" s="6"/>
      <c r="CH2244" s="6"/>
      <c r="CI2244" s="6"/>
      <c r="CJ2244" s="6"/>
      <c r="CK2244" s="6"/>
      <c r="CL2244" s="6"/>
      <c r="CM2244" s="6"/>
      <c r="CN2244" s="6"/>
      <c r="CO2244" s="6"/>
      <c r="CP2244" s="6"/>
      <c r="CQ2244" s="6"/>
      <c r="CR2244" s="6"/>
      <c r="CS2244" s="6"/>
      <c r="CT2244" s="6"/>
      <c r="CU2244" s="6"/>
      <c r="CV2244" s="6"/>
      <c r="CW2244" s="6"/>
      <c r="CX2244" s="6"/>
      <c r="CY2244" s="6"/>
      <c r="CZ2244" s="6"/>
      <c r="DA2244" s="6"/>
      <c r="DB2244" s="6"/>
      <c r="DC2244" s="6"/>
      <c r="DD2244" s="6"/>
    </row>
    <row r="2245" spans="1:108" ht="12.75" hidden="1" customHeight="1" outlineLevel="5">
      <c r="A2245" s="104" t="s">
        <v>235</v>
      </c>
      <c r="B2245" s="28">
        <f t="shared" si="123"/>
        <v>0</v>
      </c>
      <c r="C2245" s="11"/>
      <c r="D2245" s="18" t="str">
        <f>"&lt;" &amp; A2245 &amp; "&gt;" &amp; TEXT(B2245,0) &amp; "&lt;/" &amp; A2245 &amp; "&gt;"</f>
        <v>&lt;Inl_Noz_Color&gt;0&lt;/Inl_Noz_Color&gt;</v>
      </c>
      <c r="F2245" s="6"/>
      <c r="G2245" s="6"/>
      <c r="H2245" s="6"/>
      <c r="I2245" s="6"/>
      <c r="J2245" s="6"/>
      <c r="K2245" s="6"/>
      <c r="L2245" s="6"/>
      <c r="M2245" s="6"/>
      <c r="N2245" s="6"/>
      <c r="O2245" s="6"/>
      <c r="P2245" s="6"/>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c r="BU2245" s="6"/>
      <c r="BV2245" s="6"/>
      <c r="BW2245" s="6"/>
      <c r="BX2245" s="6"/>
      <c r="BY2245" s="6"/>
      <c r="BZ2245" s="6"/>
      <c r="CA2245" s="6"/>
      <c r="CB2245" s="6"/>
      <c r="CC2245" s="6"/>
      <c r="CD2245" s="6"/>
      <c r="CE2245" s="6"/>
      <c r="CF2245" s="6"/>
      <c r="CG2245" s="6"/>
      <c r="CH2245" s="6"/>
      <c r="CI2245" s="6"/>
      <c r="CJ2245" s="6"/>
      <c r="CK2245" s="6"/>
      <c r="CL2245" s="6"/>
      <c r="CM2245" s="6"/>
      <c r="CN2245" s="6"/>
      <c r="CO2245" s="6"/>
      <c r="CP2245" s="6"/>
      <c r="CQ2245" s="6"/>
      <c r="CR2245" s="6"/>
      <c r="CS2245" s="6"/>
      <c r="CT2245" s="6"/>
      <c r="CU2245" s="6"/>
      <c r="CV2245" s="6"/>
      <c r="CW2245" s="6"/>
      <c r="CX2245" s="6"/>
      <c r="CY2245" s="6"/>
      <c r="CZ2245" s="6"/>
      <c r="DA2245" s="6"/>
      <c r="DB2245" s="6"/>
      <c r="DC2245" s="6"/>
      <c r="DD2245" s="6"/>
    </row>
    <row r="2246" spans="1:108" ht="12.75" hidden="1" customHeight="1" outlineLevel="5">
      <c r="A2246" s="104" t="s">
        <v>236</v>
      </c>
      <c r="B2246" s="28">
        <f t="shared" si="123"/>
        <v>0</v>
      </c>
      <c r="C2246" s="11"/>
      <c r="D2246" s="18" t="str">
        <f>"&lt;" &amp; A2246 &amp; "&gt;" &amp; TEXT(B2246,0) &amp; "&lt;/" &amp; A2246 &amp; "&gt;"</f>
        <v>&lt;Inlet_XY_Sym_Flag&gt;0&lt;/Inlet_XY_Sym_Flag&gt;</v>
      </c>
      <c r="F2246" s="6"/>
      <c r="G2246" s="6"/>
      <c r="H2246" s="6"/>
      <c r="I2246" s="6"/>
      <c r="J2246" s="6"/>
      <c r="K2246" s="6"/>
      <c r="L2246" s="6"/>
      <c r="M2246" s="6"/>
      <c r="N2246" s="6"/>
      <c r="O2246" s="6"/>
      <c r="P2246" s="6"/>
      <c r="Q2246" s="6"/>
      <c r="R2246" s="6"/>
      <c r="S2246" s="6"/>
      <c r="T2246" s="6"/>
      <c r="U2246" s="6"/>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c r="BU2246" s="6"/>
      <c r="BV2246" s="6"/>
      <c r="BW2246" s="6"/>
      <c r="BX2246" s="6"/>
      <c r="BY2246" s="6"/>
      <c r="BZ2246" s="6"/>
      <c r="CA2246" s="6"/>
      <c r="CB2246" s="6"/>
      <c r="CC2246" s="6"/>
      <c r="CD2246" s="6"/>
      <c r="CE2246" s="6"/>
      <c r="CF2246" s="6"/>
      <c r="CG2246" s="6"/>
      <c r="CH2246" s="6"/>
      <c r="CI2246" s="6"/>
      <c r="CJ2246" s="6"/>
      <c r="CK2246" s="6"/>
      <c r="CL2246" s="6"/>
      <c r="CM2246" s="6"/>
      <c r="CN2246" s="6"/>
      <c r="CO2246" s="6"/>
      <c r="CP2246" s="6"/>
      <c r="CQ2246" s="6"/>
      <c r="CR2246" s="6"/>
      <c r="CS2246" s="6"/>
      <c r="CT2246" s="6"/>
      <c r="CU2246" s="6"/>
      <c r="CV2246" s="6"/>
      <c r="CW2246" s="6"/>
      <c r="CX2246" s="6"/>
      <c r="CY2246" s="6"/>
      <c r="CZ2246" s="6"/>
      <c r="DA2246" s="6"/>
      <c r="DB2246" s="6"/>
      <c r="DC2246" s="6"/>
      <c r="DD2246" s="6"/>
    </row>
    <row r="2247" spans="1:108" ht="12.75" hidden="1" customHeight="1" outlineLevel="5">
      <c r="A2247" s="104" t="s">
        <v>237</v>
      </c>
      <c r="B2247" s="28">
        <f t="shared" si="123"/>
        <v>0</v>
      </c>
      <c r="C2247" s="11"/>
      <c r="D2247" s="18" t="str">
        <f>"&lt;" &amp; A2247 &amp; "&gt;" &amp; TEXT(B2247,0) &amp; "&lt;/" &amp; A2247 &amp; "&gt;"</f>
        <v>&lt;Inlet_Half_Split_Flag&gt;0&lt;/Inlet_Half_Split_Flag&gt;</v>
      </c>
      <c r="F2247" s="6"/>
      <c r="G2247" s="6"/>
      <c r="H2247" s="6"/>
      <c r="I2247" s="6"/>
      <c r="J2247" s="6"/>
      <c r="K2247" s="6"/>
      <c r="L2247" s="6"/>
      <c r="M2247" s="6"/>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c r="BU2247" s="6"/>
      <c r="BV2247" s="6"/>
      <c r="BW2247" s="6"/>
      <c r="BX2247" s="6"/>
      <c r="BY2247" s="6"/>
      <c r="BZ2247" s="6"/>
      <c r="CA2247" s="6"/>
      <c r="CB2247" s="6"/>
      <c r="CC2247" s="6"/>
      <c r="CD2247" s="6"/>
      <c r="CE2247" s="6"/>
      <c r="CF2247" s="6"/>
      <c r="CG2247" s="6"/>
      <c r="CH2247" s="6"/>
      <c r="CI2247" s="6"/>
      <c r="CJ2247" s="6"/>
      <c r="CK2247" s="6"/>
      <c r="CL2247" s="6"/>
      <c r="CM2247" s="6"/>
      <c r="CN2247" s="6"/>
      <c r="CO2247" s="6"/>
      <c r="CP2247" s="6"/>
      <c r="CQ2247" s="6"/>
      <c r="CR2247" s="6"/>
      <c r="CS2247" s="6"/>
      <c r="CT2247" s="6"/>
      <c r="CU2247" s="6"/>
      <c r="CV2247" s="6"/>
      <c r="CW2247" s="6"/>
      <c r="CX2247" s="6"/>
      <c r="CY2247" s="6"/>
      <c r="CZ2247" s="6"/>
      <c r="DA2247" s="6"/>
      <c r="DB2247" s="6"/>
      <c r="DC2247" s="6"/>
      <c r="DD2247" s="6"/>
    </row>
    <row r="2248" spans="1:108" ht="12.75" hidden="1" customHeight="1" outlineLevel="5">
      <c r="A2248" s="104" t="s">
        <v>238</v>
      </c>
      <c r="B2248" s="94">
        <f t="shared" si="123"/>
        <v>1.8246959177837139</v>
      </c>
      <c r="C2248" s="11"/>
      <c r="D2248" s="18" t="str">
        <f t="shared" ref="D2248:D2256" si="124">"&lt;" &amp; A2248 &amp; "&gt;" &amp; TEXT(B2248,"0.000000") &amp; "&lt;/" &amp; A2248 &amp; "&gt;"</f>
        <v>&lt;Cowl_Length&gt;1.824696&lt;/Cowl_Length&gt;</v>
      </c>
      <c r="F2248" s="6"/>
      <c r="G2248" s="6"/>
      <c r="H2248" s="6"/>
      <c r="I2248" s="6"/>
      <c r="J2248" s="6"/>
      <c r="K2248" s="6"/>
      <c r="L2248" s="6"/>
      <c r="M2248" s="6"/>
      <c r="N2248" s="6"/>
      <c r="O2248" s="6"/>
      <c r="P2248" s="6"/>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c r="BU2248" s="6"/>
      <c r="BV2248" s="6"/>
      <c r="BW2248" s="6"/>
      <c r="BX2248" s="6"/>
      <c r="BY2248" s="6"/>
      <c r="BZ2248" s="6"/>
      <c r="CA2248" s="6"/>
      <c r="CB2248" s="6"/>
      <c r="CC2248" s="6"/>
      <c r="CD2248" s="6"/>
      <c r="CE2248" s="6"/>
      <c r="CF2248" s="6"/>
      <c r="CG2248" s="6"/>
      <c r="CH2248" s="6"/>
      <c r="CI2248" s="6"/>
      <c r="CJ2248" s="6"/>
      <c r="CK2248" s="6"/>
      <c r="CL2248" s="6"/>
      <c r="CM2248" s="6"/>
      <c r="CN2248" s="6"/>
      <c r="CO2248" s="6"/>
      <c r="CP2248" s="6"/>
      <c r="CQ2248" s="6"/>
      <c r="CR2248" s="6"/>
      <c r="CS2248" s="6"/>
      <c r="CT2248" s="6"/>
      <c r="CU2248" s="6"/>
      <c r="CV2248" s="6"/>
      <c r="CW2248" s="6"/>
      <c r="CX2248" s="6"/>
      <c r="CY2248" s="6"/>
      <c r="CZ2248" s="6"/>
      <c r="DA2248" s="6"/>
      <c r="DB2248" s="6"/>
      <c r="DC2248" s="6"/>
      <c r="DD2248" s="6"/>
    </row>
    <row r="2249" spans="1:108" ht="12.75" hidden="1" customHeight="1" outlineLevel="5">
      <c r="A2249" s="104" t="s">
        <v>239</v>
      </c>
      <c r="B2249" s="28">
        <f t="shared" si="123"/>
        <v>1.1499999999999999</v>
      </c>
      <c r="C2249" s="11"/>
      <c r="D2249" s="18" t="str">
        <f t="shared" si="124"/>
        <v>&lt;Eng_Thrt_Ratio&gt;1.150000&lt;/Eng_Thrt_Ratio&gt;</v>
      </c>
      <c r="F2249" s="6"/>
      <c r="G2249" s="6"/>
      <c r="H2249" s="6"/>
      <c r="I2249" s="6"/>
      <c r="J2249" s="6"/>
      <c r="K2249" s="6"/>
      <c r="L2249" s="6"/>
      <c r="M2249" s="6"/>
      <c r="N2249" s="6"/>
      <c r="O2249" s="6"/>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c r="BU2249" s="6"/>
      <c r="BV2249" s="6"/>
      <c r="BW2249" s="6"/>
      <c r="BX2249" s="6"/>
      <c r="BY2249" s="6"/>
      <c r="BZ2249" s="6"/>
      <c r="CA2249" s="6"/>
      <c r="CB2249" s="6"/>
      <c r="CC2249" s="6"/>
      <c r="CD2249" s="6"/>
      <c r="CE2249" s="6"/>
      <c r="CF2249" s="6"/>
      <c r="CG2249" s="6"/>
      <c r="CH2249" s="6"/>
      <c r="CI2249" s="6"/>
      <c r="CJ2249" s="6"/>
      <c r="CK2249" s="6"/>
      <c r="CL2249" s="6"/>
      <c r="CM2249" s="6"/>
      <c r="CN2249" s="6"/>
      <c r="CO2249" s="6"/>
      <c r="CP2249" s="6"/>
      <c r="CQ2249" s="6"/>
      <c r="CR2249" s="6"/>
      <c r="CS2249" s="6"/>
      <c r="CT2249" s="6"/>
      <c r="CU2249" s="6"/>
      <c r="CV2249" s="6"/>
      <c r="CW2249" s="6"/>
      <c r="CX2249" s="6"/>
      <c r="CY2249" s="6"/>
      <c r="CZ2249" s="6"/>
      <c r="DA2249" s="6"/>
      <c r="DB2249" s="6"/>
      <c r="DC2249" s="6"/>
      <c r="DD2249" s="6"/>
    </row>
    <row r="2250" spans="1:108" ht="12.75" hidden="1" customHeight="1" outlineLevel="5">
      <c r="A2250" s="104" t="s">
        <v>240</v>
      </c>
      <c r="B2250" s="28">
        <f t="shared" si="123"/>
        <v>1.1499999999999999</v>
      </c>
      <c r="C2250" s="11"/>
      <c r="D2250" s="18" t="str">
        <f t="shared" si="124"/>
        <v>&lt;Hilight_Thrt_Ratio&gt;1.150000&lt;/Hilight_Thrt_Ratio&gt;</v>
      </c>
      <c r="F2250" s="6"/>
      <c r="G2250" s="6"/>
      <c r="H2250" s="6"/>
      <c r="I2250" s="6"/>
      <c r="J2250" s="6"/>
      <c r="K2250" s="6"/>
      <c r="L2250" s="6"/>
      <c r="M2250" s="6"/>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c r="BU2250" s="6"/>
      <c r="BV2250" s="6"/>
      <c r="BW2250" s="6"/>
      <c r="BX2250" s="6"/>
      <c r="BY2250" s="6"/>
      <c r="BZ2250" s="6"/>
      <c r="CA2250" s="6"/>
      <c r="CB2250" s="6"/>
      <c r="CC2250" s="6"/>
      <c r="CD2250" s="6"/>
      <c r="CE2250" s="6"/>
      <c r="CF2250" s="6"/>
      <c r="CG2250" s="6"/>
      <c r="CH2250" s="6"/>
      <c r="CI2250" s="6"/>
      <c r="CJ2250" s="6"/>
      <c r="CK2250" s="6"/>
      <c r="CL2250" s="6"/>
      <c r="CM2250" s="6"/>
      <c r="CN2250" s="6"/>
      <c r="CO2250" s="6"/>
      <c r="CP2250" s="6"/>
      <c r="CQ2250" s="6"/>
      <c r="CR2250" s="6"/>
      <c r="CS2250" s="6"/>
      <c r="CT2250" s="6"/>
      <c r="CU2250" s="6"/>
      <c r="CV2250" s="6"/>
      <c r="CW2250" s="6"/>
      <c r="CX2250" s="6"/>
      <c r="CY2250" s="6"/>
      <c r="CZ2250" s="6"/>
      <c r="DA2250" s="6"/>
      <c r="DB2250" s="6"/>
      <c r="DC2250" s="6"/>
      <c r="DD2250" s="6"/>
    </row>
    <row r="2251" spans="1:108" ht="12.75" hidden="1" customHeight="1" outlineLevel="5">
      <c r="A2251" s="104" t="s">
        <v>241</v>
      </c>
      <c r="B2251" s="28">
        <f t="shared" si="123"/>
        <v>1.026904</v>
      </c>
      <c r="C2251" s="11"/>
      <c r="D2251" s="18" t="str">
        <f t="shared" si="124"/>
        <v>&lt;Lip_Finess_Ratio&gt;1.026904&lt;/Lip_Finess_Ratio&gt;</v>
      </c>
      <c r="F2251" s="6"/>
      <c r="G2251" s="6"/>
      <c r="H2251" s="6"/>
      <c r="I2251" s="6"/>
      <c r="J2251" s="6"/>
      <c r="K2251" s="6"/>
      <c r="L2251" s="6"/>
      <c r="M2251" s="6"/>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c r="BU2251" s="6"/>
      <c r="BV2251" s="6"/>
      <c r="BW2251" s="6"/>
      <c r="BX2251" s="6"/>
      <c r="BY2251" s="6"/>
      <c r="BZ2251" s="6"/>
      <c r="CA2251" s="6"/>
      <c r="CB2251" s="6"/>
      <c r="CC2251" s="6"/>
      <c r="CD2251" s="6"/>
      <c r="CE2251" s="6"/>
      <c r="CF2251" s="6"/>
      <c r="CG2251" s="6"/>
      <c r="CH2251" s="6"/>
      <c r="CI2251" s="6"/>
      <c r="CJ2251" s="6"/>
      <c r="CK2251" s="6"/>
      <c r="CL2251" s="6"/>
      <c r="CM2251" s="6"/>
      <c r="CN2251" s="6"/>
      <c r="CO2251" s="6"/>
      <c r="CP2251" s="6"/>
      <c r="CQ2251" s="6"/>
      <c r="CR2251" s="6"/>
      <c r="CS2251" s="6"/>
      <c r="CT2251" s="6"/>
      <c r="CU2251" s="6"/>
      <c r="CV2251" s="6"/>
      <c r="CW2251" s="6"/>
      <c r="CX2251" s="6"/>
      <c r="CY2251" s="6"/>
      <c r="CZ2251" s="6"/>
      <c r="DA2251" s="6"/>
      <c r="DB2251" s="6"/>
      <c r="DC2251" s="6"/>
      <c r="DD2251" s="6"/>
    </row>
    <row r="2252" spans="1:108" ht="12.75" hidden="1" customHeight="1" outlineLevel="5">
      <c r="A2252" s="104" t="s">
        <v>242</v>
      </c>
      <c r="B2252" s="28">
        <f t="shared" si="123"/>
        <v>1</v>
      </c>
      <c r="C2252" s="11"/>
      <c r="D2252" s="18" t="str">
        <f t="shared" si="124"/>
        <v>&lt;Height_Width_Ratio&gt;1.000000&lt;/Height_Width_Ratio&gt;</v>
      </c>
      <c r="F2252" s="6"/>
      <c r="G2252" s="6"/>
      <c r="H2252" s="6"/>
      <c r="I2252" s="6"/>
      <c r="J2252" s="6"/>
      <c r="K2252" s="6"/>
      <c r="L2252" s="6"/>
      <c r="M2252" s="6"/>
      <c r="N2252" s="6"/>
      <c r="O2252" s="6"/>
      <c r="P2252" s="6"/>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c r="BU2252" s="6"/>
      <c r="BV2252" s="6"/>
      <c r="BW2252" s="6"/>
      <c r="BX2252" s="6"/>
      <c r="BY2252" s="6"/>
      <c r="BZ2252" s="6"/>
      <c r="CA2252" s="6"/>
      <c r="CB2252" s="6"/>
      <c r="CC2252" s="6"/>
      <c r="CD2252" s="6"/>
      <c r="CE2252" s="6"/>
      <c r="CF2252" s="6"/>
      <c r="CG2252" s="6"/>
      <c r="CH2252" s="6"/>
      <c r="CI2252" s="6"/>
      <c r="CJ2252" s="6"/>
      <c r="CK2252" s="6"/>
      <c r="CL2252" s="6"/>
      <c r="CM2252" s="6"/>
      <c r="CN2252" s="6"/>
      <c r="CO2252" s="6"/>
      <c r="CP2252" s="6"/>
      <c r="CQ2252" s="6"/>
      <c r="CR2252" s="6"/>
      <c r="CS2252" s="6"/>
      <c r="CT2252" s="6"/>
      <c r="CU2252" s="6"/>
      <c r="CV2252" s="6"/>
      <c r="CW2252" s="6"/>
      <c r="CX2252" s="6"/>
      <c r="CY2252" s="6"/>
      <c r="CZ2252" s="6"/>
      <c r="DA2252" s="6"/>
      <c r="DB2252" s="6"/>
      <c r="DC2252" s="6"/>
      <c r="DD2252" s="6"/>
    </row>
    <row r="2253" spans="1:108" ht="12.75" hidden="1" customHeight="1" outlineLevel="5">
      <c r="A2253" s="104" t="s">
        <v>243</v>
      </c>
      <c r="B2253" s="28">
        <f t="shared" si="123"/>
        <v>-0.95229299999999995</v>
      </c>
      <c r="C2253" s="11"/>
      <c r="D2253" s="18" t="str">
        <f t="shared" si="124"/>
        <v>&lt;Upper_Surf_Shape_Factor&gt;-0.952293&lt;/Upper_Surf_Shape_Factor&gt;</v>
      </c>
      <c r="F2253" s="6"/>
      <c r="G2253" s="6"/>
      <c r="H2253" s="6"/>
      <c r="I2253" s="6"/>
      <c r="J2253" s="6"/>
      <c r="K2253" s="6"/>
      <c r="L2253" s="6"/>
      <c r="M2253" s="6"/>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c r="BU2253" s="6"/>
      <c r="BV2253" s="6"/>
      <c r="BW2253" s="6"/>
      <c r="BX2253" s="6"/>
      <c r="BY2253" s="6"/>
      <c r="BZ2253" s="6"/>
      <c r="CA2253" s="6"/>
      <c r="CB2253" s="6"/>
      <c r="CC2253" s="6"/>
      <c r="CD2253" s="6"/>
      <c r="CE2253" s="6"/>
      <c r="CF2253" s="6"/>
      <c r="CG2253" s="6"/>
      <c r="CH2253" s="6"/>
      <c r="CI2253" s="6"/>
      <c r="CJ2253" s="6"/>
      <c r="CK2253" s="6"/>
      <c r="CL2253" s="6"/>
      <c r="CM2253" s="6"/>
      <c r="CN2253" s="6"/>
      <c r="CO2253" s="6"/>
      <c r="CP2253" s="6"/>
      <c r="CQ2253" s="6"/>
      <c r="CR2253" s="6"/>
      <c r="CS2253" s="6"/>
      <c r="CT2253" s="6"/>
      <c r="CU2253" s="6"/>
      <c r="CV2253" s="6"/>
      <c r="CW2253" s="6"/>
      <c r="CX2253" s="6"/>
      <c r="CY2253" s="6"/>
      <c r="CZ2253" s="6"/>
      <c r="DA2253" s="6"/>
      <c r="DB2253" s="6"/>
      <c r="DC2253" s="6"/>
      <c r="DD2253" s="6"/>
    </row>
    <row r="2254" spans="1:108" ht="12.75" hidden="1" customHeight="1" outlineLevel="5">
      <c r="A2254" s="104" t="s">
        <v>244</v>
      </c>
      <c r="B2254" s="28">
        <f t="shared" si="123"/>
        <v>0.66507400000000005</v>
      </c>
      <c r="C2254" s="11"/>
      <c r="D2254" s="18" t="str">
        <f t="shared" si="124"/>
        <v>&lt;Lower_Surf_Shape_Factor&gt;0.665074&lt;/Lower_Surf_Shape_Factor&gt;</v>
      </c>
      <c r="F2254" s="6"/>
      <c r="G2254" s="6"/>
      <c r="H2254" s="6"/>
      <c r="I2254" s="6"/>
      <c r="J2254" s="6"/>
      <c r="K2254" s="6"/>
      <c r="L2254" s="6"/>
      <c r="M2254" s="6"/>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c r="BU2254" s="6"/>
      <c r="BV2254" s="6"/>
      <c r="BW2254" s="6"/>
      <c r="BX2254" s="6"/>
      <c r="BY2254" s="6"/>
      <c r="BZ2254" s="6"/>
      <c r="CA2254" s="6"/>
      <c r="CB2254" s="6"/>
      <c r="CC2254" s="6"/>
      <c r="CD2254" s="6"/>
      <c r="CE2254" s="6"/>
      <c r="CF2254" s="6"/>
      <c r="CG2254" s="6"/>
      <c r="CH2254" s="6"/>
      <c r="CI2254" s="6"/>
      <c r="CJ2254" s="6"/>
      <c r="CK2254" s="6"/>
      <c r="CL2254" s="6"/>
      <c r="CM2254" s="6"/>
      <c r="CN2254" s="6"/>
      <c r="CO2254" s="6"/>
      <c r="CP2254" s="6"/>
      <c r="CQ2254" s="6"/>
      <c r="CR2254" s="6"/>
      <c r="CS2254" s="6"/>
      <c r="CT2254" s="6"/>
      <c r="CU2254" s="6"/>
      <c r="CV2254" s="6"/>
      <c r="CW2254" s="6"/>
      <c r="CX2254" s="6"/>
      <c r="CY2254" s="6"/>
      <c r="CZ2254" s="6"/>
      <c r="DA2254" s="6"/>
      <c r="DB2254" s="6"/>
      <c r="DC2254" s="6"/>
      <c r="DD2254" s="6"/>
    </row>
    <row r="2255" spans="1:108" ht="12.75" hidden="1" customHeight="1" outlineLevel="5">
      <c r="A2255" s="104" t="s">
        <v>245</v>
      </c>
      <c r="B2255" s="28">
        <f t="shared" si="123"/>
        <v>90</v>
      </c>
      <c r="C2255" s="11"/>
      <c r="D2255" s="18" t="str">
        <f t="shared" si="124"/>
        <v>&lt;Inlet_X_Axis_Rot&gt;90.000000&lt;/Inlet_X_Axis_Rot&gt;</v>
      </c>
      <c r="F2255" s="6"/>
      <c r="G2255" s="6"/>
      <c r="H2255" s="6"/>
      <c r="I2255" s="6"/>
      <c r="J2255" s="6"/>
      <c r="K2255" s="6"/>
      <c r="L2255" s="6"/>
      <c r="M2255" s="6"/>
      <c r="N2255" s="6"/>
      <c r="O2255" s="6"/>
      <c r="P2255" s="6"/>
      <c r="Q2255" s="6"/>
      <c r="R2255" s="6"/>
      <c r="S2255" s="6"/>
      <c r="T2255" s="6"/>
      <c r="U2255" s="6"/>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c r="BU2255" s="6"/>
      <c r="BV2255" s="6"/>
      <c r="BW2255" s="6"/>
      <c r="BX2255" s="6"/>
      <c r="BY2255" s="6"/>
      <c r="BZ2255" s="6"/>
      <c r="CA2255" s="6"/>
      <c r="CB2255" s="6"/>
      <c r="CC2255" s="6"/>
      <c r="CD2255" s="6"/>
      <c r="CE2255" s="6"/>
      <c r="CF2255" s="6"/>
      <c r="CG2255" s="6"/>
      <c r="CH2255" s="6"/>
      <c r="CI2255" s="6"/>
      <c r="CJ2255" s="6"/>
      <c r="CK2255" s="6"/>
      <c r="CL2255" s="6"/>
      <c r="CM2255" s="6"/>
      <c r="CN2255" s="6"/>
      <c r="CO2255" s="6"/>
      <c r="CP2255" s="6"/>
      <c r="CQ2255" s="6"/>
      <c r="CR2255" s="6"/>
      <c r="CS2255" s="6"/>
      <c r="CT2255" s="6"/>
      <c r="CU2255" s="6"/>
      <c r="CV2255" s="6"/>
      <c r="CW2255" s="6"/>
      <c r="CX2255" s="6"/>
      <c r="CY2255" s="6"/>
      <c r="CZ2255" s="6"/>
      <c r="DA2255" s="6"/>
      <c r="DB2255" s="6"/>
      <c r="DC2255" s="6"/>
      <c r="DD2255" s="6"/>
    </row>
    <row r="2256" spans="1:108" ht="12.75" hidden="1" customHeight="1" outlineLevel="5">
      <c r="A2256" s="104" t="s">
        <v>246</v>
      </c>
      <c r="B2256" s="28">
        <f t="shared" si="123"/>
        <v>2</v>
      </c>
      <c r="C2256" s="11"/>
      <c r="D2256" s="18" t="str">
        <f t="shared" si="124"/>
        <v>&lt;Inlet_Scarf_Angle&gt;2.000000&lt;/Inlet_Scarf_Angle&gt;</v>
      </c>
      <c r="F2256" s="6"/>
      <c r="G2256" s="6"/>
      <c r="H2256" s="6"/>
      <c r="I2256" s="6"/>
      <c r="J2256" s="6"/>
      <c r="K2256" s="6"/>
      <c r="L2256" s="6"/>
      <c r="M2256" s="6"/>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c r="BU2256" s="6"/>
      <c r="BV2256" s="6"/>
      <c r="BW2256" s="6"/>
      <c r="BX2256" s="6"/>
      <c r="BY2256" s="6"/>
      <c r="BZ2256" s="6"/>
      <c r="CA2256" s="6"/>
      <c r="CB2256" s="6"/>
      <c r="CC2256" s="6"/>
      <c r="CD2256" s="6"/>
      <c r="CE2256" s="6"/>
      <c r="CF2256" s="6"/>
      <c r="CG2256" s="6"/>
      <c r="CH2256" s="6"/>
      <c r="CI2256" s="6"/>
      <c r="CJ2256" s="6"/>
      <c r="CK2256" s="6"/>
      <c r="CL2256" s="6"/>
      <c r="CM2256" s="6"/>
      <c r="CN2256" s="6"/>
      <c r="CO2256" s="6"/>
      <c r="CP2256" s="6"/>
      <c r="CQ2256" s="6"/>
      <c r="CR2256" s="6"/>
      <c r="CS2256" s="6"/>
      <c r="CT2256" s="6"/>
      <c r="CU2256" s="6"/>
      <c r="CV2256" s="6"/>
      <c r="CW2256" s="6"/>
      <c r="CX2256" s="6"/>
      <c r="CY2256" s="6"/>
      <c r="CZ2256" s="6"/>
      <c r="DA2256" s="6"/>
      <c r="DB2256" s="6"/>
      <c r="DC2256" s="6"/>
      <c r="DD2256" s="6"/>
    </row>
    <row r="2257" spans="1:108" ht="12.75" hidden="1" customHeight="1" outlineLevel="5">
      <c r="A2257" s="104" t="s">
        <v>247</v>
      </c>
      <c r="B2257" s="28">
        <f t="shared" si="123"/>
        <v>0</v>
      </c>
      <c r="C2257" s="11"/>
      <c r="D2257" s="18" t="str">
        <f>"&lt;" &amp; A2257 &amp; "&gt;" &amp; TEXT(B2257,0) &amp; "&lt;/" &amp; A2257 &amp; "&gt;"</f>
        <v>&lt;Inlet_Duct_On_Off&gt;0&lt;/Inlet_Duct_On_Off&gt;</v>
      </c>
      <c r="F2257" s="6"/>
      <c r="G2257" s="6"/>
      <c r="H2257" s="6"/>
      <c r="I2257" s="6"/>
      <c r="J2257" s="6"/>
      <c r="K2257" s="6"/>
      <c r="L2257" s="6"/>
      <c r="M2257" s="6"/>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c r="BU2257" s="6"/>
      <c r="BV2257" s="6"/>
      <c r="BW2257" s="6"/>
      <c r="BX2257" s="6"/>
      <c r="BY2257" s="6"/>
      <c r="BZ2257" s="6"/>
      <c r="CA2257" s="6"/>
      <c r="CB2257" s="6"/>
      <c r="CC2257" s="6"/>
      <c r="CD2257" s="6"/>
      <c r="CE2257" s="6"/>
      <c r="CF2257" s="6"/>
      <c r="CG2257" s="6"/>
      <c r="CH2257" s="6"/>
      <c r="CI2257" s="6"/>
      <c r="CJ2257" s="6"/>
      <c r="CK2257" s="6"/>
      <c r="CL2257" s="6"/>
      <c r="CM2257" s="6"/>
      <c r="CN2257" s="6"/>
      <c r="CO2257" s="6"/>
      <c r="CP2257" s="6"/>
      <c r="CQ2257" s="6"/>
      <c r="CR2257" s="6"/>
      <c r="CS2257" s="6"/>
      <c r="CT2257" s="6"/>
      <c r="CU2257" s="6"/>
      <c r="CV2257" s="6"/>
      <c r="CW2257" s="6"/>
      <c r="CX2257" s="6"/>
      <c r="CY2257" s="6"/>
      <c r="CZ2257" s="6"/>
      <c r="DA2257" s="6"/>
      <c r="DB2257" s="6"/>
      <c r="DC2257" s="6"/>
      <c r="DD2257" s="6"/>
    </row>
    <row r="2258" spans="1:108" ht="12.75" hidden="1" customHeight="1" outlineLevel="5">
      <c r="A2258" s="104" t="s">
        <v>248</v>
      </c>
      <c r="B2258" s="28">
        <f t="shared" si="123"/>
        <v>3</v>
      </c>
      <c r="C2258" s="11"/>
      <c r="D2258" s="18" t="str">
        <f>"&lt;" &amp; A2258 &amp; "&gt;" &amp; TEXT(B2258,"0.000000") &amp; "&lt;/" &amp; A2258 &amp; "&gt;"</f>
        <v>&lt;Inlet_Duct_X_Offset&gt;3.000000&lt;/Inlet_Duct_X_Offset&gt;</v>
      </c>
      <c r="F2258" s="6"/>
      <c r="G2258" s="6"/>
      <c r="H2258" s="6"/>
      <c r="I2258" s="6"/>
      <c r="J2258" s="6"/>
      <c r="K2258" s="6"/>
      <c r="L2258" s="6"/>
      <c r="M2258" s="6"/>
      <c r="N2258" s="6"/>
      <c r="O2258" s="6"/>
      <c r="P2258" s="6"/>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c r="BU2258" s="6"/>
      <c r="BV2258" s="6"/>
      <c r="BW2258" s="6"/>
      <c r="BX2258" s="6"/>
      <c r="BY2258" s="6"/>
      <c r="BZ2258" s="6"/>
      <c r="CA2258" s="6"/>
      <c r="CB2258" s="6"/>
      <c r="CC2258" s="6"/>
      <c r="CD2258" s="6"/>
      <c r="CE2258" s="6"/>
      <c r="CF2258" s="6"/>
      <c r="CG2258" s="6"/>
      <c r="CH2258" s="6"/>
      <c r="CI2258" s="6"/>
      <c r="CJ2258" s="6"/>
      <c r="CK2258" s="6"/>
      <c r="CL2258" s="6"/>
      <c r="CM2258" s="6"/>
      <c r="CN2258" s="6"/>
      <c r="CO2258" s="6"/>
      <c r="CP2258" s="6"/>
      <c r="CQ2258" s="6"/>
      <c r="CR2258" s="6"/>
      <c r="CS2258" s="6"/>
      <c r="CT2258" s="6"/>
      <c r="CU2258" s="6"/>
      <c r="CV2258" s="6"/>
      <c r="CW2258" s="6"/>
      <c r="CX2258" s="6"/>
      <c r="CY2258" s="6"/>
      <c r="CZ2258" s="6"/>
      <c r="DA2258" s="6"/>
      <c r="DB2258" s="6"/>
      <c r="DC2258" s="6"/>
      <c r="DD2258" s="6"/>
    </row>
    <row r="2259" spans="1:108" ht="12.75" hidden="1" customHeight="1" outlineLevel="5">
      <c r="A2259" s="104" t="s">
        <v>249</v>
      </c>
      <c r="B2259" s="28">
        <f t="shared" si="123"/>
        <v>1</v>
      </c>
      <c r="C2259" s="11"/>
      <c r="D2259" s="18" t="str">
        <f>"&lt;" &amp; A2259 &amp; "&gt;" &amp; TEXT(B2259,"0.000000") &amp; "&lt;/" &amp; A2259 &amp; "&gt;"</f>
        <v>&lt;Inlet_Duct_Y_Offset&gt;1.000000&lt;/Inlet_Duct_Y_Offset&gt;</v>
      </c>
      <c r="F2259" s="6"/>
      <c r="G2259" s="6"/>
      <c r="H2259" s="6"/>
      <c r="I2259" s="6"/>
      <c r="J2259" s="6"/>
      <c r="K2259" s="6"/>
      <c r="L2259" s="6"/>
      <c r="M2259" s="6"/>
      <c r="N2259" s="6"/>
      <c r="O2259" s="6"/>
      <c r="P2259" s="6"/>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c r="BU2259" s="6"/>
      <c r="BV2259" s="6"/>
      <c r="BW2259" s="6"/>
      <c r="BX2259" s="6"/>
      <c r="BY2259" s="6"/>
      <c r="BZ2259" s="6"/>
      <c r="CA2259" s="6"/>
      <c r="CB2259" s="6"/>
      <c r="CC2259" s="6"/>
      <c r="CD2259" s="6"/>
      <c r="CE2259" s="6"/>
      <c r="CF2259" s="6"/>
      <c r="CG2259" s="6"/>
      <c r="CH2259" s="6"/>
      <c r="CI2259" s="6"/>
      <c r="CJ2259" s="6"/>
      <c r="CK2259" s="6"/>
      <c r="CL2259" s="6"/>
      <c r="CM2259" s="6"/>
      <c r="CN2259" s="6"/>
      <c r="CO2259" s="6"/>
      <c r="CP2259" s="6"/>
      <c r="CQ2259" s="6"/>
      <c r="CR2259" s="6"/>
      <c r="CS2259" s="6"/>
      <c r="CT2259" s="6"/>
      <c r="CU2259" s="6"/>
      <c r="CV2259" s="6"/>
      <c r="CW2259" s="6"/>
      <c r="CX2259" s="6"/>
      <c r="CY2259" s="6"/>
      <c r="CZ2259" s="6"/>
      <c r="DA2259" s="6"/>
      <c r="DB2259" s="6"/>
      <c r="DC2259" s="6"/>
      <c r="DD2259" s="6"/>
    </row>
    <row r="2260" spans="1:108" ht="12.75" hidden="1" customHeight="1" outlineLevel="5">
      <c r="A2260" s="104" t="s">
        <v>250</v>
      </c>
      <c r="B2260" s="28">
        <f t="shared" si="123"/>
        <v>0.5</v>
      </c>
      <c r="C2260" s="11"/>
      <c r="D2260" s="18" t="str">
        <f>"&lt;" &amp; A2260 &amp; "&gt;" &amp; TEXT(B2260,"0.000000") &amp; "&lt;/" &amp; A2260 &amp; "&gt;"</f>
        <v>&lt;Inlet_Duct_Shape_Factor&gt;0.500000&lt;/Inlet_Duct_Shape_Factor&gt;</v>
      </c>
      <c r="F2260" s="6"/>
      <c r="G2260" s="6"/>
      <c r="H2260" s="6"/>
      <c r="I2260" s="6"/>
      <c r="J2260" s="6"/>
      <c r="K2260" s="6"/>
      <c r="L2260" s="6"/>
      <c r="M2260" s="6"/>
      <c r="N2260" s="6"/>
      <c r="O2260" s="6"/>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c r="BU2260" s="6"/>
      <c r="BV2260" s="6"/>
      <c r="BW2260" s="6"/>
      <c r="BX2260" s="6"/>
      <c r="BY2260" s="6"/>
      <c r="BZ2260" s="6"/>
      <c r="CA2260" s="6"/>
      <c r="CB2260" s="6"/>
      <c r="CC2260" s="6"/>
      <c r="CD2260" s="6"/>
      <c r="CE2260" s="6"/>
      <c r="CF2260" s="6"/>
      <c r="CG2260" s="6"/>
      <c r="CH2260" s="6"/>
      <c r="CI2260" s="6"/>
      <c r="CJ2260" s="6"/>
      <c r="CK2260" s="6"/>
      <c r="CL2260" s="6"/>
      <c r="CM2260" s="6"/>
      <c r="CN2260" s="6"/>
      <c r="CO2260" s="6"/>
      <c r="CP2260" s="6"/>
      <c r="CQ2260" s="6"/>
      <c r="CR2260" s="6"/>
      <c r="CS2260" s="6"/>
      <c r="CT2260" s="6"/>
      <c r="CU2260" s="6"/>
      <c r="CV2260" s="6"/>
      <c r="CW2260" s="6"/>
      <c r="CX2260" s="6"/>
      <c r="CY2260" s="6"/>
      <c r="CZ2260" s="6"/>
      <c r="DA2260" s="6"/>
      <c r="DB2260" s="6"/>
      <c r="DC2260" s="6"/>
      <c r="DD2260" s="6"/>
    </row>
    <row r="2261" spans="1:108" ht="12.75" hidden="1" customHeight="1" outlineLevel="5">
      <c r="A2261" s="104" t="s">
        <v>251</v>
      </c>
      <c r="B2261" s="28">
        <f t="shared" si="123"/>
        <v>0</v>
      </c>
      <c r="C2261" s="11"/>
      <c r="D2261" s="18" t="str">
        <f>"&lt;" &amp; A2261 &amp; "&gt;" &amp; TEXT(B2261,0) &amp; "&lt;/" &amp; A2261 &amp; "&gt;"</f>
        <v>&lt;Divertor_On_Off&gt;0&lt;/Divertor_On_Off&gt;</v>
      </c>
      <c r="F2261" s="6"/>
      <c r="G2261" s="6"/>
      <c r="H2261" s="6"/>
      <c r="I2261" s="6"/>
      <c r="J2261" s="6"/>
      <c r="K2261" s="6"/>
      <c r="L2261" s="6"/>
      <c r="M2261" s="6"/>
      <c r="N2261" s="6"/>
      <c r="O2261" s="6"/>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c r="BU2261" s="6"/>
      <c r="BV2261" s="6"/>
      <c r="BW2261" s="6"/>
      <c r="BX2261" s="6"/>
      <c r="BY2261" s="6"/>
      <c r="BZ2261" s="6"/>
      <c r="CA2261" s="6"/>
      <c r="CB2261" s="6"/>
      <c r="CC2261" s="6"/>
      <c r="CD2261" s="6"/>
      <c r="CE2261" s="6"/>
      <c r="CF2261" s="6"/>
      <c r="CG2261" s="6"/>
      <c r="CH2261" s="6"/>
      <c r="CI2261" s="6"/>
      <c r="CJ2261" s="6"/>
      <c r="CK2261" s="6"/>
      <c r="CL2261" s="6"/>
      <c r="CM2261" s="6"/>
      <c r="CN2261" s="6"/>
      <c r="CO2261" s="6"/>
      <c r="CP2261" s="6"/>
      <c r="CQ2261" s="6"/>
      <c r="CR2261" s="6"/>
      <c r="CS2261" s="6"/>
      <c r="CT2261" s="6"/>
      <c r="CU2261" s="6"/>
      <c r="CV2261" s="6"/>
      <c r="CW2261" s="6"/>
      <c r="CX2261" s="6"/>
      <c r="CY2261" s="6"/>
      <c r="CZ2261" s="6"/>
      <c r="DA2261" s="6"/>
      <c r="DB2261" s="6"/>
      <c r="DC2261" s="6"/>
      <c r="DD2261" s="6"/>
    </row>
    <row r="2262" spans="1:108" ht="12.75" hidden="1" customHeight="1" outlineLevel="5">
      <c r="A2262" s="104" t="s">
        <v>252</v>
      </c>
      <c r="B2262" s="28">
        <f t="shared" si="123"/>
        <v>0.5</v>
      </c>
      <c r="C2262" s="11"/>
      <c r="D2262" s="18" t="str">
        <f>"&lt;" &amp; A2262 &amp; "&gt;" &amp; TEXT(B2262,"0.000000") &amp; "&lt;/" &amp; A2262 &amp; "&gt;"</f>
        <v>&lt;Divertor_Height&gt;0.500000&lt;/Divertor_Height&gt;</v>
      </c>
      <c r="F2262" s="6"/>
      <c r="G2262" s="6"/>
      <c r="H2262" s="6"/>
      <c r="I2262" s="6"/>
      <c r="J2262" s="6"/>
      <c r="K2262" s="6"/>
      <c r="L2262" s="6"/>
      <c r="M2262" s="6"/>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c r="BU2262" s="6"/>
      <c r="BV2262" s="6"/>
      <c r="BW2262" s="6"/>
      <c r="BX2262" s="6"/>
      <c r="BY2262" s="6"/>
      <c r="BZ2262" s="6"/>
      <c r="CA2262" s="6"/>
      <c r="CB2262" s="6"/>
      <c r="CC2262" s="6"/>
      <c r="CD2262" s="6"/>
      <c r="CE2262" s="6"/>
      <c r="CF2262" s="6"/>
      <c r="CG2262" s="6"/>
      <c r="CH2262" s="6"/>
      <c r="CI2262" s="6"/>
      <c r="CJ2262" s="6"/>
      <c r="CK2262" s="6"/>
      <c r="CL2262" s="6"/>
      <c r="CM2262" s="6"/>
      <c r="CN2262" s="6"/>
      <c r="CO2262" s="6"/>
      <c r="CP2262" s="6"/>
      <c r="CQ2262" s="6"/>
      <c r="CR2262" s="6"/>
      <c r="CS2262" s="6"/>
      <c r="CT2262" s="6"/>
      <c r="CU2262" s="6"/>
      <c r="CV2262" s="6"/>
      <c r="CW2262" s="6"/>
      <c r="CX2262" s="6"/>
      <c r="CY2262" s="6"/>
      <c r="CZ2262" s="6"/>
      <c r="DA2262" s="6"/>
      <c r="DB2262" s="6"/>
      <c r="DC2262" s="6"/>
      <c r="DD2262" s="6"/>
    </row>
    <row r="2263" spans="1:108" ht="12.75" hidden="1" customHeight="1" outlineLevel="5">
      <c r="A2263" s="104" t="s">
        <v>253</v>
      </c>
      <c r="B2263" s="28">
        <f t="shared" si="123"/>
        <v>1</v>
      </c>
      <c r="C2263" s="11"/>
      <c r="D2263" s="18" t="str">
        <f>"&lt;" &amp; A2263 &amp; "&gt;" &amp; TEXT(B2263,"0.000000") &amp; "&lt;/" &amp; A2263 &amp; "&gt;"</f>
        <v>&lt;Divertor_Length&gt;1.000000&lt;/Divertor_Length&gt;</v>
      </c>
      <c r="F2263" s="6"/>
      <c r="G2263" s="6"/>
      <c r="H2263" s="6"/>
      <c r="I2263" s="6"/>
      <c r="J2263" s="6"/>
      <c r="K2263" s="6"/>
      <c r="L2263" s="6"/>
      <c r="M2263" s="6"/>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c r="BU2263" s="6"/>
      <c r="BV2263" s="6"/>
      <c r="BW2263" s="6"/>
      <c r="BX2263" s="6"/>
      <c r="BY2263" s="6"/>
      <c r="BZ2263" s="6"/>
      <c r="CA2263" s="6"/>
      <c r="CB2263" s="6"/>
      <c r="CC2263" s="6"/>
      <c r="CD2263" s="6"/>
      <c r="CE2263" s="6"/>
      <c r="CF2263" s="6"/>
      <c r="CG2263" s="6"/>
      <c r="CH2263" s="6"/>
      <c r="CI2263" s="6"/>
      <c r="CJ2263" s="6"/>
      <c r="CK2263" s="6"/>
      <c r="CL2263" s="6"/>
      <c r="CM2263" s="6"/>
      <c r="CN2263" s="6"/>
      <c r="CO2263" s="6"/>
      <c r="CP2263" s="6"/>
      <c r="CQ2263" s="6"/>
      <c r="CR2263" s="6"/>
      <c r="CS2263" s="6"/>
      <c r="CT2263" s="6"/>
      <c r="CU2263" s="6"/>
      <c r="CV2263" s="6"/>
      <c r="CW2263" s="6"/>
      <c r="CX2263" s="6"/>
      <c r="CY2263" s="6"/>
      <c r="CZ2263" s="6"/>
      <c r="DA2263" s="6"/>
      <c r="DB2263" s="6"/>
      <c r="DC2263" s="6"/>
      <c r="DD2263" s="6"/>
    </row>
    <row r="2264" spans="1:108" ht="12.75" hidden="1" customHeight="1" outlineLevel="5">
      <c r="A2264" s="104" t="s">
        <v>254</v>
      </c>
      <c r="B2264" s="28">
        <f t="shared" si="123"/>
        <v>0</v>
      </c>
      <c r="C2264" s="11"/>
      <c r="D2264" s="18" t="str">
        <f>"&lt;" &amp; A2264 &amp; "&gt;" &amp; TEXT(B2264,0) &amp; "&lt;/" &amp; A2264 &amp; "&gt;"</f>
        <v>&lt;Nozzle_Type&gt;0&lt;/Nozzle_Type&gt;</v>
      </c>
      <c r="F2264" s="6"/>
      <c r="G2264" s="6"/>
      <c r="H2264" s="6"/>
      <c r="I2264" s="6"/>
      <c r="J2264" s="6"/>
      <c r="K2264" s="6"/>
      <c r="L2264" s="6"/>
      <c r="M2264" s="6"/>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c r="BU2264" s="6"/>
      <c r="BV2264" s="6"/>
      <c r="BW2264" s="6"/>
      <c r="BX2264" s="6"/>
      <c r="BY2264" s="6"/>
      <c r="BZ2264" s="6"/>
      <c r="CA2264" s="6"/>
      <c r="CB2264" s="6"/>
      <c r="CC2264" s="6"/>
      <c r="CD2264" s="6"/>
      <c r="CE2264" s="6"/>
      <c r="CF2264" s="6"/>
      <c r="CG2264" s="6"/>
      <c r="CH2264" s="6"/>
      <c r="CI2264" s="6"/>
      <c r="CJ2264" s="6"/>
      <c r="CK2264" s="6"/>
      <c r="CL2264" s="6"/>
      <c r="CM2264" s="6"/>
      <c r="CN2264" s="6"/>
      <c r="CO2264" s="6"/>
      <c r="CP2264" s="6"/>
      <c r="CQ2264" s="6"/>
      <c r="CR2264" s="6"/>
      <c r="CS2264" s="6"/>
      <c r="CT2264" s="6"/>
      <c r="CU2264" s="6"/>
      <c r="CV2264" s="6"/>
      <c r="CW2264" s="6"/>
      <c r="CX2264" s="6"/>
      <c r="CY2264" s="6"/>
      <c r="CZ2264" s="6"/>
      <c r="DA2264" s="6"/>
      <c r="DB2264" s="6"/>
      <c r="DC2264" s="6"/>
      <c r="DD2264" s="6"/>
    </row>
    <row r="2265" spans="1:108" ht="12.75" hidden="1" customHeight="1" outlineLevel="5">
      <c r="A2265" s="104" t="s">
        <v>255</v>
      </c>
      <c r="B2265" s="94">
        <f t="shared" si="123"/>
        <v>1.8246959177837139</v>
      </c>
      <c r="C2265" s="11"/>
      <c r="D2265" s="18" t="str">
        <f>"&lt;" &amp; A2265 &amp; "&gt;" &amp; TEXT(B2265,"0.000000") &amp; "&lt;/" &amp; A2265 &amp; "&gt;"</f>
        <v>&lt;Nozzle_Length&gt;1.824696&lt;/Nozzle_Length&gt;</v>
      </c>
      <c r="F2265" s="6"/>
      <c r="G2265" s="6"/>
      <c r="H2265" s="6"/>
      <c r="I2265" s="6"/>
      <c r="J2265" s="6"/>
      <c r="K2265" s="6"/>
      <c r="L2265" s="6"/>
      <c r="M2265" s="6"/>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c r="BU2265" s="6"/>
      <c r="BV2265" s="6"/>
      <c r="BW2265" s="6"/>
      <c r="BX2265" s="6"/>
      <c r="BY2265" s="6"/>
      <c r="BZ2265" s="6"/>
      <c r="CA2265" s="6"/>
      <c r="CB2265" s="6"/>
      <c r="CC2265" s="6"/>
      <c r="CD2265" s="6"/>
      <c r="CE2265" s="6"/>
      <c r="CF2265" s="6"/>
      <c r="CG2265" s="6"/>
      <c r="CH2265" s="6"/>
      <c r="CI2265" s="6"/>
      <c r="CJ2265" s="6"/>
      <c r="CK2265" s="6"/>
      <c r="CL2265" s="6"/>
      <c r="CM2265" s="6"/>
      <c r="CN2265" s="6"/>
      <c r="CO2265" s="6"/>
      <c r="CP2265" s="6"/>
      <c r="CQ2265" s="6"/>
      <c r="CR2265" s="6"/>
      <c r="CS2265" s="6"/>
      <c r="CT2265" s="6"/>
      <c r="CU2265" s="6"/>
      <c r="CV2265" s="6"/>
      <c r="CW2265" s="6"/>
      <c r="CX2265" s="6"/>
      <c r="CY2265" s="6"/>
      <c r="CZ2265" s="6"/>
      <c r="DA2265" s="6"/>
      <c r="DB2265" s="6"/>
      <c r="DC2265" s="6"/>
      <c r="DD2265" s="6"/>
    </row>
    <row r="2266" spans="1:108" ht="12.75" hidden="1" customHeight="1" outlineLevel="5">
      <c r="A2266" s="104" t="s">
        <v>256</v>
      </c>
      <c r="B2266" s="28">
        <f t="shared" si="123"/>
        <v>1.2</v>
      </c>
      <c r="C2266" s="11"/>
      <c r="D2266" s="18" t="str">
        <f>"&lt;" &amp; A2266 &amp; "&gt;" &amp; TEXT(B2266,"0.000000") &amp; "&lt;/" &amp; A2266 &amp; "&gt;"</f>
        <v>&lt;Exit_Area_Ratio&gt;1.200000&lt;/Exit_Area_Ratio&gt;</v>
      </c>
      <c r="F2266" s="6"/>
      <c r="G2266" s="6"/>
      <c r="H2266" s="6"/>
      <c r="I2266" s="6"/>
      <c r="J2266" s="6"/>
      <c r="K2266" s="6"/>
      <c r="L2266" s="6"/>
      <c r="M2266" s="6"/>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c r="BU2266" s="6"/>
      <c r="BV2266" s="6"/>
      <c r="BW2266" s="6"/>
      <c r="BX2266" s="6"/>
      <c r="BY2266" s="6"/>
      <c r="BZ2266" s="6"/>
      <c r="CA2266" s="6"/>
      <c r="CB2266" s="6"/>
      <c r="CC2266" s="6"/>
      <c r="CD2266" s="6"/>
      <c r="CE2266" s="6"/>
      <c r="CF2266" s="6"/>
      <c r="CG2266" s="6"/>
      <c r="CH2266" s="6"/>
      <c r="CI2266" s="6"/>
      <c r="CJ2266" s="6"/>
      <c r="CK2266" s="6"/>
      <c r="CL2266" s="6"/>
      <c r="CM2266" s="6"/>
      <c r="CN2266" s="6"/>
      <c r="CO2266" s="6"/>
      <c r="CP2266" s="6"/>
      <c r="CQ2266" s="6"/>
      <c r="CR2266" s="6"/>
      <c r="CS2266" s="6"/>
      <c r="CT2266" s="6"/>
      <c r="CU2266" s="6"/>
      <c r="CV2266" s="6"/>
      <c r="CW2266" s="6"/>
      <c r="CX2266" s="6"/>
      <c r="CY2266" s="6"/>
      <c r="CZ2266" s="6"/>
      <c r="DA2266" s="6"/>
      <c r="DB2266" s="6"/>
      <c r="DC2266" s="6"/>
      <c r="DD2266" s="6"/>
    </row>
    <row r="2267" spans="1:108" ht="12.75" hidden="1" customHeight="1" outlineLevel="5">
      <c r="A2267" s="104" t="s">
        <v>257</v>
      </c>
      <c r="B2267" s="28">
        <f t="shared" si="123"/>
        <v>1</v>
      </c>
      <c r="C2267" s="11"/>
      <c r="D2267" s="18" t="str">
        <f>"&lt;" &amp; A2267 &amp; "&gt;" &amp; TEXT(B2267,"0.000000") &amp; "&lt;/" &amp; A2267 &amp; "&gt;"</f>
        <v>&lt;Nozzle_Height_Width_Ratio&gt;1.000000&lt;/Nozzle_Height_Width_Ratio&gt;</v>
      </c>
      <c r="F2267" s="6"/>
      <c r="G2267" s="6"/>
      <c r="H2267" s="6"/>
      <c r="I2267" s="6"/>
      <c r="J2267" s="6"/>
      <c r="K2267" s="6"/>
      <c r="L2267" s="6"/>
      <c r="M2267" s="6"/>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c r="BU2267" s="6"/>
      <c r="BV2267" s="6"/>
      <c r="BW2267" s="6"/>
      <c r="BX2267" s="6"/>
      <c r="BY2267" s="6"/>
      <c r="BZ2267" s="6"/>
      <c r="CA2267" s="6"/>
      <c r="CB2267" s="6"/>
      <c r="CC2267" s="6"/>
      <c r="CD2267" s="6"/>
      <c r="CE2267" s="6"/>
      <c r="CF2267" s="6"/>
      <c r="CG2267" s="6"/>
      <c r="CH2267" s="6"/>
      <c r="CI2267" s="6"/>
      <c r="CJ2267" s="6"/>
      <c r="CK2267" s="6"/>
      <c r="CL2267" s="6"/>
      <c r="CM2267" s="6"/>
      <c r="CN2267" s="6"/>
      <c r="CO2267" s="6"/>
      <c r="CP2267" s="6"/>
      <c r="CQ2267" s="6"/>
      <c r="CR2267" s="6"/>
      <c r="CS2267" s="6"/>
      <c r="CT2267" s="6"/>
      <c r="CU2267" s="6"/>
      <c r="CV2267" s="6"/>
      <c r="CW2267" s="6"/>
      <c r="CX2267" s="6"/>
      <c r="CY2267" s="6"/>
      <c r="CZ2267" s="6"/>
      <c r="DA2267" s="6"/>
      <c r="DB2267" s="6"/>
      <c r="DC2267" s="6"/>
      <c r="DD2267" s="6"/>
    </row>
    <row r="2268" spans="1:108" ht="12.75" hidden="1" customHeight="1" outlineLevel="5">
      <c r="A2268" s="104" t="s">
        <v>258</v>
      </c>
      <c r="B2268" s="28">
        <f t="shared" si="123"/>
        <v>1.5</v>
      </c>
      <c r="C2268" s="11"/>
      <c r="D2268" s="18" t="str">
        <f>"&lt;" &amp; A2268 &amp; "&gt;" &amp; TEXT(B2268,"0.000000") &amp; "&lt;/" &amp; A2268 &amp; "&gt;"</f>
        <v>&lt;Exit_Throat_Ratio&gt;1.500000&lt;/Exit_Throat_Ratio&gt;</v>
      </c>
      <c r="F2268" s="6"/>
      <c r="G2268" s="6"/>
      <c r="H2268" s="6"/>
      <c r="I2268" s="6"/>
      <c r="J2268" s="6"/>
      <c r="K2268" s="6"/>
      <c r="L2268" s="6"/>
      <c r="M2268" s="6"/>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c r="BU2268" s="6"/>
      <c r="BV2268" s="6"/>
      <c r="BW2268" s="6"/>
      <c r="BX2268" s="6"/>
      <c r="BY2268" s="6"/>
      <c r="BZ2268" s="6"/>
      <c r="CA2268" s="6"/>
      <c r="CB2268" s="6"/>
      <c r="CC2268" s="6"/>
      <c r="CD2268" s="6"/>
      <c r="CE2268" s="6"/>
      <c r="CF2268" s="6"/>
      <c r="CG2268" s="6"/>
      <c r="CH2268" s="6"/>
      <c r="CI2268" s="6"/>
      <c r="CJ2268" s="6"/>
      <c r="CK2268" s="6"/>
      <c r="CL2268" s="6"/>
      <c r="CM2268" s="6"/>
      <c r="CN2268" s="6"/>
      <c r="CO2268" s="6"/>
      <c r="CP2268" s="6"/>
      <c r="CQ2268" s="6"/>
      <c r="CR2268" s="6"/>
      <c r="CS2268" s="6"/>
      <c r="CT2268" s="6"/>
      <c r="CU2268" s="6"/>
      <c r="CV2268" s="6"/>
      <c r="CW2268" s="6"/>
      <c r="CX2268" s="6"/>
      <c r="CY2268" s="6"/>
      <c r="CZ2268" s="6"/>
      <c r="DA2268" s="6"/>
      <c r="DB2268" s="6"/>
      <c r="DC2268" s="6"/>
      <c r="DD2268" s="6"/>
    </row>
    <row r="2269" spans="1:108" ht="12.75" hidden="1" customHeight="1" outlineLevel="5">
      <c r="A2269" s="104" t="s">
        <v>259</v>
      </c>
      <c r="B2269" s="28">
        <f t="shared" si="123"/>
        <v>1</v>
      </c>
      <c r="C2269" s="11"/>
      <c r="D2269" s="18" t="str">
        <f>"&lt;" &amp; A2269 &amp; "&gt;" &amp; TEXT(B2269,"0.000000") &amp; "&lt;/" &amp; A2269 &amp; "&gt;"</f>
        <v>&lt;Dive_Flap_Ratio&gt;1.000000&lt;/Dive_Flap_Ratio&gt;</v>
      </c>
      <c r="F2269" s="6"/>
      <c r="G2269" s="6"/>
      <c r="H2269" s="6"/>
      <c r="I2269" s="6"/>
      <c r="J2269" s="6"/>
      <c r="K2269" s="6"/>
      <c r="L2269" s="6"/>
      <c r="M2269" s="6"/>
      <c r="N2269" s="6"/>
      <c r="O2269" s="6"/>
      <c r="P2269" s="6"/>
      <c r="Q2269" s="6"/>
      <c r="R2269" s="6"/>
      <c r="S2269" s="6"/>
      <c r="T2269" s="6"/>
      <c r="U2269" s="6"/>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c r="BU2269" s="6"/>
      <c r="BV2269" s="6"/>
      <c r="BW2269" s="6"/>
      <c r="BX2269" s="6"/>
      <c r="BY2269" s="6"/>
      <c r="BZ2269" s="6"/>
      <c r="CA2269" s="6"/>
      <c r="CB2269" s="6"/>
      <c r="CC2269" s="6"/>
      <c r="CD2269" s="6"/>
      <c r="CE2269" s="6"/>
      <c r="CF2269" s="6"/>
      <c r="CG2269" s="6"/>
      <c r="CH2269" s="6"/>
      <c r="CI2269" s="6"/>
      <c r="CJ2269" s="6"/>
      <c r="CK2269" s="6"/>
      <c r="CL2269" s="6"/>
      <c r="CM2269" s="6"/>
      <c r="CN2269" s="6"/>
      <c r="CO2269" s="6"/>
      <c r="CP2269" s="6"/>
      <c r="CQ2269" s="6"/>
      <c r="CR2269" s="6"/>
      <c r="CS2269" s="6"/>
      <c r="CT2269" s="6"/>
      <c r="CU2269" s="6"/>
      <c r="CV2269" s="6"/>
      <c r="CW2269" s="6"/>
      <c r="CX2269" s="6"/>
      <c r="CY2269" s="6"/>
      <c r="CZ2269" s="6"/>
      <c r="DA2269" s="6"/>
      <c r="DB2269" s="6"/>
      <c r="DC2269" s="6"/>
      <c r="DD2269" s="6"/>
    </row>
    <row r="2270" spans="1:108" ht="12.75" hidden="1" customHeight="1" outlineLevel="5">
      <c r="A2270" s="104" t="s">
        <v>260</v>
      </c>
      <c r="B2270" s="28">
        <f t="shared" si="123"/>
        <v>0</v>
      </c>
      <c r="C2270" s="11"/>
      <c r="D2270" s="18" t="str">
        <f>"&lt;" &amp; A2270 &amp; "&gt;" &amp; TEXT(B2270,0) &amp; "&lt;/" &amp; A2270 &amp; "&gt;"</f>
        <v>&lt;Nozzle_Duct_On_Off&gt;0&lt;/Nozzle_Duct_On_Off&gt;</v>
      </c>
      <c r="F2270" s="6"/>
      <c r="G2270" s="6"/>
      <c r="H2270" s="6"/>
      <c r="I2270" s="6"/>
      <c r="J2270" s="6"/>
      <c r="K2270" s="6"/>
      <c r="L2270" s="6"/>
      <c r="M2270" s="6"/>
      <c r="N2270" s="6"/>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c r="BU2270" s="6"/>
      <c r="BV2270" s="6"/>
      <c r="BW2270" s="6"/>
      <c r="BX2270" s="6"/>
      <c r="BY2270" s="6"/>
      <c r="BZ2270" s="6"/>
      <c r="CA2270" s="6"/>
      <c r="CB2270" s="6"/>
      <c r="CC2270" s="6"/>
      <c r="CD2270" s="6"/>
      <c r="CE2270" s="6"/>
      <c r="CF2270" s="6"/>
      <c r="CG2270" s="6"/>
      <c r="CH2270" s="6"/>
      <c r="CI2270" s="6"/>
      <c r="CJ2270" s="6"/>
      <c r="CK2270" s="6"/>
      <c r="CL2270" s="6"/>
      <c r="CM2270" s="6"/>
      <c r="CN2270" s="6"/>
      <c r="CO2270" s="6"/>
      <c r="CP2270" s="6"/>
      <c r="CQ2270" s="6"/>
      <c r="CR2270" s="6"/>
      <c r="CS2270" s="6"/>
      <c r="CT2270" s="6"/>
      <c r="CU2270" s="6"/>
      <c r="CV2270" s="6"/>
      <c r="CW2270" s="6"/>
      <c r="CX2270" s="6"/>
      <c r="CY2270" s="6"/>
      <c r="CZ2270" s="6"/>
      <c r="DA2270" s="6"/>
      <c r="DB2270" s="6"/>
      <c r="DC2270" s="6"/>
      <c r="DD2270" s="6"/>
    </row>
    <row r="2271" spans="1:108" ht="12.75" hidden="1" customHeight="1" outlineLevel="5">
      <c r="A2271" s="104" t="s">
        <v>261</v>
      </c>
      <c r="B2271" s="28">
        <f t="shared" si="123"/>
        <v>1</v>
      </c>
      <c r="C2271" s="11"/>
      <c r="D2271" s="18" t="str">
        <f>"&lt;" &amp; A2271 &amp; "&gt;" &amp; TEXT(B2271,"0.000000") &amp; "&lt;/" &amp; A2271 &amp; "&gt;"</f>
        <v>&lt;Nozzle_Duct_X_Offset&gt;1.000000&lt;/Nozzle_Duct_X_Offset&gt;</v>
      </c>
      <c r="F2271" s="6"/>
      <c r="G2271" s="6"/>
      <c r="H2271" s="6"/>
      <c r="I2271" s="6"/>
      <c r="J2271" s="6"/>
      <c r="K2271" s="6"/>
      <c r="L2271" s="6"/>
      <c r="M2271" s="6"/>
      <c r="N2271" s="6"/>
      <c r="O2271" s="6"/>
      <c r="P2271" s="6"/>
      <c r="Q2271" s="6"/>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c r="BU2271" s="6"/>
      <c r="BV2271" s="6"/>
      <c r="BW2271" s="6"/>
      <c r="BX2271" s="6"/>
      <c r="BY2271" s="6"/>
      <c r="BZ2271" s="6"/>
      <c r="CA2271" s="6"/>
      <c r="CB2271" s="6"/>
      <c r="CC2271" s="6"/>
      <c r="CD2271" s="6"/>
      <c r="CE2271" s="6"/>
      <c r="CF2271" s="6"/>
      <c r="CG2271" s="6"/>
      <c r="CH2271" s="6"/>
      <c r="CI2271" s="6"/>
      <c r="CJ2271" s="6"/>
      <c r="CK2271" s="6"/>
      <c r="CL2271" s="6"/>
      <c r="CM2271" s="6"/>
      <c r="CN2271" s="6"/>
      <c r="CO2271" s="6"/>
      <c r="CP2271" s="6"/>
      <c r="CQ2271" s="6"/>
      <c r="CR2271" s="6"/>
      <c r="CS2271" s="6"/>
      <c r="CT2271" s="6"/>
      <c r="CU2271" s="6"/>
      <c r="CV2271" s="6"/>
      <c r="CW2271" s="6"/>
      <c r="CX2271" s="6"/>
      <c r="CY2271" s="6"/>
      <c r="CZ2271" s="6"/>
      <c r="DA2271" s="6"/>
      <c r="DB2271" s="6"/>
      <c r="DC2271" s="6"/>
      <c r="DD2271" s="6"/>
    </row>
    <row r="2272" spans="1:108" ht="12.75" hidden="1" customHeight="1" outlineLevel="5">
      <c r="A2272" s="104" t="s">
        <v>262</v>
      </c>
      <c r="B2272" s="28">
        <f t="shared" si="123"/>
        <v>0</v>
      </c>
      <c r="C2272" s="11"/>
      <c r="D2272" s="18" t="str">
        <f>"&lt;" &amp; A2272 &amp; "&gt;" &amp; TEXT(B2272,"0.000000") &amp; "&lt;/" &amp; A2272 &amp; "&gt;"</f>
        <v>&lt;Nozzle_Duct_Y_Offset&gt;0.000000&lt;/Nozzle_Duct_Y_Offset&gt;</v>
      </c>
      <c r="F2272" s="6"/>
      <c r="G2272" s="6"/>
      <c r="H2272" s="6"/>
      <c r="I2272" s="6"/>
      <c r="J2272" s="6"/>
      <c r="K2272" s="6"/>
      <c r="L2272" s="6"/>
      <c r="M2272" s="6"/>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c r="BU2272" s="6"/>
      <c r="BV2272" s="6"/>
      <c r="BW2272" s="6"/>
      <c r="BX2272" s="6"/>
      <c r="BY2272" s="6"/>
      <c r="BZ2272" s="6"/>
      <c r="CA2272" s="6"/>
      <c r="CB2272" s="6"/>
      <c r="CC2272" s="6"/>
      <c r="CD2272" s="6"/>
      <c r="CE2272" s="6"/>
      <c r="CF2272" s="6"/>
      <c r="CG2272" s="6"/>
      <c r="CH2272" s="6"/>
      <c r="CI2272" s="6"/>
      <c r="CJ2272" s="6"/>
      <c r="CK2272" s="6"/>
      <c r="CL2272" s="6"/>
      <c r="CM2272" s="6"/>
      <c r="CN2272" s="6"/>
      <c r="CO2272" s="6"/>
      <c r="CP2272" s="6"/>
      <c r="CQ2272" s="6"/>
      <c r="CR2272" s="6"/>
      <c r="CS2272" s="6"/>
      <c r="CT2272" s="6"/>
      <c r="CU2272" s="6"/>
      <c r="CV2272" s="6"/>
      <c r="CW2272" s="6"/>
      <c r="CX2272" s="6"/>
      <c r="CY2272" s="6"/>
      <c r="CZ2272" s="6"/>
      <c r="DA2272" s="6"/>
      <c r="DB2272" s="6"/>
      <c r="DC2272" s="6"/>
      <c r="DD2272" s="6"/>
    </row>
    <row r="2273" spans="1:108" ht="12.75" hidden="1" customHeight="1" outlineLevel="5">
      <c r="A2273" s="104" t="s">
        <v>263</v>
      </c>
      <c r="B2273" s="28">
        <f t="shared" si="123"/>
        <v>0</v>
      </c>
      <c r="C2273" s="11"/>
      <c r="D2273" s="18" t="str">
        <f>"&lt;" &amp; A2273 &amp; "&gt;" &amp; TEXT(B2273,"0.000000") &amp; "&lt;/" &amp; A2273 &amp; "&gt;"</f>
        <v>&lt;Nozzle_Duct_Shape_Factor&gt;0.000000&lt;/Nozzle_Duct_Shape_Factor&gt;</v>
      </c>
      <c r="F2273" s="6"/>
      <c r="G2273" s="6"/>
      <c r="H2273" s="6"/>
      <c r="I2273" s="6"/>
      <c r="J2273" s="6"/>
      <c r="K2273" s="6"/>
      <c r="L2273" s="6"/>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c r="BU2273" s="6"/>
      <c r="BV2273" s="6"/>
      <c r="BW2273" s="6"/>
      <c r="BX2273" s="6"/>
      <c r="BY2273" s="6"/>
      <c r="BZ2273" s="6"/>
      <c r="CA2273" s="6"/>
      <c r="CB2273" s="6"/>
      <c r="CC2273" s="6"/>
      <c r="CD2273" s="6"/>
      <c r="CE2273" s="6"/>
      <c r="CF2273" s="6"/>
      <c r="CG2273" s="6"/>
      <c r="CH2273" s="6"/>
      <c r="CI2273" s="6"/>
      <c r="CJ2273" s="6"/>
      <c r="CK2273" s="6"/>
      <c r="CL2273" s="6"/>
      <c r="CM2273" s="6"/>
      <c r="CN2273" s="6"/>
      <c r="CO2273" s="6"/>
      <c r="CP2273" s="6"/>
      <c r="CQ2273" s="6"/>
      <c r="CR2273" s="6"/>
      <c r="CS2273" s="6"/>
      <c r="CT2273" s="6"/>
      <c r="CU2273" s="6"/>
      <c r="CV2273" s="6"/>
      <c r="CW2273" s="6"/>
      <c r="CX2273" s="6"/>
      <c r="CY2273" s="6"/>
      <c r="CZ2273" s="6"/>
      <c r="DA2273" s="6"/>
      <c r="DB2273" s="6"/>
      <c r="DC2273" s="6"/>
      <c r="DD2273" s="6"/>
    </row>
    <row r="2274" spans="1:108" ht="12.75" hidden="1" customHeight="1" outlineLevel="5">
      <c r="A2274" s="104" t="s">
        <v>264</v>
      </c>
      <c r="B2274" s="100"/>
      <c r="C2274" s="11"/>
      <c r="D2274" s="6" t="str">
        <f>"&lt;" &amp; A2274 &amp; "&gt;"</f>
        <v>&lt;/Engine_Parms&gt;</v>
      </c>
      <c r="F2274" s="6"/>
      <c r="G2274" s="6"/>
      <c r="H2274" s="6"/>
      <c r="I2274" s="6"/>
      <c r="J2274" s="6"/>
      <c r="K2274" s="6"/>
      <c r="L2274" s="6"/>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c r="BU2274" s="6"/>
      <c r="BV2274" s="6"/>
      <c r="BW2274" s="6"/>
      <c r="BX2274" s="6"/>
      <c r="BY2274" s="6"/>
      <c r="BZ2274" s="6"/>
      <c r="CA2274" s="6"/>
      <c r="CB2274" s="6"/>
      <c r="CC2274" s="6"/>
      <c r="CD2274" s="6"/>
      <c r="CE2274" s="6"/>
      <c r="CF2274" s="6"/>
      <c r="CG2274" s="6"/>
      <c r="CH2274" s="6"/>
      <c r="CI2274" s="6"/>
      <c r="CJ2274" s="6"/>
      <c r="CK2274" s="6"/>
      <c r="CL2274" s="6"/>
      <c r="CM2274" s="6"/>
      <c r="CN2274" s="6"/>
      <c r="CO2274" s="6"/>
      <c r="CP2274" s="6"/>
      <c r="CQ2274" s="6"/>
      <c r="CR2274" s="6"/>
      <c r="CS2274" s="6"/>
      <c r="CT2274" s="6"/>
      <c r="CU2274" s="6"/>
      <c r="CV2274" s="6"/>
      <c r="CW2274" s="6"/>
      <c r="CX2274" s="6"/>
      <c r="CY2274" s="6"/>
      <c r="CZ2274" s="6"/>
      <c r="DA2274" s="6"/>
      <c r="DB2274" s="6"/>
      <c r="DC2274" s="6"/>
      <c r="DD2274" s="6"/>
    </row>
    <row r="2275" spans="1:108" ht="12.75" hidden="1" customHeight="1" outlineLevel="4">
      <c r="A2275" s="104" t="s">
        <v>138</v>
      </c>
      <c r="B2275" s="100"/>
      <c r="C2275" s="11" t="str">
        <f>IF(OR(C1890="Yes",C1743="No"),"No","Yes")</f>
        <v>Yes</v>
      </c>
      <c r="D2275" s="133" t="str">
        <f>IF(C2275="Yes",("&lt;"&amp;A2275&amp;"&gt;"),("&lt;"&amp;A2275&amp;"--&gt;"))</f>
        <v>&lt;/Component&gt;</v>
      </c>
      <c r="F2275" s="6"/>
      <c r="G2275" s="6"/>
      <c r="H2275" s="6"/>
      <c r="I2275" s="6"/>
      <c r="J2275" s="6"/>
      <c r="K2275" s="6"/>
      <c r="L2275" s="6"/>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c r="BU2275" s="6"/>
      <c r="BV2275" s="6"/>
      <c r="BW2275" s="6"/>
      <c r="BX2275" s="6"/>
      <c r="BY2275" s="6"/>
      <c r="BZ2275" s="6"/>
      <c r="CA2275" s="6"/>
      <c r="CB2275" s="6"/>
      <c r="CC2275" s="6"/>
      <c r="CD2275" s="6"/>
      <c r="CE2275" s="6"/>
      <c r="CF2275" s="6"/>
      <c r="CG2275" s="6"/>
      <c r="CH2275" s="6"/>
      <c r="CI2275" s="6"/>
      <c r="CJ2275" s="6"/>
      <c r="CK2275" s="6"/>
      <c r="CL2275" s="6"/>
      <c r="CM2275" s="6"/>
      <c r="CN2275" s="6"/>
      <c r="CO2275" s="6"/>
      <c r="CP2275" s="6"/>
      <c r="CQ2275" s="6"/>
      <c r="CR2275" s="6"/>
      <c r="CS2275" s="6"/>
      <c r="CT2275" s="6"/>
      <c r="CU2275" s="6"/>
      <c r="CV2275" s="6"/>
      <c r="CW2275" s="6"/>
      <c r="CX2275" s="6"/>
      <c r="CY2275" s="6"/>
      <c r="CZ2275" s="6"/>
      <c r="DA2275" s="6"/>
      <c r="DB2275" s="6"/>
      <c r="DC2275" s="6"/>
      <c r="DD2275" s="6"/>
    </row>
    <row r="2276" spans="1:108" s="23" customFormat="1" outlineLevel="2" collapsed="1">
      <c r="A2276" s="104" t="s">
        <v>40</v>
      </c>
      <c r="B2276" s="110" t="str">
        <f>B2279</f>
        <v>Engine 4</v>
      </c>
      <c r="C2276" s="27" t="str">
        <f>IF(Input!$D$27&gt;=3,"Yes","No")</f>
        <v>No</v>
      </c>
      <c r="D2276" s="6" t="str">
        <f>IF(C2276="Yes",("&lt;"&amp;A2276&amp;"&gt;"),("&lt;!--"&amp;A2276&amp;"&gt;"))</f>
        <v>&lt;!--Component&gt;</v>
      </c>
      <c r="E2276"/>
      <c r="F2276" s="6"/>
      <c r="G2276" s="6"/>
      <c r="H2276" s="6"/>
      <c r="I2276" s="6"/>
      <c r="J2276" s="6"/>
      <c r="K2276" s="6"/>
      <c r="L2276" s="6"/>
      <c r="M2276" s="6"/>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c r="BU2276" s="6"/>
      <c r="BV2276" s="6"/>
      <c r="BW2276" s="6"/>
      <c r="BX2276" s="6"/>
      <c r="BY2276" s="6"/>
      <c r="BZ2276" s="6"/>
      <c r="CA2276" s="6"/>
      <c r="CB2276" s="6"/>
      <c r="CC2276" s="6"/>
      <c r="CD2276" s="6"/>
      <c r="CE2276" s="6"/>
      <c r="CF2276" s="6"/>
      <c r="CG2276" s="6"/>
      <c r="CH2276" s="6"/>
      <c r="CI2276" s="6"/>
      <c r="CJ2276" s="6"/>
      <c r="CK2276" s="6"/>
      <c r="CL2276" s="6"/>
      <c r="CM2276" s="6"/>
      <c r="CN2276" s="6"/>
      <c r="CO2276" s="6"/>
      <c r="CP2276" s="6"/>
      <c r="CQ2276" s="6"/>
      <c r="CR2276" s="6"/>
      <c r="CS2276" s="6"/>
      <c r="CT2276" s="6"/>
      <c r="CU2276" s="6"/>
      <c r="CV2276" s="6"/>
      <c r="CW2276" s="6"/>
      <c r="CX2276" s="6"/>
      <c r="CY2276" s="6"/>
      <c r="CZ2276" s="6"/>
      <c r="DA2276" s="6"/>
      <c r="DB2276" s="6"/>
      <c r="DC2276" s="6"/>
      <c r="DD2276" s="6"/>
    </row>
    <row r="2277" spans="1:108" ht="12.75" hidden="1" customHeight="1" outlineLevel="3" collapsed="1">
      <c r="A2277" s="104" t="s">
        <v>14</v>
      </c>
      <c r="B2277" s="100" t="s">
        <v>220</v>
      </c>
      <c r="C2277" s="11"/>
      <c r="D2277" s="18" t="str">
        <f>"&lt;" &amp; A2277 &amp; "&gt;" &amp; TEXT(B2277,0) &amp; "&lt;/" &amp; A2277 &amp; "&gt;"</f>
        <v>&lt;Type&gt;Blank&lt;/Type&gt;</v>
      </c>
      <c r="F2277" s="6"/>
      <c r="G2277" s="6"/>
      <c r="H2277" s="6"/>
      <c r="I2277" s="6"/>
      <c r="J2277" s="6"/>
      <c r="K2277" s="6"/>
      <c r="L2277" s="6"/>
      <c r="M2277" s="6"/>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c r="BU2277" s="6"/>
      <c r="BV2277" s="6"/>
      <c r="BW2277" s="6"/>
      <c r="BX2277" s="6"/>
      <c r="BY2277" s="6"/>
      <c r="BZ2277" s="6"/>
      <c r="CA2277" s="6"/>
      <c r="CB2277" s="6"/>
      <c r="CC2277" s="6"/>
      <c r="CD2277" s="6"/>
      <c r="CE2277" s="6"/>
      <c r="CF2277" s="6"/>
      <c r="CG2277" s="6"/>
      <c r="CH2277" s="6"/>
      <c r="CI2277" s="6"/>
      <c r="CJ2277" s="6"/>
      <c r="CK2277" s="6"/>
      <c r="CL2277" s="6"/>
      <c r="CM2277" s="6"/>
      <c r="CN2277" s="6"/>
      <c r="CO2277" s="6"/>
      <c r="CP2277" s="6"/>
      <c r="CQ2277" s="6"/>
      <c r="CR2277" s="6"/>
      <c r="CS2277" s="6"/>
      <c r="CT2277" s="6"/>
      <c r="CU2277" s="6"/>
      <c r="CV2277" s="6"/>
      <c r="CW2277" s="6"/>
      <c r="CX2277" s="6"/>
      <c r="CY2277" s="6"/>
      <c r="CZ2277" s="6"/>
      <c r="DA2277" s="6"/>
      <c r="DB2277" s="6"/>
      <c r="DC2277" s="6"/>
      <c r="DD2277" s="6"/>
    </row>
    <row r="2278" spans="1:108" ht="12.75" hidden="1" customHeight="1" outlineLevel="4" collapsed="1">
      <c r="A2278" s="104" t="s">
        <v>42</v>
      </c>
      <c r="B2278" s="100"/>
      <c r="C2278" s="11"/>
      <c r="D2278" s="6" t="str">
        <f>"&lt;" &amp; A2278 &amp; "&gt;"</f>
        <v>&lt;General_Parms&gt;</v>
      </c>
      <c r="F2278" s="6"/>
      <c r="G2278" s="6"/>
      <c r="H2278" s="6"/>
      <c r="I2278" s="6"/>
      <c r="J2278" s="6"/>
      <c r="K2278" s="6"/>
      <c r="L2278" s="6"/>
      <c r="M2278" s="6"/>
      <c r="N2278" s="6"/>
      <c r="O2278" s="6"/>
      <c r="P2278" s="6"/>
      <c r="Q2278" s="6"/>
      <c r="R2278" s="6"/>
      <c r="S2278" s="6"/>
      <c r="T2278" s="6"/>
      <c r="U2278" s="6"/>
      <c r="V2278" s="6"/>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c r="BU2278" s="6"/>
      <c r="BV2278" s="6"/>
      <c r="BW2278" s="6"/>
      <c r="BX2278" s="6"/>
      <c r="BY2278" s="6"/>
      <c r="BZ2278" s="6"/>
      <c r="CA2278" s="6"/>
      <c r="CB2278" s="6"/>
      <c r="CC2278" s="6"/>
      <c r="CD2278" s="6"/>
      <c r="CE2278" s="6"/>
      <c r="CF2278" s="6"/>
      <c r="CG2278" s="6"/>
      <c r="CH2278" s="6"/>
      <c r="CI2278" s="6"/>
      <c r="CJ2278" s="6"/>
      <c r="CK2278" s="6"/>
      <c r="CL2278" s="6"/>
      <c r="CM2278" s="6"/>
      <c r="CN2278" s="6"/>
      <c r="CO2278" s="6"/>
      <c r="CP2278" s="6"/>
      <c r="CQ2278" s="6"/>
      <c r="CR2278" s="6"/>
      <c r="CS2278" s="6"/>
      <c r="CT2278" s="6"/>
      <c r="CU2278" s="6"/>
      <c r="CV2278" s="6"/>
      <c r="CW2278" s="6"/>
      <c r="CX2278" s="6"/>
      <c r="CY2278" s="6"/>
      <c r="CZ2278" s="6"/>
      <c r="DA2278" s="6"/>
      <c r="DB2278" s="6"/>
      <c r="DC2278" s="6"/>
      <c r="DD2278" s="6"/>
    </row>
    <row r="2279" spans="1:108" ht="12.75" hidden="1" customHeight="1" outlineLevel="5">
      <c r="A2279" s="104" t="s">
        <v>1</v>
      </c>
      <c r="B2279" s="118" t="str">
        <f>IF(n_e=3,"Engine 2","Engine 4")</f>
        <v>Engine 4</v>
      </c>
      <c r="C2279" s="11"/>
      <c r="D2279" s="18" t="str">
        <f>"&lt;" &amp; A2279 &amp; "&gt;" &amp; TEXT(B2279,0) &amp; "&lt;/" &amp; A2279 &amp; "&gt;"</f>
        <v>&lt;Name&gt;Engine 4&lt;/Name&gt;</v>
      </c>
      <c r="F2279" s="6"/>
      <c r="G2279" s="6"/>
      <c r="H2279" s="6"/>
      <c r="I2279" s="6"/>
      <c r="J2279" s="6"/>
      <c r="K2279" s="6"/>
      <c r="L2279" s="6"/>
      <c r="M2279" s="6"/>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c r="BU2279" s="6"/>
      <c r="BV2279" s="6"/>
      <c r="BW2279" s="6"/>
      <c r="BX2279" s="6"/>
      <c r="BY2279" s="6"/>
      <c r="BZ2279" s="6"/>
      <c r="CA2279" s="6"/>
      <c r="CB2279" s="6"/>
      <c r="CC2279" s="6"/>
      <c r="CD2279" s="6"/>
      <c r="CE2279" s="6"/>
      <c r="CF2279" s="6"/>
      <c r="CG2279" s="6"/>
      <c r="CH2279" s="6"/>
      <c r="CI2279" s="6"/>
      <c r="CJ2279" s="6"/>
      <c r="CK2279" s="6"/>
      <c r="CL2279" s="6"/>
      <c r="CM2279" s="6"/>
      <c r="CN2279" s="6"/>
      <c r="CO2279" s="6"/>
      <c r="CP2279" s="6"/>
      <c r="CQ2279" s="6"/>
      <c r="CR2279" s="6"/>
      <c r="CS2279" s="6"/>
      <c r="CT2279" s="6"/>
      <c r="CU2279" s="6"/>
      <c r="CV2279" s="6"/>
      <c r="CW2279" s="6"/>
      <c r="CX2279" s="6"/>
      <c r="CY2279" s="6"/>
      <c r="CZ2279" s="6"/>
      <c r="DA2279" s="6"/>
      <c r="DB2279" s="6"/>
      <c r="DC2279" s="6"/>
      <c r="DD2279" s="6"/>
    </row>
    <row r="2280" spans="1:108" ht="12.75" hidden="1" customHeight="1" outlineLevel="5">
      <c r="A2280" s="104" t="s">
        <v>43</v>
      </c>
      <c r="B2280" s="28">
        <v>0</v>
      </c>
      <c r="C2280" s="11"/>
      <c r="D2280" s="18" t="str">
        <f>"&lt;" &amp; A2280 &amp; "&gt;" &amp; TEXT(B2280,"0.000000") &amp; "&lt;/" &amp; A2280 &amp; "&gt;"</f>
        <v>&lt;ColorR&gt;0.000000&lt;/ColorR&gt;</v>
      </c>
      <c r="F2280" s="6"/>
      <c r="G2280" s="6"/>
      <c r="H2280" s="6"/>
      <c r="I2280" s="6"/>
      <c r="J2280" s="6"/>
      <c r="K2280" s="6"/>
      <c r="L2280" s="6"/>
      <c r="M2280" s="6"/>
      <c r="N2280" s="6"/>
      <c r="O2280" s="6"/>
      <c r="P2280" s="6"/>
      <c r="Q2280" s="6"/>
      <c r="R2280" s="6"/>
      <c r="S2280" s="6"/>
      <c r="T2280" s="6"/>
      <c r="U2280" s="6"/>
      <c r="V2280" s="6"/>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c r="BU2280" s="6"/>
      <c r="BV2280" s="6"/>
      <c r="BW2280" s="6"/>
      <c r="BX2280" s="6"/>
      <c r="BY2280" s="6"/>
      <c r="BZ2280" s="6"/>
      <c r="CA2280" s="6"/>
      <c r="CB2280" s="6"/>
      <c r="CC2280" s="6"/>
      <c r="CD2280" s="6"/>
      <c r="CE2280" s="6"/>
      <c r="CF2280" s="6"/>
      <c r="CG2280" s="6"/>
      <c r="CH2280" s="6"/>
      <c r="CI2280" s="6"/>
      <c r="CJ2280" s="6"/>
      <c r="CK2280" s="6"/>
      <c r="CL2280" s="6"/>
      <c r="CM2280" s="6"/>
      <c r="CN2280" s="6"/>
      <c r="CO2280" s="6"/>
      <c r="CP2280" s="6"/>
      <c r="CQ2280" s="6"/>
      <c r="CR2280" s="6"/>
      <c r="CS2280" s="6"/>
      <c r="CT2280" s="6"/>
      <c r="CU2280" s="6"/>
      <c r="CV2280" s="6"/>
      <c r="CW2280" s="6"/>
      <c r="CX2280" s="6"/>
      <c r="CY2280" s="6"/>
      <c r="CZ2280" s="6"/>
      <c r="DA2280" s="6"/>
      <c r="DB2280" s="6"/>
      <c r="DC2280" s="6"/>
      <c r="DD2280" s="6"/>
    </row>
    <row r="2281" spans="1:108" ht="12.75" hidden="1" customHeight="1" outlineLevel="5">
      <c r="A2281" s="104" t="s">
        <v>44</v>
      </c>
      <c r="B2281" s="28">
        <v>0</v>
      </c>
      <c r="C2281" s="11"/>
      <c r="D2281" s="18" t="str">
        <f>"&lt;" &amp; A2281 &amp; "&gt;" &amp; TEXT(B2281,"0.000000") &amp; "&lt;/" &amp; A2281 &amp; "&gt;"</f>
        <v>&lt;ColorG&gt;0.000000&lt;/ColorG&gt;</v>
      </c>
      <c r="F2281" s="6"/>
      <c r="G2281" s="6"/>
      <c r="H2281" s="6"/>
      <c r="I2281" s="6"/>
      <c r="J2281" s="6"/>
      <c r="K2281" s="6"/>
      <c r="L2281" s="6"/>
      <c r="M2281" s="6"/>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c r="BU2281" s="6"/>
      <c r="BV2281" s="6"/>
      <c r="BW2281" s="6"/>
      <c r="BX2281" s="6"/>
      <c r="BY2281" s="6"/>
      <c r="BZ2281" s="6"/>
      <c r="CA2281" s="6"/>
      <c r="CB2281" s="6"/>
      <c r="CC2281" s="6"/>
      <c r="CD2281" s="6"/>
      <c r="CE2281" s="6"/>
      <c r="CF2281" s="6"/>
      <c r="CG2281" s="6"/>
      <c r="CH2281" s="6"/>
      <c r="CI2281" s="6"/>
      <c r="CJ2281" s="6"/>
      <c r="CK2281" s="6"/>
      <c r="CL2281" s="6"/>
      <c r="CM2281" s="6"/>
      <c r="CN2281" s="6"/>
      <c r="CO2281" s="6"/>
      <c r="CP2281" s="6"/>
      <c r="CQ2281" s="6"/>
      <c r="CR2281" s="6"/>
      <c r="CS2281" s="6"/>
      <c r="CT2281" s="6"/>
      <c r="CU2281" s="6"/>
      <c r="CV2281" s="6"/>
      <c r="CW2281" s="6"/>
      <c r="CX2281" s="6"/>
      <c r="CY2281" s="6"/>
      <c r="CZ2281" s="6"/>
      <c r="DA2281" s="6"/>
      <c r="DB2281" s="6"/>
      <c r="DC2281" s="6"/>
      <c r="DD2281" s="6"/>
    </row>
    <row r="2282" spans="1:108" ht="12.75" hidden="1" customHeight="1" outlineLevel="5">
      <c r="A2282" s="104" t="s">
        <v>45</v>
      </c>
      <c r="B2282" s="28">
        <v>255</v>
      </c>
      <c r="C2282" s="11"/>
      <c r="D2282" s="18" t="str">
        <f>"&lt;" &amp; A2282 &amp; "&gt;" &amp; TEXT(B2282,"0.000000") &amp; "&lt;/" &amp; A2282 &amp; "&gt;"</f>
        <v>&lt;ColorB&gt;255.000000&lt;/ColorB&gt;</v>
      </c>
      <c r="F2282" s="6"/>
      <c r="G2282" s="6"/>
      <c r="H2282" s="6"/>
      <c r="I2282" s="6"/>
      <c r="J2282" s="6"/>
      <c r="K2282" s="6"/>
      <c r="L2282" s="6"/>
      <c r="M2282" s="6"/>
      <c r="N2282" s="6"/>
      <c r="O2282" s="6"/>
      <c r="P2282" s="6"/>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c r="BU2282" s="6"/>
      <c r="BV2282" s="6"/>
      <c r="BW2282" s="6"/>
      <c r="BX2282" s="6"/>
      <c r="BY2282" s="6"/>
      <c r="BZ2282" s="6"/>
      <c r="CA2282" s="6"/>
      <c r="CB2282" s="6"/>
      <c r="CC2282" s="6"/>
      <c r="CD2282" s="6"/>
      <c r="CE2282" s="6"/>
      <c r="CF2282" s="6"/>
      <c r="CG2282" s="6"/>
      <c r="CH2282" s="6"/>
      <c r="CI2282" s="6"/>
      <c r="CJ2282" s="6"/>
      <c r="CK2282" s="6"/>
      <c r="CL2282" s="6"/>
      <c r="CM2282" s="6"/>
      <c r="CN2282" s="6"/>
      <c r="CO2282" s="6"/>
      <c r="CP2282" s="6"/>
      <c r="CQ2282" s="6"/>
      <c r="CR2282" s="6"/>
      <c r="CS2282" s="6"/>
      <c r="CT2282" s="6"/>
      <c r="CU2282" s="6"/>
      <c r="CV2282" s="6"/>
      <c r="CW2282" s="6"/>
      <c r="CX2282" s="6"/>
      <c r="CY2282" s="6"/>
      <c r="CZ2282" s="6"/>
      <c r="DA2282" s="6"/>
      <c r="DB2282" s="6"/>
      <c r="DC2282" s="6"/>
      <c r="DD2282" s="6"/>
    </row>
    <row r="2283" spans="1:108" ht="12.75" hidden="1" customHeight="1" outlineLevel="5">
      <c r="A2283" s="104" t="s">
        <v>46</v>
      </c>
      <c r="B2283" s="28">
        <v>0</v>
      </c>
      <c r="C2283" s="11"/>
      <c r="D2283" s="18" t="str">
        <f t="shared" ref="D2283:D2292" si="125">"&lt;" &amp; A2283 &amp; "&gt;" &amp; TEXT(B2283,0) &amp; "&lt;/" &amp; A2283 &amp; "&gt;"</f>
        <v>&lt;Symmetry&gt;0&lt;/Symmetry&gt;</v>
      </c>
      <c r="F2283" s="6"/>
      <c r="G2283" s="6"/>
      <c r="H2283" s="6"/>
      <c r="I2283" s="6"/>
      <c r="J2283" s="6"/>
      <c r="K2283" s="6"/>
      <c r="L2283" s="6"/>
      <c r="M2283" s="6"/>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c r="BU2283" s="6"/>
      <c r="BV2283" s="6"/>
      <c r="BW2283" s="6"/>
      <c r="BX2283" s="6"/>
      <c r="BY2283" s="6"/>
      <c r="BZ2283" s="6"/>
      <c r="CA2283" s="6"/>
      <c r="CB2283" s="6"/>
      <c r="CC2283" s="6"/>
      <c r="CD2283" s="6"/>
      <c r="CE2283" s="6"/>
      <c r="CF2283" s="6"/>
      <c r="CG2283" s="6"/>
      <c r="CH2283" s="6"/>
      <c r="CI2283" s="6"/>
      <c r="CJ2283" s="6"/>
      <c r="CK2283" s="6"/>
      <c r="CL2283" s="6"/>
      <c r="CM2283" s="6"/>
      <c r="CN2283" s="6"/>
      <c r="CO2283" s="6"/>
      <c r="CP2283" s="6"/>
      <c r="CQ2283" s="6"/>
      <c r="CR2283" s="6"/>
      <c r="CS2283" s="6"/>
      <c r="CT2283" s="6"/>
      <c r="CU2283" s="6"/>
      <c r="CV2283" s="6"/>
      <c r="CW2283" s="6"/>
      <c r="CX2283" s="6"/>
      <c r="CY2283" s="6"/>
      <c r="CZ2283" s="6"/>
      <c r="DA2283" s="6"/>
      <c r="DB2283" s="6"/>
      <c r="DC2283" s="6"/>
      <c r="DD2283" s="6"/>
    </row>
    <row r="2284" spans="1:108" ht="12.75" hidden="1" customHeight="1" outlineLevel="5">
      <c r="A2284" s="104" t="s">
        <v>47</v>
      </c>
      <c r="B2284" s="28">
        <v>0</v>
      </c>
      <c r="C2284" s="11"/>
      <c r="D2284" s="18" t="str">
        <f t="shared" si="125"/>
        <v>&lt;RelXFormFlag&gt;0&lt;/RelXFormFlag&gt;</v>
      </c>
      <c r="F2284" s="6"/>
      <c r="G2284" s="6"/>
      <c r="H2284" s="6"/>
      <c r="I2284" s="6"/>
      <c r="J2284" s="6"/>
      <c r="K2284" s="6"/>
      <c r="L2284" s="6"/>
      <c r="M2284" s="6"/>
      <c r="N2284" s="6"/>
      <c r="O2284" s="6"/>
      <c r="P2284" s="6"/>
      <c r="Q2284" s="6"/>
      <c r="R2284" s="6"/>
      <c r="S2284" s="6"/>
      <c r="T2284" s="6"/>
      <c r="U2284" s="6"/>
      <c r="V2284" s="6"/>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c r="BU2284" s="6"/>
      <c r="BV2284" s="6"/>
      <c r="BW2284" s="6"/>
      <c r="BX2284" s="6"/>
      <c r="BY2284" s="6"/>
      <c r="BZ2284" s="6"/>
      <c r="CA2284" s="6"/>
      <c r="CB2284" s="6"/>
      <c r="CC2284" s="6"/>
      <c r="CD2284" s="6"/>
      <c r="CE2284" s="6"/>
      <c r="CF2284" s="6"/>
      <c r="CG2284" s="6"/>
      <c r="CH2284" s="6"/>
      <c r="CI2284" s="6"/>
      <c r="CJ2284" s="6"/>
      <c r="CK2284" s="6"/>
      <c r="CL2284" s="6"/>
      <c r="CM2284" s="6"/>
      <c r="CN2284" s="6"/>
      <c r="CO2284" s="6"/>
      <c r="CP2284" s="6"/>
      <c r="CQ2284" s="6"/>
      <c r="CR2284" s="6"/>
      <c r="CS2284" s="6"/>
      <c r="CT2284" s="6"/>
      <c r="CU2284" s="6"/>
      <c r="CV2284" s="6"/>
      <c r="CW2284" s="6"/>
      <c r="CX2284" s="6"/>
      <c r="CY2284" s="6"/>
      <c r="CZ2284" s="6"/>
      <c r="DA2284" s="6"/>
      <c r="DB2284" s="6"/>
      <c r="DC2284" s="6"/>
      <c r="DD2284" s="6"/>
    </row>
    <row r="2285" spans="1:108" ht="12.75" hidden="1" customHeight="1" outlineLevel="5">
      <c r="A2285" s="104" t="s">
        <v>48</v>
      </c>
      <c r="B2285" s="28">
        <v>2</v>
      </c>
      <c r="C2285" s="11"/>
      <c r="D2285" s="18" t="str">
        <f t="shared" si="125"/>
        <v>&lt;MaterialID&gt;2&lt;/MaterialID&gt;</v>
      </c>
      <c r="F2285" s="6"/>
      <c r="G2285" s="6"/>
      <c r="H2285" s="6"/>
      <c r="I2285" s="6"/>
      <c r="J2285" s="6"/>
      <c r="K2285" s="6"/>
      <c r="L2285" s="6"/>
      <c r="M2285" s="6"/>
      <c r="N2285" s="6"/>
      <c r="O2285" s="6"/>
      <c r="P2285" s="6"/>
      <c r="Q2285" s="6"/>
      <c r="R2285" s="6"/>
      <c r="S2285" s="6"/>
      <c r="T2285" s="6"/>
      <c r="U2285" s="6"/>
      <c r="V2285" s="6"/>
      <c r="W2285" s="6"/>
      <c r="X2285" s="6"/>
      <c r="Y2285" s="6"/>
      <c r="Z2285" s="6"/>
      <c r="AA2285" s="6"/>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c r="BU2285" s="6"/>
      <c r="BV2285" s="6"/>
      <c r="BW2285" s="6"/>
      <c r="BX2285" s="6"/>
      <c r="BY2285" s="6"/>
      <c r="BZ2285" s="6"/>
      <c r="CA2285" s="6"/>
      <c r="CB2285" s="6"/>
      <c r="CC2285" s="6"/>
      <c r="CD2285" s="6"/>
      <c r="CE2285" s="6"/>
      <c r="CF2285" s="6"/>
      <c r="CG2285" s="6"/>
      <c r="CH2285" s="6"/>
      <c r="CI2285" s="6"/>
      <c r="CJ2285" s="6"/>
      <c r="CK2285" s="6"/>
      <c r="CL2285" s="6"/>
      <c r="CM2285" s="6"/>
      <c r="CN2285" s="6"/>
      <c r="CO2285" s="6"/>
      <c r="CP2285" s="6"/>
      <c r="CQ2285" s="6"/>
      <c r="CR2285" s="6"/>
      <c r="CS2285" s="6"/>
      <c r="CT2285" s="6"/>
      <c r="CU2285" s="6"/>
      <c r="CV2285" s="6"/>
      <c r="CW2285" s="6"/>
      <c r="CX2285" s="6"/>
      <c r="CY2285" s="6"/>
      <c r="CZ2285" s="6"/>
      <c r="DA2285" s="6"/>
      <c r="DB2285" s="6"/>
      <c r="DC2285" s="6"/>
      <c r="DD2285" s="6"/>
    </row>
    <row r="2286" spans="1:108" ht="12.75" hidden="1" customHeight="1" outlineLevel="5">
      <c r="A2286" s="104" t="s">
        <v>49</v>
      </c>
      <c r="B2286" s="28">
        <v>1</v>
      </c>
      <c r="C2286" s="11"/>
      <c r="D2286" s="18" t="str">
        <f t="shared" si="125"/>
        <v>&lt;OutputFlag&gt;1&lt;/OutputFlag&gt;</v>
      </c>
      <c r="F2286" s="6"/>
      <c r="G2286" s="6"/>
      <c r="H2286" s="6"/>
      <c r="I2286" s="6"/>
      <c r="J2286" s="6"/>
      <c r="K2286" s="6"/>
      <c r="L2286" s="6"/>
      <c r="M2286" s="6"/>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c r="BU2286" s="6"/>
      <c r="BV2286" s="6"/>
      <c r="BW2286" s="6"/>
      <c r="BX2286" s="6"/>
      <c r="BY2286" s="6"/>
      <c r="BZ2286" s="6"/>
      <c r="CA2286" s="6"/>
      <c r="CB2286" s="6"/>
      <c r="CC2286" s="6"/>
      <c r="CD2286" s="6"/>
      <c r="CE2286" s="6"/>
      <c r="CF2286" s="6"/>
      <c r="CG2286" s="6"/>
      <c r="CH2286" s="6"/>
      <c r="CI2286" s="6"/>
      <c r="CJ2286" s="6"/>
      <c r="CK2286" s="6"/>
      <c r="CL2286" s="6"/>
      <c r="CM2286" s="6"/>
      <c r="CN2286" s="6"/>
      <c r="CO2286" s="6"/>
      <c r="CP2286" s="6"/>
      <c r="CQ2286" s="6"/>
      <c r="CR2286" s="6"/>
      <c r="CS2286" s="6"/>
      <c r="CT2286" s="6"/>
      <c r="CU2286" s="6"/>
      <c r="CV2286" s="6"/>
      <c r="CW2286" s="6"/>
      <c r="CX2286" s="6"/>
      <c r="CY2286" s="6"/>
      <c r="CZ2286" s="6"/>
      <c r="DA2286" s="6"/>
      <c r="DB2286" s="6"/>
      <c r="DC2286" s="6"/>
      <c r="DD2286" s="6"/>
    </row>
    <row r="2287" spans="1:108" ht="12.75" hidden="1" customHeight="1" outlineLevel="5">
      <c r="A2287" s="104" t="s">
        <v>50</v>
      </c>
      <c r="B2287" s="28">
        <v>0</v>
      </c>
      <c r="C2287" s="11"/>
      <c r="D2287" s="18" t="str">
        <f t="shared" si="125"/>
        <v>&lt;OutputNameID&gt;0&lt;/OutputNameID&gt;</v>
      </c>
      <c r="F2287" s="6"/>
      <c r="G2287" s="6"/>
      <c r="H2287" s="6"/>
      <c r="I2287" s="6"/>
      <c r="J2287" s="6"/>
      <c r="K2287" s="6"/>
      <c r="L2287" s="6"/>
      <c r="M2287" s="6"/>
      <c r="N2287" s="6"/>
      <c r="O2287" s="6"/>
      <c r="P2287" s="6"/>
      <c r="Q2287" s="6"/>
      <c r="R2287" s="6"/>
      <c r="S2287" s="6"/>
      <c r="T2287" s="6"/>
      <c r="U2287" s="6"/>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c r="BU2287" s="6"/>
      <c r="BV2287" s="6"/>
      <c r="BW2287" s="6"/>
      <c r="BX2287" s="6"/>
      <c r="BY2287" s="6"/>
      <c r="BZ2287" s="6"/>
      <c r="CA2287" s="6"/>
      <c r="CB2287" s="6"/>
      <c r="CC2287" s="6"/>
      <c r="CD2287" s="6"/>
      <c r="CE2287" s="6"/>
      <c r="CF2287" s="6"/>
      <c r="CG2287" s="6"/>
      <c r="CH2287" s="6"/>
      <c r="CI2287" s="6"/>
      <c r="CJ2287" s="6"/>
      <c r="CK2287" s="6"/>
      <c r="CL2287" s="6"/>
      <c r="CM2287" s="6"/>
      <c r="CN2287" s="6"/>
      <c r="CO2287" s="6"/>
      <c r="CP2287" s="6"/>
      <c r="CQ2287" s="6"/>
      <c r="CR2287" s="6"/>
      <c r="CS2287" s="6"/>
      <c r="CT2287" s="6"/>
      <c r="CU2287" s="6"/>
      <c r="CV2287" s="6"/>
      <c r="CW2287" s="6"/>
      <c r="CX2287" s="6"/>
      <c r="CY2287" s="6"/>
      <c r="CZ2287" s="6"/>
      <c r="DA2287" s="6"/>
      <c r="DB2287" s="6"/>
      <c r="DC2287" s="6"/>
      <c r="DD2287" s="6"/>
    </row>
    <row r="2288" spans="1:108" ht="12.75" hidden="1" customHeight="1" outlineLevel="5">
      <c r="A2288" s="104" t="s">
        <v>51</v>
      </c>
      <c r="B2288" s="28">
        <v>1</v>
      </c>
      <c r="C2288" s="11"/>
      <c r="D2288" s="18" t="str">
        <f t="shared" si="125"/>
        <v>&lt;DisplayChildrenFlag&gt;1&lt;/DisplayChildrenFlag&gt;</v>
      </c>
      <c r="F2288" s="6"/>
      <c r="G2288" s="6"/>
      <c r="H2288" s="6"/>
      <c r="I2288" s="6"/>
      <c r="J2288" s="6"/>
      <c r="K2288" s="6"/>
      <c r="L2288" s="6"/>
      <c r="M2288" s="6"/>
      <c r="N2288" s="6"/>
      <c r="O2288" s="6"/>
      <c r="P2288" s="6"/>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c r="BU2288" s="6"/>
      <c r="BV2288" s="6"/>
      <c r="BW2288" s="6"/>
      <c r="BX2288" s="6"/>
      <c r="BY2288" s="6"/>
      <c r="BZ2288" s="6"/>
      <c r="CA2288" s="6"/>
      <c r="CB2288" s="6"/>
      <c r="CC2288" s="6"/>
      <c r="CD2288" s="6"/>
      <c r="CE2288" s="6"/>
      <c r="CF2288" s="6"/>
      <c r="CG2288" s="6"/>
      <c r="CH2288" s="6"/>
      <c r="CI2288" s="6"/>
      <c r="CJ2288" s="6"/>
      <c r="CK2288" s="6"/>
      <c r="CL2288" s="6"/>
      <c r="CM2288" s="6"/>
      <c r="CN2288" s="6"/>
      <c r="CO2288" s="6"/>
      <c r="CP2288" s="6"/>
      <c r="CQ2288" s="6"/>
      <c r="CR2288" s="6"/>
      <c r="CS2288" s="6"/>
      <c r="CT2288" s="6"/>
      <c r="CU2288" s="6"/>
      <c r="CV2288" s="6"/>
      <c r="CW2288" s="6"/>
      <c r="CX2288" s="6"/>
      <c r="CY2288" s="6"/>
      <c r="CZ2288" s="6"/>
      <c r="DA2288" s="6"/>
      <c r="DB2288" s="6"/>
      <c r="DC2288" s="6"/>
      <c r="DD2288" s="6"/>
    </row>
    <row r="2289" spans="1:108" ht="12.75" hidden="1" customHeight="1" outlineLevel="5">
      <c r="A2289" s="104" t="s">
        <v>52</v>
      </c>
      <c r="B2289" s="28">
        <v>21</v>
      </c>
      <c r="C2289" s="11"/>
      <c r="D2289" s="18" t="str">
        <f t="shared" si="125"/>
        <v>&lt;NumPnts&gt;21&lt;/NumPnts&gt;</v>
      </c>
      <c r="F2289" s="6"/>
      <c r="G2289" s="6"/>
      <c r="H2289" s="6"/>
      <c r="I2289" s="6"/>
      <c r="J2289" s="6"/>
      <c r="K2289" s="6"/>
      <c r="L2289" s="6"/>
      <c r="M2289" s="6"/>
      <c r="N2289" s="6"/>
      <c r="O2289" s="6"/>
      <c r="P2289" s="6"/>
      <c r="Q2289" s="6"/>
      <c r="R2289" s="6"/>
      <c r="S2289" s="6"/>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c r="BU2289" s="6"/>
      <c r="BV2289" s="6"/>
      <c r="BW2289" s="6"/>
      <c r="BX2289" s="6"/>
      <c r="BY2289" s="6"/>
      <c r="BZ2289" s="6"/>
      <c r="CA2289" s="6"/>
      <c r="CB2289" s="6"/>
      <c r="CC2289" s="6"/>
      <c r="CD2289" s="6"/>
      <c r="CE2289" s="6"/>
      <c r="CF2289" s="6"/>
      <c r="CG2289" s="6"/>
      <c r="CH2289" s="6"/>
      <c r="CI2289" s="6"/>
      <c r="CJ2289" s="6"/>
      <c r="CK2289" s="6"/>
      <c r="CL2289" s="6"/>
      <c r="CM2289" s="6"/>
      <c r="CN2289" s="6"/>
      <c r="CO2289" s="6"/>
      <c r="CP2289" s="6"/>
      <c r="CQ2289" s="6"/>
      <c r="CR2289" s="6"/>
      <c r="CS2289" s="6"/>
      <c r="CT2289" s="6"/>
      <c r="CU2289" s="6"/>
      <c r="CV2289" s="6"/>
      <c r="CW2289" s="6"/>
      <c r="CX2289" s="6"/>
      <c r="CY2289" s="6"/>
      <c r="CZ2289" s="6"/>
      <c r="DA2289" s="6"/>
      <c r="DB2289" s="6"/>
      <c r="DC2289" s="6"/>
      <c r="DD2289" s="6"/>
    </row>
    <row r="2290" spans="1:108" ht="12.75" hidden="1" customHeight="1" outlineLevel="5">
      <c r="A2290" s="104" t="s">
        <v>53</v>
      </c>
      <c r="B2290" s="28">
        <v>11</v>
      </c>
      <c r="C2290" s="11"/>
      <c r="D2290" s="18" t="str">
        <f t="shared" si="125"/>
        <v>&lt;NumXsecs&gt;11&lt;/NumXsecs&gt;</v>
      </c>
      <c r="F2290" s="6"/>
      <c r="G2290" s="6"/>
      <c r="H2290" s="6"/>
      <c r="I2290" s="6"/>
      <c r="J2290" s="6"/>
      <c r="K2290" s="6"/>
      <c r="L2290" s="6"/>
      <c r="M2290" s="6"/>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c r="BU2290" s="6"/>
      <c r="BV2290" s="6"/>
      <c r="BW2290" s="6"/>
      <c r="BX2290" s="6"/>
      <c r="BY2290" s="6"/>
      <c r="BZ2290" s="6"/>
      <c r="CA2290" s="6"/>
      <c r="CB2290" s="6"/>
      <c r="CC2290" s="6"/>
      <c r="CD2290" s="6"/>
      <c r="CE2290" s="6"/>
      <c r="CF2290" s="6"/>
      <c r="CG2290" s="6"/>
      <c r="CH2290" s="6"/>
      <c r="CI2290" s="6"/>
      <c r="CJ2290" s="6"/>
      <c r="CK2290" s="6"/>
      <c r="CL2290" s="6"/>
      <c r="CM2290" s="6"/>
      <c r="CN2290" s="6"/>
      <c r="CO2290" s="6"/>
      <c r="CP2290" s="6"/>
      <c r="CQ2290" s="6"/>
      <c r="CR2290" s="6"/>
      <c r="CS2290" s="6"/>
      <c r="CT2290" s="6"/>
      <c r="CU2290" s="6"/>
      <c r="CV2290" s="6"/>
      <c r="CW2290" s="6"/>
      <c r="CX2290" s="6"/>
      <c r="CY2290" s="6"/>
      <c r="CZ2290" s="6"/>
      <c r="DA2290" s="6"/>
      <c r="DB2290" s="6"/>
      <c r="DC2290" s="6"/>
      <c r="DD2290" s="6"/>
    </row>
    <row r="2291" spans="1:108" ht="12.75" hidden="1" customHeight="1" outlineLevel="5">
      <c r="A2291" s="104" t="s">
        <v>54</v>
      </c>
      <c r="B2291" s="28">
        <v>0</v>
      </c>
      <c r="C2291" s="11"/>
      <c r="D2291" s="18" t="str">
        <f t="shared" si="125"/>
        <v>&lt;MassPrior&gt;0&lt;/MassPrior&gt;</v>
      </c>
      <c r="F2291" s="6"/>
      <c r="G2291" s="6"/>
      <c r="H2291" s="6"/>
      <c r="I2291" s="6"/>
      <c r="J2291" s="6"/>
      <c r="K2291" s="6"/>
      <c r="L2291" s="6"/>
      <c r="M2291" s="6"/>
      <c r="N2291" s="6"/>
      <c r="O2291" s="6"/>
      <c r="P2291" s="6"/>
      <c r="Q2291" s="6"/>
      <c r="R2291" s="6"/>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c r="BU2291" s="6"/>
      <c r="BV2291" s="6"/>
      <c r="BW2291" s="6"/>
      <c r="BX2291" s="6"/>
      <c r="BY2291" s="6"/>
      <c r="BZ2291" s="6"/>
      <c r="CA2291" s="6"/>
      <c r="CB2291" s="6"/>
      <c r="CC2291" s="6"/>
      <c r="CD2291" s="6"/>
      <c r="CE2291" s="6"/>
      <c r="CF2291" s="6"/>
      <c r="CG2291" s="6"/>
      <c r="CH2291" s="6"/>
      <c r="CI2291" s="6"/>
      <c r="CJ2291" s="6"/>
      <c r="CK2291" s="6"/>
      <c r="CL2291" s="6"/>
      <c r="CM2291" s="6"/>
      <c r="CN2291" s="6"/>
      <c r="CO2291" s="6"/>
      <c r="CP2291" s="6"/>
      <c r="CQ2291" s="6"/>
      <c r="CR2291" s="6"/>
      <c r="CS2291" s="6"/>
      <c r="CT2291" s="6"/>
      <c r="CU2291" s="6"/>
      <c r="CV2291" s="6"/>
      <c r="CW2291" s="6"/>
      <c r="CX2291" s="6"/>
      <c r="CY2291" s="6"/>
      <c r="CZ2291" s="6"/>
      <c r="DA2291" s="6"/>
      <c r="DB2291" s="6"/>
      <c r="DC2291" s="6"/>
      <c r="DD2291" s="6"/>
    </row>
    <row r="2292" spans="1:108" ht="12.75" hidden="1" customHeight="1" outlineLevel="5">
      <c r="A2292" s="104" t="s">
        <v>55</v>
      </c>
      <c r="B2292" s="28">
        <v>0</v>
      </c>
      <c r="C2292" s="11"/>
      <c r="D2292" s="18" t="str">
        <f t="shared" si="125"/>
        <v>&lt;ShellFlag&gt;0&lt;/ShellFlag&gt;</v>
      </c>
      <c r="F2292" s="6"/>
      <c r="G2292" s="6"/>
      <c r="H2292" s="6"/>
      <c r="I2292" s="6"/>
      <c r="J2292" s="6"/>
      <c r="K2292" s="6"/>
      <c r="L2292" s="6"/>
      <c r="M2292" s="6"/>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c r="BU2292" s="6"/>
      <c r="BV2292" s="6"/>
      <c r="BW2292" s="6"/>
      <c r="BX2292" s="6"/>
      <c r="BY2292" s="6"/>
      <c r="BZ2292" s="6"/>
      <c r="CA2292" s="6"/>
      <c r="CB2292" s="6"/>
      <c r="CC2292" s="6"/>
      <c r="CD2292" s="6"/>
      <c r="CE2292" s="6"/>
      <c r="CF2292" s="6"/>
      <c r="CG2292" s="6"/>
      <c r="CH2292" s="6"/>
      <c r="CI2292" s="6"/>
      <c r="CJ2292" s="6"/>
      <c r="CK2292" s="6"/>
      <c r="CL2292" s="6"/>
      <c r="CM2292" s="6"/>
      <c r="CN2292" s="6"/>
      <c r="CO2292" s="6"/>
      <c r="CP2292" s="6"/>
      <c r="CQ2292" s="6"/>
      <c r="CR2292" s="6"/>
      <c r="CS2292" s="6"/>
      <c r="CT2292" s="6"/>
      <c r="CU2292" s="6"/>
      <c r="CV2292" s="6"/>
      <c r="CW2292" s="6"/>
      <c r="CX2292" s="6"/>
      <c r="CY2292" s="6"/>
      <c r="CZ2292" s="6"/>
      <c r="DA2292" s="6"/>
      <c r="DB2292" s="6"/>
      <c r="DC2292" s="6"/>
      <c r="DD2292" s="6"/>
    </row>
    <row r="2293" spans="1:108" ht="12.75" hidden="1" customHeight="1" outlineLevel="5">
      <c r="A2293" s="104" t="s">
        <v>56</v>
      </c>
      <c r="B2293" s="94" t="str">
        <f>IF(Type_e="Jet",pos_e.j3.x,pos_e.p3.x)</f>
        <v>N/A</v>
      </c>
      <c r="C2293" s="11"/>
      <c r="D2293" s="18" t="str">
        <f t="shared" ref="D2293:D2307" si="126">"&lt;" &amp; A2293 &amp; "&gt;" &amp; TEXT(B2293,"0.000000") &amp; "&lt;/" &amp; A2293 &amp; "&gt;"</f>
        <v>&lt;Tran_X&gt;N/A&lt;/Tran_X&gt;</v>
      </c>
      <c r="F2293" s="6"/>
      <c r="G2293" s="6"/>
      <c r="H2293" s="6"/>
      <c r="I2293" s="6"/>
      <c r="J2293" s="6"/>
      <c r="K2293" s="6"/>
      <c r="L2293" s="6"/>
      <c r="M2293" s="6"/>
      <c r="N2293" s="6"/>
      <c r="O2293" s="6"/>
      <c r="P2293" s="6"/>
      <c r="Q2293" s="6"/>
      <c r="R2293" s="6"/>
      <c r="S2293" s="6"/>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c r="BU2293" s="6"/>
      <c r="BV2293" s="6"/>
      <c r="BW2293" s="6"/>
      <c r="BX2293" s="6"/>
      <c r="BY2293" s="6"/>
      <c r="BZ2293" s="6"/>
      <c r="CA2293" s="6"/>
      <c r="CB2293" s="6"/>
      <c r="CC2293" s="6"/>
      <c r="CD2293" s="6"/>
      <c r="CE2293" s="6"/>
      <c r="CF2293" s="6"/>
      <c r="CG2293" s="6"/>
      <c r="CH2293" s="6"/>
      <c r="CI2293" s="6"/>
      <c r="CJ2293" s="6"/>
      <c r="CK2293" s="6"/>
      <c r="CL2293" s="6"/>
      <c r="CM2293" s="6"/>
      <c r="CN2293" s="6"/>
      <c r="CO2293" s="6"/>
      <c r="CP2293" s="6"/>
      <c r="CQ2293" s="6"/>
      <c r="CR2293" s="6"/>
      <c r="CS2293" s="6"/>
      <c r="CT2293" s="6"/>
      <c r="CU2293" s="6"/>
      <c r="CV2293" s="6"/>
      <c r="CW2293" s="6"/>
      <c r="CX2293" s="6"/>
      <c r="CY2293" s="6"/>
      <c r="CZ2293" s="6"/>
      <c r="DA2293" s="6"/>
      <c r="DB2293" s="6"/>
      <c r="DC2293" s="6"/>
      <c r="DD2293" s="6"/>
    </row>
    <row r="2294" spans="1:108" ht="12.75" hidden="1" customHeight="1" outlineLevel="5">
      <c r="A2294" s="104" t="s">
        <v>57</v>
      </c>
      <c r="B2294" s="94" t="str">
        <f>IF(Type_e="Jet",pos_e.j3.y,pos_e.p3.y)</f>
        <v>N/A</v>
      </c>
      <c r="C2294" s="11"/>
      <c r="D2294" s="18" t="str">
        <f t="shared" si="126"/>
        <v>&lt;Tran_Y&gt;N/A&lt;/Tran_Y&gt;</v>
      </c>
      <c r="F2294" s="6"/>
      <c r="G2294" s="6"/>
      <c r="H2294" s="6"/>
      <c r="I2294" s="6"/>
      <c r="J2294" s="6"/>
      <c r="K2294" s="6"/>
      <c r="L2294" s="6"/>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c r="BU2294" s="6"/>
      <c r="BV2294" s="6"/>
      <c r="BW2294" s="6"/>
      <c r="BX2294" s="6"/>
      <c r="BY2294" s="6"/>
      <c r="BZ2294" s="6"/>
      <c r="CA2294" s="6"/>
      <c r="CB2294" s="6"/>
      <c r="CC2294" s="6"/>
      <c r="CD2294" s="6"/>
      <c r="CE2294" s="6"/>
      <c r="CF2294" s="6"/>
      <c r="CG2294" s="6"/>
      <c r="CH2294" s="6"/>
      <c r="CI2294" s="6"/>
      <c r="CJ2294" s="6"/>
      <c r="CK2294" s="6"/>
      <c r="CL2294" s="6"/>
      <c r="CM2294" s="6"/>
      <c r="CN2294" s="6"/>
      <c r="CO2294" s="6"/>
      <c r="CP2294" s="6"/>
      <c r="CQ2294" s="6"/>
      <c r="CR2294" s="6"/>
      <c r="CS2294" s="6"/>
      <c r="CT2294" s="6"/>
      <c r="CU2294" s="6"/>
      <c r="CV2294" s="6"/>
      <c r="CW2294" s="6"/>
      <c r="CX2294" s="6"/>
      <c r="CY2294" s="6"/>
      <c r="CZ2294" s="6"/>
      <c r="DA2294" s="6"/>
      <c r="DB2294" s="6"/>
      <c r="DC2294" s="6"/>
      <c r="DD2294" s="6"/>
    </row>
    <row r="2295" spans="1:108" ht="12.75" hidden="1" customHeight="1" outlineLevel="5">
      <c r="A2295" s="104" t="s">
        <v>58</v>
      </c>
      <c r="B2295" s="94" t="str">
        <f>IF(Type_e="Jet",pos_e.j3.z,pos_e.p3.z)</f>
        <v>N/A</v>
      </c>
      <c r="C2295" s="11"/>
      <c r="D2295" s="18" t="str">
        <f t="shared" si="126"/>
        <v>&lt;Tran_Z&gt;N/A&lt;/Tran_Z&gt;</v>
      </c>
      <c r="F2295" s="6"/>
      <c r="G2295" s="6"/>
      <c r="H2295" s="6"/>
      <c r="I2295" s="6"/>
      <c r="J2295" s="6"/>
      <c r="K2295" s="6"/>
      <c r="L2295" s="6"/>
      <c r="M2295" s="6"/>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c r="BU2295" s="6"/>
      <c r="BV2295" s="6"/>
      <c r="BW2295" s="6"/>
      <c r="BX2295" s="6"/>
      <c r="BY2295" s="6"/>
      <c r="BZ2295" s="6"/>
      <c r="CA2295" s="6"/>
      <c r="CB2295" s="6"/>
      <c r="CC2295" s="6"/>
      <c r="CD2295" s="6"/>
      <c r="CE2295" s="6"/>
      <c r="CF2295" s="6"/>
      <c r="CG2295" s="6"/>
      <c r="CH2295" s="6"/>
      <c r="CI2295" s="6"/>
      <c r="CJ2295" s="6"/>
      <c r="CK2295" s="6"/>
      <c r="CL2295" s="6"/>
      <c r="CM2295" s="6"/>
      <c r="CN2295" s="6"/>
      <c r="CO2295" s="6"/>
      <c r="CP2295" s="6"/>
      <c r="CQ2295" s="6"/>
      <c r="CR2295" s="6"/>
      <c r="CS2295" s="6"/>
      <c r="CT2295" s="6"/>
      <c r="CU2295" s="6"/>
      <c r="CV2295" s="6"/>
      <c r="CW2295" s="6"/>
      <c r="CX2295" s="6"/>
      <c r="CY2295" s="6"/>
      <c r="CZ2295" s="6"/>
      <c r="DA2295" s="6"/>
      <c r="DB2295" s="6"/>
      <c r="DC2295" s="6"/>
      <c r="DD2295" s="6"/>
    </row>
    <row r="2296" spans="1:108" ht="12.75" hidden="1" customHeight="1" outlineLevel="5">
      <c r="A2296" s="104" t="s">
        <v>59</v>
      </c>
      <c r="B2296" s="28">
        <v>0</v>
      </c>
      <c r="C2296" s="11"/>
      <c r="D2296" s="18" t="str">
        <f t="shared" si="126"/>
        <v>&lt;TranRel_X&gt;0.000000&lt;/TranRel_X&gt;</v>
      </c>
      <c r="F2296" s="6"/>
      <c r="G2296" s="6"/>
      <c r="H2296" s="6"/>
      <c r="I2296" s="6"/>
      <c r="J2296" s="6"/>
      <c r="K2296" s="6"/>
      <c r="L2296" s="6"/>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c r="BU2296" s="6"/>
      <c r="BV2296" s="6"/>
      <c r="BW2296" s="6"/>
      <c r="BX2296" s="6"/>
      <c r="BY2296" s="6"/>
      <c r="BZ2296" s="6"/>
      <c r="CA2296" s="6"/>
      <c r="CB2296" s="6"/>
      <c r="CC2296" s="6"/>
      <c r="CD2296" s="6"/>
      <c r="CE2296" s="6"/>
      <c r="CF2296" s="6"/>
      <c r="CG2296" s="6"/>
      <c r="CH2296" s="6"/>
      <c r="CI2296" s="6"/>
      <c r="CJ2296" s="6"/>
      <c r="CK2296" s="6"/>
      <c r="CL2296" s="6"/>
      <c r="CM2296" s="6"/>
      <c r="CN2296" s="6"/>
      <c r="CO2296" s="6"/>
      <c r="CP2296" s="6"/>
      <c r="CQ2296" s="6"/>
      <c r="CR2296" s="6"/>
      <c r="CS2296" s="6"/>
      <c r="CT2296" s="6"/>
      <c r="CU2296" s="6"/>
      <c r="CV2296" s="6"/>
      <c r="CW2296" s="6"/>
      <c r="CX2296" s="6"/>
      <c r="CY2296" s="6"/>
      <c r="CZ2296" s="6"/>
      <c r="DA2296" s="6"/>
      <c r="DB2296" s="6"/>
      <c r="DC2296" s="6"/>
      <c r="DD2296" s="6"/>
    </row>
    <row r="2297" spans="1:108" ht="12.75" hidden="1" customHeight="1" outlineLevel="5">
      <c r="A2297" s="104" t="s">
        <v>60</v>
      </c>
      <c r="B2297" s="28">
        <v>0</v>
      </c>
      <c r="C2297" s="11"/>
      <c r="D2297" s="18" t="str">
        <f t="shared" si="126"/>
        <v>&lt;TranRel_Y&gt;0.000000&lt;/TranRel_Y&gt;</v>
      </c>
      <c r="F2297" s="6"/>
      <c r="G2297" s="6"/>
      <c r="H2297" s="6"/>
      <c r="I2297" s="6"/>
      <c r="J2297" s="6"/>
      <c r="K2297" s="6"/>
      <c r="L2297" s="6"/>
      <c r="M2297" s="6"/>
      <c r="N2297" s="6"/>
      <c r="O2297" s="6"/>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c r="BU2297" s="6"/>
      <c r="BV2297" s="6"/>
      <c r="BW2297" s="6"/>
      <c r="BX2297" s="6"/>
      <c r="BY2297" s="6"/>
      <c r="BZ2297" s="6"/>
      <c r="CA2297" s="6"/>
      <c r="CB2297" s="6"/>
      <c r="CC2297" s="6"/>
      <c r="CD2297" s="6"/>
      <c r="CE2297" s="6"/>
      <c r="CF2297" s="6"/>
      <c r="CG2297" s="6"/>
      <c r="CH2297" s="6"/>
      <c r="CI2297" s="6"/>
      <c r="CJ2297" s="6"/>
      <c r="CK2297" s="6"/>
      <c r="CL2297" s="6"/>
      <c r="CM2297" s="6"/>
      <c r="CN2297" s="6"/>
      <c r="CO2297" s="6"/>
      <c r="CP2297" s="6"/>
      <c r="CQ2297" s="6"/>
      <c r="CR2297" s="6"/>
      <c r="CS2297" s="6"/>
      <c r="CT2297" s="6"/>
      <c r="CU2297" s="6"/>
      <c r="CV2297" s="6"/>
      <c r="CW2297" s="6"/>
      <c r="CX2297" s="6"/>
      <c r="CY2297" s="6"/>
      <c r="CZ2297" s="6"/>
      <c r="DA2297" s="6"/>
      <c r="DB2297" s="6"/>
      <c r="DC2297" s="6"/>
      <c r="DD2297" s="6"/>
    </row>
    <row r="2298" spans="1:108" ht="12.75" hidden="1" customHeight="1" outlineLevel="5">
      <c r="A2298" s="104" t="s">
        <v>61</v>
      </c>
      <c r="B2298" s="28">
        <v>0</v>
      </c>
      <c r="C2298" s="11"/>
      <c r="D2298" s="18" t="str">
        <f t="shared" si="126"/>
        <v>&lt;TranRel_Z&gt;0.000000&lt;/TranRel_Z&gt;</v>
      </c>
      <c r="F2298" s="6"/>
      <c r="G2298" s="6"/>
      <c r="H2298" s="6"/>
      <c r="I2298" s="6"/>
      <c r="J2298" s="6"/>
      <c r="K2298" s="6"/>
      <c r="L2298" s="6"/>
      <c r="M2298" s="6"/>
      <c r="N2298" s="6"/>
      <c r="O2298" s="6"/>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c r="BU2298" s="6"/>
      <c r="BV2298" s="6"/>
      <c r="BW2298" s="6"/>
      <c r="BX2298" s="6"/>
      <c r="BY2298" s="6"/>
      <c r="BZ2298" s="6"/>
      <c r="CA2298" s="6"/>
      <c r="CB2298" s="6"/>
      <c r="CC2298" s="6"/>
      <c r="CD2298" s="6"/>
      <c r="CE2298" s="6"/>
      <c r="CF2298" s="6"/>
      <c r="CG2298" s="6"/>
      <c r="CH2298" s="6"/>
      <c r="CI2298" s="6"/>
      <c r="CJ2298" s="6"/>
      <c r="CK2298" s="6"/>
      <c r="CL2298" s="6"/>
      <c r="CM2298" s="6"/>
      <c r="CN2298" s="6"/>
      <c r="CO2298" s="6"/>
      <c r="CP2298" s="6"/>
      <c r="CQ2298" s="6"/>
      <c r="CR2298" s="6"/>
      <c r="CS2298" s="6"/>
      <c r="CT2298" s="6"/>
      <c r="CU2298" s="6"/>
      <c r="CV2298" s="6"/>
      <c r="CW2298" s="6"/>
      <c r="CX2298" s="6"/>
      <c r="CY2298" s="6"/>
      <c r="CZ2298" s="6"/>
      <c r="DA2298" s="6"/>
      <c r="DB2298" s="6"/>
      <c r="DC2298" s="6"/>
      <c r="DD2298" s="6"/>
    </row>
    <row r="2299" spans="1:108" ht="12.75" hidden="1" customHeight="1" outlineLevel="5">
      <c r="A2299" s="104" t="s">
        <v>62</v>
      </c>
      <c r="B2299" s="28">
        <v>0</v>
      </c>
      <c r="C2299" s="11"/>
      <c r="D2299" s="18" t="str">
        <f t="shared" si="126"/>
        <v>&lt;Rot_X&gt;0.000000&lt;/Rot_X&gt;</v>
      </c>
      <c r="F2299" s="6"/>
      <c r="G2299" s="6"/>
      <c r="H2299" s="6"/>
      <c r="I2299" s="6"/>
      <c r="J2299" s="6"/>
      <c r="K2299" s="6"/>
      <c r="L2299" s="6"/>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c r="BU2299" s="6"/>
      <c r="BV2299" s="6"/>
      <c r="BW2299" s="6"/>
      <c r="BX2299" s="6"/>
      <c r="BY2299" s="6"/>
      <c r="BZ2299" s="6"/>
      <c r="CA2299" s="6"/>
      <c r="CB2299" s="6"/>
      <c r="CC2299" s="6"/>
      <c r="CD2299" s="6"/>
      <c r="CE2299" s="6"/>
      <c r="CF2299" s="6"/>
      <c r="CG2299" s="6"/>
      <c r="CH2299" s="6"/>
      <c r="CI2299" s="6"/>
      <c r="CJ2299" s="6"/>
      <c r="CK2299" s="6"/>
      <c r="CL2299" s="6"/>
      <c r="CM2299" s="6"/>
      <c r="CN2299" s="6"/>
      <c r="CO2299" s="6"/>
      <c r="CP2299" s="6"/>
      <c r="CQ2299" s="6"/>
      <c r="CR2299" s="6"/>
      <c r="CS2299" s="6"/>
      <c r="CT2299" s="6"/>
      <c r="CU2299" s="6"/>
      <c r="CV2299" s="6"/>
      <c r="CW2299" s="6"/>
      <c r="CX2299" s="6"/>
      <c r="CY2299" s="6"/>
      <c r="CZ2299" s="6"/>
      <c r="DA2299" s="6"/>
      <c r="DB2299" s="6"/>
      <c r="DC2299" s="6"/>
      <c r="DD2299" s="6"/>
    </row>
    <row r="2300" spans="1:108" ht="12.75" hidden="1" customHeight="1" outlineLevel="5">
      <c r="A2300" s="104" t="s">
        <v>63</v>
      </c>
      <c r="B2300" s="28">
        <v>0</v>
      </c>
      <c r="C2300" s="11"/>
      <c r="D2300" s="18" t="str">
        <f t="shared" si="126"/>
        <v>&lt;Rot_Y&gt;0.000000&lt;/Rot_Y&gt;</v>
      </c>
      <c r="F2300" s="6"/>
      <c r="G2300" s="6"/>
      <c r="H2300" s="6"/>
      <c r="I2300" s="6"/>
      <c r="J2300" s="6"/>
      <c r="K2300" s="6"/>
      <c r="L2300" s="6"/>
      <c r="M2300" s="6"/>
      <c r="N2300" s="6"/>
      <c r="O2300" s="6"/>
      <c r="P2300" s="6"/>
      <c r="Q2300" s="6"/>
      <c r="R2300" s="6"/>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c r="BU2300" s="6"/>
      <c r="BV2300" s="6"/>
      <c r="BW2300" s="6"/>
      <c r="BX2300" s="6"/>
      <c r="BY2300" s="6"/>
      <c r="BZ2300" s="6"/>
      <c r="CA2300" s="6"/>
      <c r="CB2300" s="6"/>
      <c r="CC2300" s="6"/>
      <c r="CD2300" s="6"/>
      <c r="CE2300" s="6"/>
      <c r="CF2300" s="6"/>
      <c r="CG2300" s="6"/>
      <c r="CH2300" s="6"/>
      <c r="CI2300" s="6"/>
      <c r="CJ2300" s="6"/>
      <c r="CK2300" s="6"/>
      <c r="CL2300" s="6"/>
      <c r="CM2300" s="6"/>
      <c r="CN2300" s="6"/>
      <c r="CO2300" s="6"/>
      <c r="CP2300" s="6"/>
      <c r="CQ2300" s="6"/>
      <c r="CR2300" s="6"/>
      <c r="CS2300" s="6"/>
      <c r="CT2300" s="6"/>
      <c r="CU2300" s="6"/>
      <c r="CV2300" s="6"/>
      <c r="CW2300" s="6"/>
      <c r="CX2300" s="6"/>
      <c r="CY2300" s="6"/>
      <c r="CZ2300" s="6"/>
      <c r="DA2300" s="6"/>
      <c r="DB2300" s="6"/>
      <c r="DC2300" s="6"/>
      <c r="DD2300" s="6"/>
    </row>
    <row r="2301" spans="1:108" ht="12.75" hidden="1" customHeight="1" outlineLevel="5">
      <c r="A2301" s="104" t="s">
        <v>64</v>
      </c>
      <c r="B2301" s="28">
        <v>0</v>
      </c>
      <c r="C2301" s="11"/>
      <c r="D2301" s="18" t="str">
        <f t="shared" si="126"/>
        <v>&lt;Rot_Z&gt;0.000000&lt;/Rot_Z&gt;</v>
      </c>
      <c r="F2301" s="6"/>
      <c r="G2301" s="6"/>
      <c r="H2301" s="6"/>
      <c r="I2301" s="6"/>
      <c r="J2301" s="6"/>
      <c r="K2301" s="6"/>
      <c r="L2301" s="6"/>
      <c r="M2301" s="6"/>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c r="BU2301" s="6"/>
      <c r="BV2301" s="6"/>
      <c r="BW2301" s="6"/>
      <c r="BX2301" s="6"/>
      <c r="BY2301" s="6"/>
      <c r="BZ2301" s="6"/>
      <c r="CA2301" s="6"/>
      <c r="CB2301" s="6"/>
      <c r="CC2301" s="6"/>
      <c r="CD2301" s="6"/>
      <c r="CE2301" s="6"/>
      <c r="CF2301" s="6"/>
      <c r="CG2301" s="6"/>
      <c r="CH2301" s="6"/>
      <c r="CI2301" s="6"/>
      <c r="CJ2301" s="6"/>
      <c r="CK2301" s="6"/>
      <c r="CL2301" s="6"/>
      <c r="CM2301" s="6"/>
      <c r="CN2301" s="6"/>
      <c r="CO2301" s="6"/>
      <c r="CP2301" s="6"/>
      <c r="CQ2301" s="6"/>
      <c r="CR2301" s="6"/>
      <c r="CS2301" s="6"/>
      <c r="CT2301" s="6"/>
      <c r="CU2301" s="6"/>
      <c r="CV2301" s="6"/>
      <c r="CW2301" s="6"/>
      <c r="CX2301" s="6"/>
      <c r="CY2301" s="6"/>
      <c r="CZ2301" s="6"/>
      <c r="DA2301" s="6"/>
      <c r="DB2301" s="6"/>
      <c r="DC2301" s="6"/>
      <c r="DD2301" s="6"/>
    </row>
    <row r="2302" spans="1:108" ht="12.75" hidden="1" customHeight="1" outlineLevel="5">
      <c r="A2302" s="104" t="s">
        <v>65</v>
      </c>
      <c r="B2302" s="28">
        <v>0</v>
      </c>
      <c r="C2302" s="11"/>
      <c r="D2302" s="18" t="str">
        <f t="shared" si="126"/>
        <v>&lt;RotRel_X&gt;0.000000&lt;/RotRel_X&gt;</v>
      </c>
      <c r="F2302" s="6"/>
      <c r="G2302" s="6"/>
      <c r="H2302" s="6"/>
      <c r="I2302" s="6"/>
      <c r="J2302" s="6"/>
      <c r="K2302" s="6"/>
      <c r="L2302" s="6"/>
      <c r="M2302" s="6"/>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c r="BU2302" s="6"/>
      <c r="BV2302" s="6"/>
      <c r="BW2302" s="6"/>
      <c r="BX2302" s="6"/>
      <c r="BY2302" s="6"/>
      <c r="BZ2302" s="6"/>
      <c r="CA2302" s="6"/>
      <c r="CB2302" s="6"/>
      <c r="CC2302" s="6"/>
      <c r="CD2302" s="6"/>
      <c r="CE2302" s="6"/>
      <c r="CF2302" s="6"/>
      <c r="CG2302" s="6"/>
      <c r="CH2302" s="6"/>
      <c r="CI2302" s="6"/>
      <c r="CJ2302" s="6"/>
      <c r="CK2302" s="6"/>
      <c r="CL2302" s="6"/>
      <c r="CM2302" s="6"/>
      <c r="CN2302" s="6"/>
      <c r="CO2302" s="6"/>
      <c r="CP2302" s="6"/>
      <c r="CQ2302" s="6"/>
      <c r="CR2302" s="6"/>
      <c r="CS2302" s="6"/>
      <c r="CT2302" s="6"/>
      <c r="CU2302" s="6"/>
      <c r="CV2302" s="6"/>
      <c r="CW2302" s="6"/>
      <c r="CX2302" s="6"/>
      <c r="CY2302" s="6"/>
      <c r="CZ2302" s="6"/>
      <c r="DA2302" s="6"/>
      <c r="DB2302" s="6"/>
      <c r="DC2302" s="6"/>
      <c r="DD2302" s="6"/>
    </row>
    <row r="2303" spans="1:108" ht="12.75" hidden="1" customHeight="1" outlineLevel="5">
      <c r="A2303" s="104" t="s">
        <v>66</v>
      </c>
      <c r="B2303" s="28">
        <v>0</v>
      </c>
      <c r="C2303" s="11"/>
      <c r="D2303" s="18" t="str">
        <f t="shared" si="126"/>
        <v>&lt;RotRel_Y&gt;0.000000&lt;/RotRel_Y&gt;</v>
      </c>
      <c r="F2303" s="6"/>
      <c r="G2303" s="6"/>
      <c r="H2303" s="6"/>
      <c r="I2303" s="6"/>
      <c r="J2303" s="6"/>
      <c r="K2303" s="6"/>
      <c r="L2303" s="6"/>
      <c r="M2303" s="6"/>
      <c r="N2303" s="6"/>
      <c r="O2303" s="6"/>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c r="BU2303" s="6"/>
      <c r="BV2303" s="6"/>
      <c r="BW2303" s="6"/>
      <c r="BX2303" s="6"/>
      <c r="BY2303" s="6"/>
      <c r="BZ2303" s="6"/>
      <c r="CA2303" s="6"/>
      <c r="CB2303" s="6"/>
      <c r="CC2303" s="6"/>
      <c r="CD2303" s="6"/>
      <c r="CE2303" s="6"/>
      <c r="CF2303" s="6"/>
      <c r="CG2303" s="6"/>
      <c r="CH2303" s="6"/>
      <c r="CI2303" s="6"/>
      <c r="CJ2303" s="6"/>
      <c r="CK2303" s="6"/>
      <c r="CL2303" s="6"/>
      <c r="CM2303" s="6"/>
      <c r="CN2303" s="6"/>
      <c r="CO2303" s="6"/>
      <c r="CP2303" s="6"/>
      <c r="CQ2303" s="6"/>
      <c r="CR2303" s="6"/>
      <c r="CS2303" s="6"/>
      <c r="CT2303" s="6"/>
      <c r="CU2303" s="6"/>
      <c r="CV2303" s="6"/>
      <c r="CW2303" s="6"/>
      <c r="CX2303" s="6"/>
      <c r="CY2303" s="6"/>
      <c r="CZ2303" s="6"/>
      <c r="DA2303" s="6"/>
      <c r="DB2303" s="6"/>
      <c r="DC2303" s="6"/>
      <c r="DD2303" s="6"/>
    </row>
    <row r="2304" spans="1:108" ht="12.75" hidden="1" customHeight="1" outlineLevel="5">
      <c r="A2304" s="104" t="s">
        <v>67</v>
      </c>
      <c r="B2304" s="28">
        <v>0</v>
      </c>
      <c r="C2304" s="11"/>
      <c r="D2304" s="18" t="str">
        <f t="shared" si="126"/>
        <v>&lt;RotRel_Z&gt;0.000000&lt;/RotRel_Z&gt;</v>
      </c>
      <c r="F2304" s="6"/>
      <c r="G2304" s="6"/>
      <c r="H2304" s="6"/>
      <c r="I2304" s="6"/>
      <c r="J2304" s="6"/>
      <c r="K2304" s="6"/>
      <c r="L2304" s="6"/>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c r="BU2304" s="6"/>
      <c r="BV2304" s="6"/>
      <c r="BW2304" s="6"/>
      <c r="BX2304" s="6"/>
      <c r="BY2304" s="6"/>
      <c r="BZ2304" s="6"/>
      <c r="CA2304" s="6"/>
      <c r="CB2304" s="6"/>
      <c r="CC2304" s="6"/>
      <c r="CD2304" s="6"/>
      <c r="CE2304" s="6"/>
      <c r="CF2304" s="6"/>
      <c r="CG2304" s="6"/>
      <c r="CH2304" s="6"/>
      <c r="CI2304" s="6"/>
      <c r="CJ2304" s="6"/>
      <c r="CK2304" s="6"/>
      <c r="CL2304" s="6"/>
      <c r="CM2304" s="6"/>
      <c r="CN2304" s="6"/>
      <c r="CO2304" s="6"/>
      <c r="CP2304" s="6"/>
      <c r="CQ2304" s="6"/>
      <c r="CR2304" s="6"/>
      <c r="CS2304" s="6"/>
      <c r="CT2304" s="6"/>
      <c r="CU2304" s="6"/>
      <c r="CV2304" s="6"/>
      <c r="CW2304" s="6"/>
      <c r="CX2304" s="6"/>
      <c r="CY2304" s="6"/>
      <c r="CZ2304" s="6"/>
      <c r="DA2304" s="6"/>
      <c r="DB2304" s="6"/>
      <c r="DC2304" s="6"/>
      <c r="DD2304" s="6"/>
    </row>
    <row r="2305" spans="1:108" ht="12.75" hidden="1" customHeight="1" outlineLevel="5">
      <c r="A2305" s="104" t="s">
        <v>68</v>
      </c>
      <c r="B2305" s="28">
        <v>0</v>
      </c>
      <c r="C2305" s="11"/>
      <c r="D2305" s="18" t="str">
        <f t="shared" si="126"/>
        <v>&lt;Origin&gt;0.000000&lt;/Origin&gt;</v>
      </c>
      <c r="F2305" s="6"/>
      <c r="G2305" s="6"/>
      <c r="H2305" s="6"/>
      <c r="I2305" s="6"/>
      <c r="J2305" s="6"/>
      <c r="K2305" s="6"/>
      <c r="L2305" s="6"/>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c r="BU2305" s="6"/>
      <c r="BV2305" s="6"/>
      <c r="BW2305" s="6"/>
      <c r="BX2305" s="6"/>
      <c r="BY2305" s="6"/>
      <c r="BZ2305" s="6"/>
      <c r="CA2305" s="6"/>
      <c r="CB2305" s="6"/>
      <c r="CC2305" s="6"/>
      <c r="CD2305" s="6"/>
      <c r="CE2305" s="6"/>
      <c r="CF2305" s="6"/>
      <c r="CG2305" s="6"/>
      <c r="CH2305" s="6"/>
      <c r="CI2305" s="6"/>
      <c r="CJ2305" s="6"/>
      <c r="CK2305" s="6"/>
      <c r="CL2305" s="6"/>
      <c r="CM2305" s="6"/>
      <c r="CN2305" s="6"/>
      <c r="CO2305" s="6"/>
      <c r="CP2305" s="6"/>
      <c r="CQ2305" s="6"/>
      <c r="CR2305" s="6"/>
      <c r="CS2305" s="6"/>
      <c r="CT2305" s="6"/>
      <c r="CU2305" s="6"/>
      <c r="CV2305" s="6"/>
      <c r="CW2305" s="6"/>
      <c r="CX2305" s="6"/>
      <c r="CY2305" s="6"/>
      <c r="CZ2305" s="6"/>
      <c r="DA2305" s="6"/>
      <c r="DB2305" s="6"/>
      <c r="DC2305" s="6"/>
      <c r="DD2305" s="6"/>
    </row>
    <row r="2306" spans="1:108" ht="12.75" hidden="1" customHeight="1" outlineLevel="5">
      <c r="A2306" s="104" t="s">
        <v>69</v>
      </c>
      <c r="B2306" s="28">
        <v>1</v>
      </c>
      <c r="C2306" s="11"/>
      <c r="D2306" s="18" t="str">
        <f t="shared" si="126"/>
        <v>&lt;Density&gt;1.000000&lt;/Density&gt;</v>
      </c>
      <c r="F2306" s="6"/>
      <c r="G2306" s="6"/>
      <c r="H2306" s="6"/>
      <c r="I2306" s="6"/>
      <c r="J2306" s="6"/>
      <c r="K2306" s="6"/>
      <c r="L2306" s="6"/>
      <c r="M2306" s="6"/>
      <c r="N2306" s="6"/>
      <c r="O2306" s="6"/>
      <c r="P2306" s="6"/>
      <c r="Q2306" s="6"/>
      <c r="R2306" s="6"/>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c r="BU2306" s="6"/>
      <c r="BV2306" s="6"/>
      <c r="BW2306" s="6"/>
      <c r="BX2306" s="6"/>
      <c r="BY2306" s="6"/>
      <c r="BZ2306" s="6"/>
      <c r="CA2306" s="6"/>
      <c r="CB2306" s="6"/>
      <c r="CC2306" s="6"/>
      <c r="CD2306" s="6"/>
      <c r="CE2306" s="6"/>
      <c r="CF2306" s="6"/>
      <c r="CG2306" s="6"/>
      <c r="CH2306" s="6"/>
      <c r="CI2306" s="6"/>
      <c r="CJ2306" s="6"/>
      <c r="CK2306" s="6"/>
      <c r="CL2306" s="6"/>
      <c r="CM2306" s="6"/>
      <c r="CN2306" s="6"/>
      <c r="CO2306" s="6"/>
      <c r="CP2306" s="6"/>
      <c r="CQ2306" s="6"/>
      <c r="CR2306" s="6"/>
      <c r="CS2306" s="6"/>
      <c r="CT2306" s="6"/>
      <c r="CU2306" s="6"/>
      <c r="CV2306" s="6"/>
      <c r="CW2306" s="6"/>
      <c r="CX2306" s="6"/>
      <c r="CY2306" s="6"/>
      <c r="CZ2306" s="6"/>
      <c r="DA2306" s="6"/>
      <c r="DB2306" s="6"/>
      <c r="DC2306" s="6"/>
      <c r="DD2306" s="6"/>
    </row>
    <row r="2307" spans="1:108" ht="12.75" hidden="1" customHeight="1" outlineLevel="5">
      <c r="A2307" s="104" t="s">
        <v>70</v>
      </c>
      <c r="B2307" s="28">
        <v>1</v>
      </c>
      <c r="C2307" s="11"/>
      <c r="D2307" s="18" t="str">
        <f t="shared" si="126"/>
        <v>&lt;ShellMassArea&gt;1.000000&lt;/ShellMassArea&gt;</v>
      </c>
      <c r="F2307" s="6"/>
      <c r="G2307" s="6"/>
      <c r="H2307" s="6"/>
      <c r="I2307" s="6"/>
      <c r="J2307" s="6"/>
      <c r="K2307" s="6"/>
      <c r="L2307" s="6"/>
      <c r="M2307" s="6"/>
      <c r="N2307" s="6"/>
      <c r="O2307" s="6"/>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c r="BU2307" s="6"/>
      <c r="BV2307" s="6"/>
      <c r="BW2307" s="6"/>
      <c r="BX2307" s="6"/>
      <c r="BY2307" s="6"/>
      <c r="BZ2307" s="6"/>
      <c r="CA2307" s="6"/>
      <c r="CB2307" s="6"/>
      <c r="CC2307" s="6"/>
      <c r="CD2307" s="6"/>
      <c r="CE2307" s="6"/>
      <c r="CF2307" s="6"/>
      <c r="CG2307" s="6"/>
      <c r="CH2307" s="6"/>
      <c r="CI2307" s="6"/>
      <c r="CJ2307" s="6"/>
      <c r="CK2307" s="6"/>
      <c r="CL2307" s="6"/>
      <c r="CM2307" s="6"/>
      <c r="CN2307" s="6"/>
      <c r="CO2307" s="6"/>
      <c r="CP2307" s="6"/>
      <c r="CQ2307" s="6"/>
      <c r="CR2307" s="6"/>
      <c r="CS2307" s="6"/>
      <c r="CT2307" s="6"/>
      <c r="CU2307" s="6"/>
      <c r="CV2307" s="6"/>
      <c r="CW2307" s="6"/>
      <c r="CX2307" s="6"/>
      <c r="CY2307" s="6"/>
      <c r="CZ2307" s="6"/>
      <c r="DA2307" s="6"/>
      <c r="DB2307" s="6"/>
      <c r="DC2307" s="6"/>
      <c r="DD2307" s="6"/>
    </row>
    <row r="2308" spans="1:108" ht="12.75" hidden="1" customHeight="1" outlineLevel="5">
      <c r="A2308" s="104" t="s">
        <v>71</v>
      </c>
      <c r="B2308" s="28">
        <v>0</v>
      </c>
      <c r="C2308" s="11"/>
      <c r="D2308" s="18" t="str">
        <f>"&lt;" &amp; A2308 &amp; "&gt;" &amp; TEXT(B2308,0) &amp; "&lt;/" &amp; A2308 &amp; "&gt;"</f>
        <v>&lt;RefFlag&gt;0&lt;/RefFlag&gt;</v>
      </c>
      <c r="F2308" s="6"/>
      <c r="G2308" s="6"/>
      <c r="H2308" s="6"/>
      <c r="I2308" s="6"/>
      <c r="J2308" s="6"/>
      <c r="K2308" s="6"/>
      <c r="L2308" s="6"/>
      <c r="M2308" s="6"/>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c r="BU2308" s="6"/>
      <c r="BV2308" s="6"/>
      <c r="BW2308" s="6"/>
      <c r="BX2308" s="6"/>
      <c r="BY2308" s="6"/>
      <c r="BZ2308" s="6"/>
      <c r="CA2308" s="6"/>
      <c r="CB2308" s="6"/>
      <c r="CC2308" s="6"/>
      <c r="CD2308" s="6"/>
      <c r="CE2308" s="6"/>
      <c r="CF2308" s="6"/>
      <c r="CG2308" s="6"/>
      <c r="CH2308" s="6"/>
      <c r="CI2308" s="6"/>
      <c r="CJ2308" s="6"/>
      <c r="CK2308" s="6"/>
      <c r="CL2308" s="6"/>
      <c r="CM2308" s="6"/>
      <c r="CN2308" s="6"/>
      <c r="CO2308" s="6"/>
      <c r="CP2308" s="6"/>
      <c r="CQ2308" s="6"/>
      <c r="CR2308" s="6"/>
      <c r="CS2308" s="6"/>
      <c r="CT2308" s="6"/>
      <c r="CU2308" s="6"/>
      <c r="CV2308" s="6"/>
      <c r="CW2308" s="6"/>
      <c r="CX2308" s="6"/>
      <c r="CY2308" s="6"/>
      <c r="CZ2308" s="6"/>
      <c r="DA2308" s="6"/>
      <c r="DB2308" s="6"/>
      <c r="DC2308" s="6"/>
      <c r="DD2308" s="6"/>
    </row>
    <row r="2309" spans="1:108" ht="12.75" hidden="1" customHeight="1" outlineLevel="5">
      <c r="A2309" s="104" t="s">
        <v>72</v>
      </c>
      <c r="B2309" s="28">
        <v>100</v>
      </c>
      <c r="C2309" s="11"/>
      <c r="D2309" s="18" t="str">
        <f>"&lt;" &amp; A2309 &amp; "&gt;" &amp; TEXT(B2309,"0.000000") &amp; "&lt;/" &amp; A2309 &amp; "&gt;"</f>
        <v>&lt;RefArea&gt;100.000000&lt;/RefArea&gt;</v>
      </c>
      <c r="F2309" s="6"/>
      <c r="G2309" s="6"/>
      <c r="H2309" s="6"/>
      <c r="I2309" s="6"/>
      <c r="J2309" s="6"/>
      <c r="K2309" s="6"/>
      <c r="L2309" s="6"/>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c r="BU2309" s="6"/>
      <c r="BV2309" s="6"/>
      <c r="BW2309" s="6"/>
      <c r="BX2309" s="6"/>
      <c r="BY2309" s="6"/>
      <c r="BZ2309" s="6"/>
      <c r="CA2309" s="6"/>
      <c r="CB2309" s="6"/>
      <c r="CC2309" s="6"/>
      <c r="CD2309" s="6"/>
      <c r="CE2309" s="6"/>
      <c r="CF2309" s="6"/>
      <c r="CG2309" s="6"/>
      <c r="CH2309" s="6"/>
      <c r="CI2309" s="6"/>
      <c r="CJ2309" s="6"/>
      <c r="CK2309" s="6"/>
      <c r="CL2309" s="6"/>
      <c r="CM2309" s="6"/>
      <c r="CN2309" s="6"/>
      <c r="CO2309" s="6"/>
      <c r="CP2309" s="6"/>
      <c r="CQ2309" s="6"/>
      <c r="CR2309" s="6"/>
      <c r="CS2309" s="6"/>
      <c r="CT2309" s="6"/>
      <c r="CU2309" s="6"/>
      <c r="CV2309" s="6"/>
      <c r="CW2309" s="6"/>
      <c r="CX2309" s="6"/>
      <c r="CY2309" s="6"/>
      <c r="CZ2309" s="6"/>
      <c r="DA2309" s="6"/>
      <c r="DB2309" s="6"/>
      <c r="DC2309" s="6"/>
      <c r="DD2309" s="6"/>
    </row>
    <row r="2310" spans="1:108" ht="12.75" hidden="1" customHeight="1" outlineLevel="5">
      <c r="A2310" s="104" t="s">
        <v>73</v>
      </c>
      <c r="B2310" s="28">
        <v>10</v>
      </c>
      <c r="C2310" s="11"/>
      <c r="D2310" s="18" t="str">
        <f>"&lt;" &amp; A2310 &amp; "&gt;" &amp; TEXT(B2310,"0.000000") &amp; "&lt;/" &amp; A2310 &amp; "&gt;"</f>
        <v>&lt;RefSpan&gt;10.000000&lt;/RefSpan&gt;</v>
      </c>
      <c r="F2310" s="6"/>
      <c r="G2310" s="6"/>
      <c r="H2310" s="6"/>
      <c r="I2310" s="6"/>
      <c r="J2310" s="6"/>
      <c r="K2310" s="6"/>
      <c r="L2310" s="6"/>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c r="BU2310" s="6"/>
      <c r="BV2310" s="6"/>
      <c r="BW2310" s="6"/>
      <c r="BX2310" s="6"/>
      <c r="BY2310" s="6"/>
      <c r="BZ2310" s="6"/>
      <c r="CA2310" s="6"/>
      <c r="CB2310" s="6"/>
      <c r="CC2310" s="6"/>
      <c r="CD2310" s="6"/>
      <c r="CE2310" s="6"/>
      <c r="CF2310" s="6"/>
      <c r="CG2310" s="6"/>
      <c r="CH2310" s="6"/>
      <c r="CI2310" s="6"/>
      <c r="CJ2310" s="6"/>
      <c r="CK2310" s="6"/>
      <c r="CL2310" s="6"/>
      <c r="CM2310" s="6"/>
      <c r="CN2310" s="6"/>
      <c r="CO2310" s="6"/>
      <c r="CP2310" s="6"/>
      <c r="CQ2310" s="6"/>
      <c r="CR2310" s="6"/>
      <c r="CS2310" s="6"/>
      <c r="CT2310" s="6"/>
      <c r="CU2310" s="6"/>
      <c r="CV2310" s="6"/>
      <c r="CW2310" s="6"/>
      <c r="CX2310" s="6"/>
      <c r="CY2310" s="6"/>
      <c r="CZ2310" s="6"/>
      <c r="DA2310" s="6"/>
      <c r="DB2310" s="6"/>
      <c r="DC2310" s="6"/>
      <c r="DD2310" s="6"/>
    </row>
    <row r="2311" spans="1:108" ht="12.75" hidden="1" customHeight="1" outlineLevel="5">
      <c r="A2311" s="104" t="s">
        <v>74</v>
      </c>
      <c r="B2311" s="28">
        <v>1</v>
      </c>
      <c r="C2311" s="11"/>
      <c r="D2311" s="18" t="str">
        <f>"&lt;" &amp; A2311 &amp; "&gt;" &amp; TEXT(B2311,"0.000000") &amp; "&lt;/" &amp; A2311 &amp; "&gt;"</f>
        <v>&lt;RefCbar&gt;1.000000&lt;/RefCbar&gt;</v>
      </c>
      <c r="F2311" s="6"/>
      <c r="G2311" s="6"/>
      <c r="H2311" s="6"/>
      <c r="I2311" s="6"/>
      <c r="J2311" s="6"/>
      <c r="K2311" s="6"/>
      <c r="L2311" s="6"/>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c r="BU2311" s="6"/>
      <c r="BV2311" s="6"/>
      <c r="BW2311" s="6"/>
      <c r="BX2311" s="6"/>
      <c r="BY2311" s="6"/>
      <c r="BZ2311" s="6"/>
      <c r="CA2311" s="6"/>
      <c r="CB2311" s="6"/>
      <c r="CC2311" s="6"/>
      <c r="CD2311" s="6"/>
      <c r="CE2311" s="6"/>
      <c r="CF2311" s="6"/>
      <c r="CG2311" s="6"/>
      <c r="CH2311" s="6"/>
      <c r="CI2311" s="6"/>
      <c r="CJ2311" s="6"/>
      <c r="CK2311" s="6"/>
      <c r="CL2311" s="6"/>
      <c r="CM2311" s="6"/>
      <c r="CN2311" s="6"/>
      <c r="CO2311" s="6"/>
      <c r="CP2311" s="6"/>
      <c r="CQ2311" s="6"/>
      <c r="CR2311" s="6"/>
      <c r="CS2311" s="6"/>
      <c r="CT2311" s="6"/>
      <c r="CU2311" s="6"/>
      <c r="CV2311" s="6"/>
      <c r="CW2311" s="6"/>
      <c r="CX2311" s="6"/>
      <c r="CY2311" s="6"/>
      <c r="CZ2311" s="6"/>
      <c r="DA2311" s="6"/>
      <c r="DB2311" s="6"/>
      <c r="DC2311" s="6"/>
      <c r="DD2311" s="6"/>
    </row>
    <row r="2312" spans="1:108" ht="12.75" hidden="1" customHeight="1" outlineLevel="5">
      <c r="A2312" s="104" t="s">
        <v>75</v>
      </c>
      <c r="B2312" s="28">
        <v>1</v>
      </c>
      <c r="C2312" s="11"/>
      <c r="D2312" s="18" t="str">
        <f>"&lt;" &amp; A2312 &amp; "&gt;" &amp; TEXT(B2312,0) &amp; "&lt;/" &amp; A2312 &amp; "&gt;"</f>
        <v>&lt;AutoRefAreaFlag&gt;1&lt;/AutoRefAreaFlag&gt;</v>
      </c>
      <c r="F2312" s="6"/>
      <c r="G2312" s="6"/>
      <c r="H2312" s="6"/>
      <c r="I2312" s="6"/>
      <c r="J2312" s="6"/>
      <c r="K2312" s="6"/>
      <c r="L2312" s="6"/>
      <c r="M2312" s="6"/>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c r="BU2312" s="6"/>
      <c r="BV2312" s="6"/>
      <c r="BW2312" s="6"/>
      <c r="BX2312" s="6"/>
      <c r="BY2312" s="6"/>
      <c r="BZ2312" s="6"/>
      <c r="CA2312" s="6"/>
      <c r="CB2312" s="6"/>
      <c r="CC2312" s="6"/>
      <c r="CD2312" s="6"/>
      <c r="CE2312" s="6"/>
      <c r="CF2312" s="6"/>
      <c r="CG2312" s="6"/>
      <c r="CH2312" s="6"/>
      <c r="CI2312" s="6"/>
      <c r="CJ2312" s="6"/>
      <c r="CK2312" s="6"/>
      <c r="CL2312" s="6"/>
      <c r="CM2312" s="6"/>
      <c r="CN2312" s="6"/>
      <c r="CO2312" s="6"/>
      <c r="CP2312" s="6"/>
      <c r="CQ2312" s="6"/>
      <c r="CR2312" s="6"/>
      <c r="CS2312" s="6"/>
      <c r="CT2312" s="6"/>
      <c r="CU2312" s="6"/>
      <c r="CV2312" s="6"/>
      <c r="CW2312" s="6"/>
      <c r="CX2312" s="6"/>
      <c r="CY2312" s="6"/>
      <c r="CZ2312" s="6"/>
      <c r="DA2312" s="6"/>
      <c r="DB2312" s="6"/>
      <c r="DC2312" s="6"/>
      <c r="DD2312" s="6"/>
    </row>
    <row r="2313" spans="1:108" ht="12.75" hidden="1" customHeight="1" outlineLevel="5">
      <c r="A2313" s="104" t="s">
        <v>76</v>
      </c>
      <c r="B2313" s="28">
        <v>1</v>
      </c>
      <c r="C2313" s="11"/>
      <c r="D2313" s="18" t="str">
        <f>"&lt;" &amp; A2313 &amp; "&gt;" &amp; TEXT(B2313,0) &amp; "&lt;/" &amp; A2313 &amp; "&gt;"</f>
        <v>&lt;AutoRefSpanFlag&gt;1&lt;/AutoRefSpanFlag&gt;</v>
      </c>
      <c r="F2313" s="6"/>
      <c r="G2313" s="6"/>
      <c r="H2313" s="6"/>
      <c r="I2313" s="6"/>
      <c r="J2313" s="6"/>
      <c r="K2313" s="6"/>
      <c r="L2313" s="6"/>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c r="BU2313" s="6"/>
      <c r="BV2313" s="6"/>
      <c r="BW2313" s="6"/>
      <c r="BX2313" s="6"/>
      <c r="BY2313" s="6"/>
      <c r="BZ2313" s="6"/>
      <c r="CA2313" s="6"/>
      <c r="CB2313" s="6"/>
      <c r="CC2313" s="6"/>
      <c r="CD2313" s="6"/>
      <c r="CE2313" s="6"/>
      <c r="CF2313" s="6"/>
      <c r="CG2313" s="6"/>
      <c r="CH2313" s="6"/>
      <c r="CI2313" s="6"/>
      <c r="CJ2313" s="6"/>
      <c r="CK2313" s="6"/>
      <c r="CL2313" s="6"/>
      <c r="CM2313" s="6"/>
      <c r="CN2313" s="6"/>
      <c r="CO2313" s="6"/>
      <c r="CP2313" s="6"/>
      <c r="CQ2313" s="6"/>
      <c r="CR2313" s="6"/>
      <c r="CS2313" s="6"/>
      <c r="CT2313" s="6"/>
      <c r="CU2313" s="6"/>
      <c r="CV2313" s="6"/>
      <c r="CW2313" s="6"/>
      <c r="CX2313" s="6"/>
      <c r="CY2313" s="6"/>
      <c r="CZ2313" s="6"/>
      <c r="DA2313" s="6"/>
      <c r="DB2313" s="6"/>
      <c r="DC2313" s="6"/>
      <c r="DD2313" s="6"/>
    </row>
    <row r="2314" spans="1:108" ht="12.75" hidden="1" customHeight="1" outlineLevel="5">
      <c r="A2314" s="104" t="s">
        <v>77</v>
      </c>
      <c r="B2314" s="28">
        <v>1</v>
      </c>
      <c r="C2314" s="11"/>
      <c r="D2314" s="18" t="str">
        <f>"&lt;" &amp; A2314 &amp; "&gt;" &amp; TEXT(B2314,0) &amp; "&lt;/" &amp; A2314 &amp; "&gt;"</f>
        <v>&lt;AutoRefCbarFlag&gt;1&lt;/AutoRefCbarFlag&gt;</v>
      </c>
      <c r="F2314" s="6"/>
      <c r="G2314" s="6"/>
      <c r="H2314" s="6"/>
      <c r="I2314" s="6"/>
      <c r="J2314" s="6"/>
      <c r="K2314" s="6"/>
      <c r="L2314" s="6"/>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c r="BU2314" s="6"/>
      <c r="BV2314" s="6"/>
      <c r="BW2314" s="6"/>
      <c r="BX2314" s="6"/>
      <c r="BY2314" s="6"/>
      <c r="BZ2314" s="6"/>
      <c r="CA2314" s="6"/>
      <c r="CB2314" s="6"/>
      <c r="CC2314" s="6"/>
      <c r="CD2314" s="6"/>
      <c r="CE2314" s="6"/>
      <c r="CF2314" s="6"/>
      <c r="CG2314" s="6"/>
      <c r="CH2314" s="6"/>
      <c r="CI2314" s="6"/>
      <c r="CJ2314" s="6"/>
      <c r="CK2314" s="6"/>
      <c r="CL2314" s="6"/>
      <c r="CM2314" s="6"/>
      <c r="CN2314" s="6"/>
      <c r="CO2314" s="6"/>
      <c r="CP2314" s="6"/>
      <c r="CQ2314" s="6"/>
      <c r="CR2314" s="6"/>
      <c r="CS2314" s="6"/>
      <c r="CT2314" s="6"/>
      <c r="CU2314" s="6"/>
      <c r="CV2314" s="6"/>
      <c r="CW2314" s="6"/>
      <c r="CX2314" s="6"/>
      <c r="CY2314" s="6"/>
      <c r="CZ2314" s="6"/>
      <c r="DA2314" s="6"/>
      <c r="DB2314" s="6"/>
      <c r="DC2314" s="6"/>
      <c r="DD2314" s="6"/>
    </row>
    <row r="2315" spans="1:108" ht="12.75" hidden="1" customHeight="1" outlineLevel="5">
      <c r="A2315" s="104" t="s">
        <v>78</v>
      </c>
      <c r="B2315" s="28">
        <v>0</v>
      </c>
      <c r="C2315" s="11"/>
      <c r="D2315" s="18" t="str">
        <f>"&lt;" &amp; A2315 &amp; "&gt;" &amp; TEXT(B2315,"0.000000") &amp; "&lt;/" &amp; A2315 &amp; "&gt;"</f>
        <v>&lt;AeroCenter_X&gt;0.000000&lt;/AeroCenter_X&gt;</v>
      </c>
      <c r="F2315" s="6"/>
      <c r="G2315" s="6"/>
      <c r="H2315" s="6"/>
      <c r="I2315" s="6"/>
      <c r="J2315" s="6"/>
      <c r="K2315" s="6"/>
      <c r="L2315" s="6"/>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c r="BU2315" s="6"/>
      <c r="BV2315" s="6"/>
      <c r="BW2315" s="6"/>
      <c r="BX2315" s="6"/>
      <c r="BY2315" s="6"/>
      <c r="BZ2315" s="6"/>
      <c r="CA2315" s="6"/>
      <c r="CB2315" s="6"/>
      <c r="CC2315" s="6"/>
      <c r="CD2315" s="6"/>
      <c r="CE2315" s="6"/>
      <c r="CF2315" s="6"/>
      <c r="CG2315" s="6"/>
      <c r="CH2315" s="6"/>
      <c r="CI2315" s="6"/>
      <c r="CJ2315" s="6"/>
      <c r="CK2315" s="6"/>
      <c r="CL2315" s="6"/>
      <c r="CM2315" s="6"/>
      <c r="CN2315" s="6"/>
      <c r="CO2315" s="6"/>
      <c r="CP2315" s="6"/>
      <c r="CQ2315" s="6"/>
      <c r="CR2315" s="6"/>
      <c r="CS2315" s="6"/>
      <c r="CT2315" s="6"/>
      <c r="CU2315" s="6"/>
      <c r="CV2315" s="6"/>
      <c r="CW2315" s="6"/>
      <c r="CX2315" s="6"/>
      <c r="CY2315" s="6"/>
      <c r="CZ2315" s="6"/>
      <c r="DA2315" s="6"/>
      <c r="DB2315" s="6"/>
      <c r="DC2315" s="6"/>
      <c r="DD2315" s="6"/>
    </row>
    <row r="2316" spans="1:108" ht="12.75" hidden="1" customHeight="1" outlineLevel="5">
      <c r="A2316" s="104" t="s">
        <v>79</v>
      </c>
      <c r="B2316" s="28">
        <v>0</v>
      </c>
      <c r="C2316" s="11"/>
      <c r="D2316" s="18" t="str">
        <f>"&lt;" &amp; A2316 &amp; "&gt;" &amp; TEXT(B2316,"0.000000") &amp; "&lt;/" &amp; A2316 &amp; "&gt;"</f>
        <v>&lt;AeroCenter_Y&gt;0.000000&lt;/AeroCenter_Y&gt;</v>
      </c>
      <c r="F2316" s="6"/>
      <c r="G2316" s="6"/>
      <c r="H2316" s="6"/>
      <c r="I2316" s="6"/>
      <c r="J2316" s="6"/>
      <c r="K2316" s="6"/>
      <c r="L2316" s="6"/>
      <c r="M2316" s="6"/>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c r="BU2316" s="6"/>
      <c r="BV2316" s="6"/>
      <c r="BW2316" s="6"/>
      <c r="BX2316" s="6"/>
      <c r="BY2316" s="6"/>
      <c r="BZ2316" s="6"/>
      <c r="CA2316" s="6"/>
      <c r="CB2316" s="6"/>
      <c r="CC2316" s="6"/>
      <c r="CD2316" s="6"/>
      <c r="CE2316" s="6"/>
      <c r="CF2316" s="6"/>
      <c r="CG2316" s="6"/>
      <c r="CH2316" s="6"/>
      <c r="CI2316" s="6"/>
      <c r="CJ2316" s="6"/>
      <c r="CK2316" s="6"/>
      <c r="CL2316" s="6"/>
      <c r="CM2316" s="6"/>
      <c r="CN2316" s="6"/>
      <c r="CO2316" s="6"/>
      <c r="CP2316" s="6"/>
      <c r="CQ2316" s="6"/>
      <c r="CR2316" s="6"/>
      <c r="CS2316" s="6"/>
      <c r="CT2316" s="6"/>
      <c r="CU2316" s="6"/>
      <c r="CV2316" s="6"/>
      <c r="CW2316" s="6"/>
      <c r="CX2316" s="6"/>
      <c r="CY2316" s="6"/>
      <c r="CZ2316" s="6"/>
      <c r="DA2316" s="6"/>
      <c r="DB2316" s="6"/>
      <c r="DC2316" s="6"/>
      <c r="DD2316" s="6"/>
    </row>
    <row r="2317" spans="1:108" ht="12.75" hidden="1" customHeight="1" outlineLevel="5">
      <c r="A2317" s="104" t="s">
        <v>80</v>
      </c>
      <c r="B2317" s="28">
        <v>0</v>
      </c>
      <c r="C2317" s="11"/>
      <c r="D2317" s="18" t="str">
        <f>"&lt;" &amp; A2317 &amp; "&gt;" &amp; TEXT(B2317,"0.000000") &amp; "&lt;/" &amp; A2317 &amp; "&gt;"</f>
        <v>&lt;AeroCenter_Z&gt;0.000000&lt;/AeroCenter_Z&gt;</v>
      </c>
      <c r="F2317" s="6"/>
      <c r="G2317" s="6"/>
      <c r="H2317" s="6"/>
      <c r="I2317" s="6"/>
      <c r="J2317" s="6"/>
      <c r="K2317" s="6"/>
      <c r="L2317" s="6"/>
      <c r="M2317" s="6"/>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c r="BU2317" s="6"/>
      <c r="BV2317" s="6"/>
      <c r="BW2317" s="6"/>
      <c r="BX2317" s="6"/>
      <c r="BY2317" s="6"/>
      <c r="BZ2317" s="6"/>
      <c r="CA2317" s="6"/>
      <c r="CB2317" s="6"/>
      <c r="CC2317" s="6"/>
      <c r="CD2317" s="6"/>
      <c r="CE2317" s="6"/>
      <c r="CF2317" s="6"/>
      <c r="CG2317" s="6"/>
      <c r="CH2317" s="6"/>
      <c r="CI2317" s="6"/>
      <c r="CJ2317" s="6"/>
      <c r="CK2317" s="6"/>
      <c r="CL2317" s="6"/>
      <c r="CM2317" s="6"/>
      <c r="CN2317" s="6"/>
      <c r="CO2317" s="6"/>
      <c r="CP2317" s="6"/>
      <c r="CQ2317" s="6"/>
      <c r="CR2317" s="6"/>
      <c r="CS2317" s="6"/>
      <c r="CT2317" s="6"/>
      <c r="CU2317" s="6"/>
      <c r="CV2317" s="6"/>
      <c r="CW2317" s="6"/>
      <c r="CX2317" s="6"/>
      <c r="CY2317" s="6"/>
      <c r="CZ2317" s="6"/>
      <c r="DA2317" s="6"/>
      <c r="DB2317" s="6"/>
      <c r="DC2317" s="6"/>
      <c r="DD2317" s="6"/>
    </row>
    <row r="2318" spans="1:108" ht="12.75" hidden="1" customHeight="1" outlineLevel="5">
      <c r="A2318" s="104" t="s">
        <v>81</v>
      </c>
      <c r="B2318" s="28">
        <v>1</v>
      </c>
      <c r="C2318" s="11"/>
      <c r="D2318" s="18" t="str">
        <f>"&lt;" &amp; A2318 &amp; "&gt;" &amp; TEXT(B2318,0) &amp; "&lt;/" &amp; A2318 &amp; "&gt;"</f>
        <v>&lt;AutoAeroCenterFlag&gt;1&lt;/AutoAeroCenterFlag&gt;</v>
      </c>
      <c r="F2318" s="6"/>
      <c r="G2318" s="6"/>
      <c r="H2318" s="6"/>
      <c r="I2318" s="6"/>
      <c r="J2318" s="6"/>
      <c r="K2318" s="6"/>
      <c r="L2318" s="6"/>
      <c r="M2318" s="6"/>
      <c r="N2318" s="6"/>
      <c r="O2318" s="6"/>
      <c r="P2318" s="6"/>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c r="BU2318" s="6"/>
      <c r="BV2318" s="6"/>
      <c r="BW2318" s="6"/>
      <c r="BX2318" s="6"/>
      <c r="BY2318" s="6"/>
      <c r="BZ2318" s="6"/>
      <c r="CA2318" s="6"/>
      <c r="CB2318" s="6"/>
      <c r="CC2318" s="6"/>
      <c r="CD2318" s="6"/>
      <c r="CE2318" s="6"/>
      <c r="CF2318" s="6"/>
      <c r="CG2318" s="6"/>
      <c r="CH2318" s="6"/>
      <c r="CI2318" s="6"/>
      <c r="CJ2318" s="6"/>
      <c r="CK2318" s="6"/>
      <c r="CL2318" s="6"/>
      <c r="CM2318" s="6"/>
      <c r="CN2318" s="6"/>
      <c r="CO2318" s="6"/>
      <c r="CP2318" s="6"/>
      <c r="CQ2318" s="6"/>
      <c r="CR2318" s="6"/>
      <c r="CS2318" s="6"/>
      <c r="CT2318" s="6"/>
      <c r="CU2318" s="6"/>
      <c r="CV2318" s="6"/>
      <c r="CW2318" s="6"/>
      <c r="CX2318" s="6"/>
      <c r="CY2318" s="6"/>
      <c r="CZ2318" s="6"/>
      <c r="DA2318" s="6"/>
      <c r="DB2318" s="6"/>
      <c r="DC2318" s="6"/>
      <c r="DD2318" s="6"/>
    </row>
    <row r="2319" spans="1:108" ht="12.75" hidden="1" customHeight="1" outlineLevel="5">
      <c r="A2319" s="104" t="s">
        <v>82</v>
      </c>
      <c r="B2319" s="28">
        <v>0</v>
      </c>
      <c r="C2319" s="11"/>
      <c r="D2319" s="18" t="str">
        <f>"&lt;" &amp; A2319 &amp; "&gt;" &amp; TEXT(B2319,0) &amp; "&lt;/" &amp; A2319 &amp; "&gt;"</f>
        <v>&lt;WakeActiveFlag&gt;0&lt;/WakeActiveFlag&gt;</v>
      </c>
      <c r="F2319" s="6"/>
      <c r="G2319" s="6"/>
      <c r="H2319" s="6"/>
      <c r="I2319" s="6"/>
      <c r="J2319" s="6"/>
      <c r="K2319" s="6"/>
      <c r="L2319" s="6"/>
      <c r="M2319" s="6"/>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c r="BU2319" s="6"/>
      <c r="BV2319" s="6"/>
      <c r="BW2319" s="6"/>
      <c r="BX2319" s="6"/>
      <c r="BY2319" s="6"/>
      <c r="BZ2319" s="6"/>
      <c r="CA2319" s="6"/>
      <c r="CB2319" s="6"/>
      <c r="CC2319" s="6"/>
      <c r="CD2319" s="6"/>
      <c r="CE2319" s="6"/>
      <c r="CF2319" s="6"/>
      <c r="CG2319" s="6"/>
      <c r="CH2319" s="6"/>
      <c r="CI2319" s="6"/>
      <c r="CJ2319" s="6"/>
      <c r="CK2319" s="6"/>
      <c r="CL2319" s="6"/>
      <c r="CM2319" s="6"/>
      <c r="CN2319" s="6"/>
      <c r="CO2319" s="6"/>
      <c r="CP2319" s="6"/>
      <c r="CQ2319" s="6"/>
      <c r="CR2319" s="6"/>
      <c r="CS2319" s="6"/>
      <c r="CT2319" s="6"/>
      <c r="CU2319" s="6"/>
      <c r="CV2319" s="6"/>
      <c r="CW2319" s="6"/>
      <c r="CX2319" s="6"/>
      <c r="CY2319" s="6"/>
      <c r="CZ2319" s="6"/>
      <c r="DA2319" s="6"/>
      <c r="DB2319" s="6"/>
      <c r="DC2319" s="6"/>
      <c r="DD2319" s="6"/>
    </row>
    <row r="2320" spans="1:108" ht="12.75" hidden="1" customHeight="1" outlineLevel="5">
      <c r="A2320" s="104" t="s">
        <v>83</v>
      </c>
      <c r="B2320" s="28">
        <v>0</v>
      </c>
      <c r="C2320" s="11"/>
      <c r="D2320" s="18" t="str">
        <f>"&lt;" &amp; A2320 &amp; "&gt;" &amp; TEXT(B2320,0) &amp; "&lt;/" &amp; A2320 &amp; "&gt;"</f>
        <v>&lt;PosAttachFlag&gt;0&lt;/PosAttachFlag&gt;</v>
      </c>
      <c r="F2320" s="6"/>
      <c r="G2320" s="6"/>
      <c r="H2320" s="6"/>
      <c r="I2320" s="6"/>
      <c r="J2320" s="6"/>
      <c r="K2320" s="6"/>
      <c r="L2320" s="6"/>
      <c r="M2320" s="6"/>
      <c r="N2320" s="6"/>
      <c r="O2320" s="6"/>
      <c r="P2320" s="6"/>
      <c r="Q2320" s="6"/>
      <c r="R2320" s="6"/>
      <c r="S2320" s="6"/>
      <c r="T2320" s="6"/>
      <c r="U2320" s="6"/>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c r="BU2320" s="6"/>
      <c r="BV2320" s="6"/>
      <c r="BW2320" s="6"/>
      <c r="BX2320" s="6"/>
      <c r="BY2320" s="6"/>
      <c r="BZ2320" s="6"/>
      <c r="CA2320" s="6"/>
      <c r="CB2320" s="6"/>
      <c r="CC2320" s="6"/>
      <c r="CD2320" s="6"/>
      <c r="CE2320" s="6"/>
      <c r="CF2320" s="6"/>
      <c r="CG2320" s="6"/>
      <c r="CH2320" s="6"/>
      <c r="CI2320" s="6"/>
      <c r="CJ2320" s="6"/>
      <c r="CK2320" s="6"/>
      <c r="CL2320" s="6"/>
      <c r="CM2320" s="6"/>
      <c r="CN2320" s="6"/>
      <c r="CO2320" s="6"/>
      <c r="CP2320" s="6"/>
      <c r="CQ2320" s="6"/>
      <c r="CR2320" s="6"/>
      <c r="CS2320" s="6"/>
      <c r="CT2320" s="6"/>
      <c r="CU2320" s="6"/>
      <c r="CV2320" s="6"/>
      <c r="CW2320" s="6"/>
      <c r="CX2320" s="6"/>
      <c r="CY2320" s="6"/>
      <c r="CZ2320" s="6"/>
      <c r="DA2320" s="6"/>
      <c r="DB2320" s="6"/>
      <c r="DC2320" s="6"/>
      <c r="DD2320" s="6"/>
    </row>
    <row r="2321" spans="1:108" ht="12.75" hidden="1" customHeight="1" outlineLevel="5">
      <c r="A2321" s="104" t="s">
        <v>84</v>
      </c>
      <c r="B2321" s="28">
        <v>0</v>
      </c>
      <c r="C2321" s="11"/>
      <c r="D2321" s="18" t="str">
        <f>"&lt;" &amp; A2321 &amp; "&gt;" &amp; TEXT(B2321,"0.000000") &amp; "&lt;/" &amp; A2321 &amp; "&gt;"</f>
        <v>&lt;U_Attach&gt;0.000000&lt;/U_Attach&gt;</v>
      </c>
      <c r="F2321" s="6"/>
      <c r="G2321" s="6"/>
      <c r="H2321" s="6"/>
      <c r="I2321" s="6"/>
      <c r="J2321" s="6"/>
      <c r="K2321" s="6"/>
      <c r="L2321" s="6"/>
      <c r="M2321" s="6"/>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c r="BU2321" s="6"/>
      <c r="BV2321" s="6"/>
      <c r="BW2321" s="6"/>
      <c r="BX2321" s="6"/>
      <c r="BY2321" s="6"/>
      <c r="BZ2321" s="6"/>
      <c r="CA2321" s="6"/>
      <c r="CB2321" s="6"/>
      <c r="CC2321" s="6"/>
      <c r="CD2321" s="6"/>
      <c r="CE2321" s="6"/>
      <c r="CF2321" s="6"/>
      <c r="CG2321" s="6"/>
      <c r="CH2321" s="6"/>
      <c r="CI2321" s="6"/>
      <c r="CJ2321" s="6"/>
      <c r="CK2321" s="6"/>
      <c r="CL2321" s="6"/>
      <c r="CM2321" s="6"/>
      <c r="CN2321" s="6"/>
      <c r="CO2321" s="6"/>
      <c r="CP2321" s="6"/>
      <c r="CQ2321" s="6"/>
      <c r="CR2321" s="6"/>
      <c r="CS2321" s="6"/>
      <c r="CT2321" s="6"/>
      <c r="CU2321" s="6"/>
      <c r="CV2321" s="6"/>
      <c r="CW2321" s="6"/>
      <c r="CX2321" s="6"/>
      <c r="CY2321" s="6"/>
      <c r="CZ2321" s="6"/>
      <c r="DA2321" s="6"/>
      <c r="DB2321" s="6"/>
      <c r="DC2321" s="6"/>
      <c r="DD2321" s="6"/>
    </row>
    <row r="2322" spans="1:108" ht="12.75" hidden="1" customHeight="1" outlineLevel="5">
      <c r="A2322" s="104" t="s">
        <v>85</v>
      </c>
      <c r="B2322" s="28">
        <v>0</v>
      </c>
      <c r="C2322" s="11"/>
      <c r="D2322" s="18" t="str">
        <f>"&lt;" &amp; A2322 &amp; "&gt;" &amp; TEXT(B2322,"0.000000") &amp; "&lt;/" &amp; A2322 &amp; "&gt;"</f>
        <v>&lt;V_Attach&gt;0.000000&lt;/V_Attach&gt;</v>
      </c>
      <c r="F2322" s="6"/>
      <c r="G2322" s="6"/>
      <c r="H2322" s="6"/>
      <c r="I2322" s="6"/>
      <c r="J2322" s="6"/>
      <c r="K2322" s="6"/>
      <c r="L2322" s="6"/>
      <c r="M2322" s="6"/>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c r="BU2322" s="6"/>
      <c r="BV2322" s="6"/>
      <c r="BW2322" s="6"/>
      <c r="BX2322" s="6"/>
      <c r="BY2322" s="6"/>
      <c r="BZ2322" s="6"/>
      <c r="CA2322" s="6"/>
      <c r="CB2322" s="6"/>
      <c r="CC2322" s="6"/>
      <c r="CD2322" s="6"/>
      <c r="CE2322" s="6"/>
      <c r="CF2322" s="6"/>
      <c r="CG2322" s="6"/>
      <c r="CH2322" s="6"/>
      <c r="CI2322" s="6"/>
      <c r="CJ2322" s="6"/>
      <c r="CK2322" s="6"/>
      <c r="CL2322" s="6"/>
      <c r="CM2322" s="6"/>
      <c r="CN2322" s="6"/>
      <c r="CO2322" s="6"/>
      <c r="CP2322" s="6"/>
      <c r="CQ2322" s="6"/>
      <c r="CR2322" s="6"/>
      <c r="CS2322" s="6"/>
      <c r="CT2322" s="6"/>
      <c r="CU2322" s="6"/>
      <c r="CV2322" s="6"/>
      <c r="CW2322" s="6"/>
      <c r="CX2322" s="6"/>
      <c r="CY2322" s="6"/>
      <c r="CZ2322" s="6"/>
      <c r="DA2322" s="6"/>
      <c r="DB2322" s="6"/>
      <c r="DC2322" s="6"/>
      <c r="DD2322" s="6"/>
    </row>
    <row r="2323" spans="1:108" ht="12.75" hidden="1" customHeight="1" outlineLevel="5">
      <c r="A2323" s="104" t="s">
        <v>86</v>
      </c>
      <c r="B2323" s="28">
        <v>149096552</v>
      </c>
      <c r="C2323" s="11"/>
      <c r="D2323" s="18" t="str">
        <f t="shared" ref="D2323:D2328" si="127">"&lt;" &amp; A2323 &amp; "&gt;" &amp; TEXT(B2323,0) &amp; "&lt;/" &amp; A2323 &amp; "&gt;"</f>
        <v>&lt;PtrID&gt;149096552&lt;/PtrID&gt;</v>
      </c>
      <c r="F2323" s="6"/>
      <c r="G2323" s="6"/>
      <c r="H2323" s="6"/>
      <c r="I2323" s="6"/>
      <c r="J2323" s="6"/>
      <c r="K2323" s="6"/>
      <c r="L2323" s="6"/>
      <c r="M2323" s="6"/>
      <c r="N2323" s="6"/>
      <c r="O2323" s="6"/>
      <c r="P2323" s="6"/>
      <c r="Q2323" s="6"/>
      <c r="R2323" s="6"/>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c r="BU2323" s="6"/>
      <c r="BV2323" s="6"/>
      <c r="BW2323" s="6"/>
      <c r="BX2323" s="6"/>
      <c r="BY2323" s="6"/>
      <c r="BZ2323" s="6"/>
      <c r="CA2323" s="6"/>
      <c r="CB2323" s="6"/>
      <c r="CC2323" s="6"/>
      <c r="CD2323" s="6"/>
      <c r="CE2323" s="6"/>
      <c r="CF2323" s="6"/>
      <c r="CG2323" s="6"/>
      <c r="CH2323" s="6"/>
      <c r="CI2323" s="6"/>
      <c r="CJ2323" s="6"/>
      <c r="CK2323" s="6"/>
      <c r="CL2323" s="6"/>
      <c r="CM2323" s="6"/>
      <c r="CN2323" s="6"/>
      <c r="CO2323" s="6"/>
      <c r="CP2323" s="6"/>
      <c r="CQ2323" s="6"/>
      <c r="CR2323" s="6"/>
      <c r="CS2323" s="6"/>
      <c r="CT2323" s="6"/>
      <c r="CU2323" s="6"/>
      <c r="CV2323" s="6"/>
      <c r="CW2323" s="6"/>
      <c r="CX2323" s="6"/>
      <c r="CY2323" s="6"/>
      <c r="CZ2323" s="6"/>
      <c r="DA2323" s="6"/>
      <c r="DB2323" s="6"/>
      <c r="DC2323" s="6"/>
      <c r="DD2323" s="6"/>
    </row>
    <row r="2324" spans="1:108" ht="12.75" hidden="1" customHeight="1" outlineLevel="5">
      <c r="A2324" s="104" t="s">
        <v>87</v>
      </c>
      <c r="B2324" s="28">
        <v>0</v>
      </c>
      <c r="C2324" s="11"/>
      <c r="D2324" s="18" t="str">
        <f t="shared" si="127"/>
        <v>&lt;Parent_PtrID&gt;0&lt;/Parent_PtrID&gt;</v>
      </c>
      <c r="F2324" s="6"/>
      <c r="G2324" s="6"/>
      <c r="H2324" s="6"/>
      <c r="I2324" s="6"/>
      <c r="J2324" s="6"/>
      <c r="K2324" s="6"/>
      <c r="L2324" s="6"/>
      <c r="M2324" s="6"/>
      <c r="N2324" s="6"/>
      <c r="O2324" s="6"/>
      <c r="P2324" s="6"/>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c r="BU2324" s="6"/>
      <c r="BV2324" s="6"/>
      <c r="BW2324" s="6"/>
      <c r="BX2324" s="6"/>
      <c r="BY2324" s="6"/>
      <c r="BZ2324" s="6"/>
      <c r="CA2324" s="6"/>
      <c r="CB2324" s="6"/>
      <c r="CC2324" s="6"/>
      <c r="CD2324" s="6"/>
      <c r="CE2324" s="6"/>
      <c r="CF2324" s="6"/>
      <c r="CG2324" s="6"/>
      <c r="CH2324" s="6"/>
      <c r="CI2324" s="6"/>
      <c r="CJ2324" s="6"/>
      <c r="CK2324" s="6"/>
      <c r="CL2324" s="6"/>
      <c r="CM2324" s="6"/>
      <c r="CN2324" s="6"/>
      <c r="CO2324" s="6"/>
      <c r="CP2324" s="6"/>
      <c r="CQ2324" s="6"/>
      <c r="CR2324" s="6"/>
      <c r="CS2324" s="6"/>
      <c r="CT2324" s="6"/>
      <c r="CU2324" s="6"/>
      <c r="CV2324" s="6"/>
      <c r="CW2324" s="6"/>
      <c r="CX2324" s="6"/>
      <c r="CY2324" s="6"/>
      <c r="CZ2324" s="6"/>
      <c r="DA2324" s="6"/>
      <c r="DB2324" s="6"/>
      <c r="DC2324" s="6"/>
      <c r="DD2324" s="6"/>
    </row>
    <row r="2325" spans="1:108" ht="12.75" hidden="1" customHeight="1" outlineLevel="5">
      <c r="A2325" s="104" t="s">
        <v>221</v>
      </c>
      <c r="B2325" s="28">
        <v>149099136</v>
      </c>
      <c r="C2325" s="11"/>
      <c r="D2325" s="18" t="str">
        <f t="shared" si="127"/>
        <v>&lt;Children_PtrID&gt;149099136&lt;/Children_PtrID&gt;</v>
      </c>
      <c r="F2325" s="6"/>
      <c r="G2325" s="6"/>
      <c r="H2325" s="6"/>
      <c r="I2325" s="6"/>
      <c r="J2325" s="6"/>
      <c r="K2325" s="6"/>
      <c r="L2325" s="6"/>
      <c r="M2325" s="6"/>
      <c r="N2325" s="6"/>
      <c r="O2325" s="6"/>
      <c r="P2325" s="6"/>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c r="BU2325" s="6"/>
      <c r="BV2325" s="6"/>
      <c r="BW2325" s="6"/>
      <c r="BX2325" s="6"/>
      <c r="BY2325" s="6"/>
      <c r="BZ2325" s="6"/>
      <c r="CA2325" s="6"/>
      <c r="CB2325" s="6"/>
      <c r="CC2325" s="6"/>
      <c r="CD2325" s="6"/>
      <c r="CE2325" s="6"/>
      <c r="CF2325" s="6"/>
      <c r="CG2325" s="6"/>
      <c r="CH2325" s="6"/>
      <c r="CI2325" s="6"/>
      <c r="CJ2325" s="6"/>
      <c r="CK2325" s="6"/>
      <c r="CL2325" s="6"/>
      <c r="CM2325" s="6"/>
      <c r="CN2325" s="6"/>
      <c r="CO2325" s="6"/>
      <c r="CP2325" s="6"/>
      <c r="CQ2325" s="6"/>
      <c r="CR2325" s="6"/>
      <c r="CS2325" s="6"/>
      <c r="CT2325" s="6"/>
      <c r="CU2325" s="6"/>
      <c r="CV2325" s="6"/>
      <c r="CW2325" s="6"/>
      <c r="CX2325" s="6"/>
      <c r="CY2325" s="6"/>
      <c r="CZ2325" s="6"/>
      <c r="DA2325" s="6"/>
      <c r="DB2325" s="6"/>
      <c r="DC2325" s="6"/>
      <c r="DD2325" s="6"/>
    </row>
    <row r="2326" spans="1:108" ht="12.75" hidden="1" customHeight="1" outlineLevel="5">
      <c r="A2326" s="104" t="s">
        <v>221</v>
      </c>
      <c r="B2326" s="28">
        <v>149328112</v>
      </c>
      <c r="C2326" s="11"/>
      <c r="D2326" s="18" t="str">
        <f t="shared" si="127"/>
        <v>&lt;Children_PtrID&gt;149328112&lt;/Children_PtrID&gt;</v>
      </c>
      <c r="F2326" s="6"/>
      <c r="G2326" s="6"/>
      <c r="H2326" s="6"/>
      <c r="I2326" s="6"/>
      <c r="J2326" s="6"/>
      <c r="K2326" s="6"/>
      <c r="L2326" s="6"/>
      <c r="M2326" s="6"/>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c r="BU2326" s="6"/>
      <c r="BV2326" s="6"/>
      <c r="BW2326" s="6"/>
      <c r="BX2326" s="6"/>
      <c r="BY2326" s="6"/>
      <c r="BZ2326" s="6"/>
      <c r="CA2326" s="6"/>
      <c r="CB2326" s="6"/>
      <c r="CC2326" s="6"/>
      <c r="CD2326" s="6"/>
      <c r="CE2326" s="6"/>
      <c r="CF2326" s="6"/>
      <c r="CG2326" s="6"/>
      <c r="CH2326" s="6"/>
      <c r="CI2326" s="6"/>
      <c r="CJ2326" s="6"/>
      <c r="CK2326" s="6"/>
      <c r="CL2326" s="6"/>
      <c r="CM2326" s="6"/>
      <c r="CN2326" s="6"/>
      <c r="CO2326" s="6"/>
      <c r="CP2326" s="6"/>
      <c r="CQ2326" s="6"/>
      <c r="CR2326" s="6"/>
      <c r="CS2326" s="6"/>
      <c r="CT2326" s="6"/>
      <c r="CU2326" s="6"/>
      <c r="CV2326" s="6"/>
      <c r="CW2326" s="6"/>
      <c r="CX2326" s="6"/>
      <c r="CY2326" s="6"/>
      <c r="CZ2326" s="6"/>
      <c r="DA2326" s="6"/>
      <c r="DB2326" s="6"/>
      <c r="DC2326" s="6"/>
      <c r="DD2326" s="6"/>
    </row>
    <row r="2327" spans="1:108" ht="12.75" hidden="1" customHeight="1" outlineLevel="5">
      <c r="A2327" s="104" t="s">
        <v>221</v>
      </c>
      <c r="B2327" s="28">
        <v>148458298</v>
      </c>
      <c r="C2327" s="11"/>
      <c r="D2327" s="18" t="str">
        <f t="shared" si="127"/>
        <v>&lt;Children_PtrID&gt;148458298&lt;/Children_PtrID&gt;</v>
      </c>
      <c r="F2327" s="6"/>
      <c r="G2327" s="6"/>
      <c r="H2327" s="6"/>
      <c r="I2327" s="6"/>
      <c r="J2327" s="6"/>
      <c r="K2327" s="6"/>
      <c r="L2327" s="6"/>
      <c r="M2327" s="6"/>
      <c r="N2327" s="6"/>
      <c r="O2327" s="6"/>
      <c r="P2327" s="6"/>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c r="BU2327" s="6"/>
      <c r="BV2327" s="6"/>
      <c r="BW2327" s="6"/>
      <c r="BX2327" s="6"/>
      <c r="BY2327" s="6"/>
      <c r="BZ2327" s="6"/>
      <c r="CA2327" s="6"/>
      <c r="CB2327" s="6"/>
      <c r="CC2327" s="6"/>
      <c r="CD2327" s="6"/>
      <c r="CE2327" s="6"/>
      <c r="CF2327" s="6"/>
      <c r="CG2327" s="6"/>
      <c r="CH2327" s="6"/>
      <c r="CI2327" s="6"/>
      <c r="CJ2327" s="6"/>
      <c r="CK2327" s="6"/>
      <c r="CL2327" s="6"/>
      <c r="CM2327" s="6"/>
      <c r="CN2327" s="6"/>
      <c r="CO2327" s="6"/>
      <c r="CP2327" s="6"/>
      <c r="CQ2327" s="6"/>
      <c r="CR2327" s="6"/>
      <c r="CS2327" s="6"/>
      <c r="CT2327" s="6"/>
      <c r="CU2327" s="6"/>
      <c r="CV2327" s="6"/>
      <c r="CW2327" s="6"/>
      <c r="CX2327" s="6"/>
      <c r="CY2327" s="6"/>
      <c r="CZ2327" s="6"/>
      <c r="DA2327" s="6"/>
      <c r="DB2327" s="6"/>
      <c r="DC2327" s="6"/>
      <c r="DD2327" s="6"/>
    </row>
    <row r="2328" spans="1:108" ht="12.75" hidden="1" customHeight="1" outlineLevel="5">
      <c r="A2328" s="104" t="s">
        <v>221</v>
      </c>
      <c r="B2328" s="28">
        <v>74069</v>
      </c>
      <c r="C2328" s="11"/>
      <c r="D2328" s="18" t="str">
        <f t="shared" si="127"/>
        <v>&lt;Children_PtrID&gt;74069&lt;/Children_PtrID&gt;</v>
      </c>
      <c r="F2328" s="6"/>
      <c r="G2328" s="6"/>
      <c r="H2328" s="6"/>
      <c r="I2328" s="6"/>
      <c r="J2328" s="6"/>
      <c r="K2328" s="6"/>
      <c r="L2328" s="6"/>
      <c r="M2328" s="6"/>
      <c r="N2328" s="6"/>
      <c r="O2328" s="6"/>
      <c r="P2328" s="6"/>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c r="BU2328" s="6"/>
      <c r="BV2328" s="6"/>
      <c r="BW2328" s="6"/>
      <c r="BX2328" s="6"/>
      <c r="BY2328" s="6"/>
      <c r="BZ2328" s="6"/>
      <c r="CA2328" s="6"/>
      <c r="CB2328" s="6"/>
      <c r="CC2328" s="6"/>
      <c r="CD2328" s="6"/>
      <c r="CE2328" s="6"/>
      <c r="CF2328" s="6"/>
      <c r="CG2328" s="6"/>
      <c r="CH2328" s="6"/>
      <c r="CI2328" s="6"/>
      <c r="CJ2328" s="6"/>
      <c r="CK2328" s="6"/>
      <c r="CL2328" s="6"/>
      <c r="CM2328" s="6"/>
      <c r="CN2328" s="6"/>
      <c r="CO2328" s="6"/>
      <c r="CP2328" s="6"/>
      <c r="CQ2328" s="6"/>
      <c r="CR2328" s="6"/>
      <c r="CS2328" s="6"/>
      <c r="CT2328" s="6"/>
      <c r="CU2328" s="6"/>
      <c r="CV2328" s="6"/>
      <c r="CW2328" s="6"/>
      <c r="CX2328" s="6"/>
      <c r="CY2328" s="6"/>
      <c r="CZ2328" s="6"/>
      <c r="DA2328" s="6"/>
      <c r="DB2328" s="6"/>
      <c r="DC2328" s="6"/>
      <c r="DD2328" s="6"/>
    </row>
    <row r="2329" spans="1:108" ht="12.75" hidden="1" customHeight="1" outlineLevel="5">
      <c r="A2329" s="104" t="s">
        <v>88</v>
      </c>
      <c r="B2329" s="100"/>
      <c r="C2329" s="11"/>
      <c r="D2329" s="6" t="str">
        <f>"&lt;" &amp; A2329 &amp; "&gt;"</f>
        <v>&lt;/General_Parms&gt;</v>
      </c>
      <c r="F2329" s="6"/>
      <c r="G2329" s="6"/>
      <c r="H2329" s="6"/>
      <c r="I2329" s="6"/>
      <c r="J2329" s="6"/>
      <c r="K2329" s="6"/>
      <c r="L2329" s="6"/>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c r="BU2329" s="6"/>
      <c r="BV2329" s="6"/>
      <c r="BW2329" s="6"/>
      <c r="BX2329" s="6"/>
      <c r="BY2329" s="6"/>
      <c r="BZ2329" s="6"/>
      <c r="CA2329" s="6"/>
      <c r="CB2329" s="6"/>
      <c r="CC2329" s="6"/>
      <c r="CD2329" s="6"/>
      <c r="CE2329" s="6"/>
      <c r="CF2329" s="6"/>
      <c r="CG2329" s="6"/>
      <c r="CH2329" s="6"/>
      <c r="CI2329" s="6"/>
      <c r="CJ2329" s="6"/>
      <c r="CK2329" s="6"/>
      <c r="CL2329" s="6"/>
      <c r="CM2329" s="6"/>
      <c r="CN2329" s="6"/>
      <c r="CO2329" s="6"/>
      <c r="CP2329" s="6"/>
      <c r="CQ2329" s="6"/>
      <c r="CR2329" s="6"/>
      <c r="CS2329" s="6"/>
      <c r="CT2329" s="6"/>
      <c r="CU2329" s="6"/>
      <c r="CV2329" s="6"/>
      <c r="CW2329" s="6"/>
      <c r="CX2329" s="6"/>
      <c r="CY2329" s="6"/>
      <c r="CZ2329" s="6"/>
      <c r="DA2329" s="6"/>
      <c r="DB2329" s="6"/>
      <c r="DC2329" s="6"/>
      <c r="DD2329" s="6"/>
    </row>
    <row r="2330" spans="1:108" ht="12.75" hidden="1" customHeight="1" outlineLevel="4" collapsed="1">
      <c r="A2330" s="104" t="s">
        <v>222</v>
      </c>
      <c r="B2330" s="100"/>
      <c r="C2330" s="11"/>
      <c r="D2330" s="6" t="str">
        <f>"&lt;" &amp; A2330 &amp; "&gt;"</f>
        <v>&lt;Blank_Parms&gt;</v>
      </c>
      <c r="F2330" s="6"/>
      <c r="G2330" s="6"/>
      <c r="H2330" s="6"/>
      <c r="I2330" s="6"/>
      <c r="J2330" s="6"/>
      <c r="K2330" s="6"/>
      <c r="L2330" s="6"/>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c r="BU2330" s="6"/>
      <c r="BV2330" s="6"/>
      <c r="BW2330" s="6"/>
      <c r="BX2330" s="6"/>
      <c r="BY2330" s="6"/>
      <c r="BZ2330" s="6"/>
      <c r="CA2330" s="6"/>
      <c r="CB2330" s="6"/>
      <c r="CC2330" s="6"/>
      <c r="CD2330" s="6"/>
      <c r="CE2330" s="6"/>
      <c r="CF2330" s="6"/>
      <c r="CG2330" s="6"/>
      <c r="CH2330" s="6"/>
      <c r="CI2330" s="6"/>
      <c r="CJ2330" s="6"/>
      <c r="CK2330" s="6"/>
      <c r="CL2330" s="6"/>
      <c r="CM2330" s="6"/>
      <c r="CN2330" s="6"/>
      <c r="CO2330" s="6"/>
      <c r="CP2330" s="6"/>
      <c r="CQ2330" s="6"/>
      <c r="CR2330" s="6"/>
      <c r="CS2330" s="6"/>
      <c r="CT2330" s="6"/>
      <c r="CU2330" s="6"/>
      <c r="CV2330" s="6"/>
      <c r="CW2330" s="6"/>
      <c r="CX2330" s="6"/>
      <c r="CY2330" s="6"/>
      <c r="CZ2330" s="6"/>
      <c r="DA2330" s="6"/>
      <c r="DB2330" s="6"/>
      <c r="DC2330" s="6"/>
      <c r="DD2330" s="6"/>
    </row>
    <row r="2331" spans="1:108" ht="12.75" hidden="1" customHeight="1" outlineLevel="5">
      <c r="A2331" s="104" t="s">
        <v>223</v>
      </c>
      <c r="B2331" s="28">
        <v>0</v>
      </c>
      <c r="C2331" s="11"/>
      <c r="D2331" s="18" t="str">
        <f>"&lt;" &amp; A2331 &amp; "&gt;" &amp; TEXT(B2331,0) &amp; "&lt;/" &amp; A2331 &amp; "&gt;"</f>
        <v>&lt;PointMassFlag&gt;0&lt;/PointMassFlag&gt;</v>
      </c>
      <c r="F2331" s="6"/>
      <c r="G2331" s="6"/>
      <c r="H2331" s="6"/>
      <c r="I2331" s="6"/>
      <c r="J2331" s="6"/>
      <c r="K2331" s="6"/>
      <c r="L2331" s="6"/>
      <c r="M2331" s="6"/>
      <c r="N2331" s="6"/>
      <c r="O2331" s="6"/>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c r="BU2331" s="6"/>
      <c r="BV2331" s="6"/>
      <c r="BW2331" s="6"/>
      <c r="BX2331" s="6"/>
      <c r="BY2331" s="6"/>
      <c r="BZ2331" s="6"/>
      <c r="CA2331" s="6"/>
      <c r="CB2331" s="6"/>
      <c r="CC2331" s="6"/>
      <c r="CD2331" s="6"/>
      <c r="CE2331" s="6"/>
      <c r="CF2331" s="6"/>
      <c r="CG2331" s="6"/>
      <c r="CH2331" s="6"/>
      <c r="CI2331" s="6"/>
      <c r="CJ2331" s="6"/>
      <c r="CK2331" s="6"/>
      <c r="CL2331" s="6"/>
      <c r="CM2331" s="6"/>
      <c r="CN2331" s="6"/>
      <c r="CO2331" s="6"/>
      <c r="CP2331" s="6"/>
      <c r="CQ2331" s="6"/>
      <c r="CR2331" s="6"/>
      <c r="CS2331" s="6"/>
      <c r="CT2331" s="6"/>
      <c r="CU2331" s="6"/>
      <c r="CV2331" s="6"/>
      <c r="CW2331" s="6"/>
      <c r="CX2331" s="6"/>
      <c r="CY2331" s="6"/>
      <c r="CZ2331" s="6"/>
      <c r="DA2331" s="6"/>
      <c r="DB2331" s="6"/>
      <c r="DC2331" s="6"/>
      <c r="DD2331" s="6"/>
    </row>
    <row r="2332" spans="1:108" ht="12.75" hidden="1" customHeight="1" outlineLevel="5">
      <c r="A2332" s="104" t="s">
        <v>224</v>
      </c>
      <c r="B2332" s="28">
        <v>1</v>
      </c>
      <c r="C2332" s="11"/>
      <c r="D2332" s="18" t="str">
        <f>"&lt;" &amp; A2332 &amp; "&gt;" &amp; TEXT(B2332,"0.000000") &amp; "&lt;/" &amp; A2332 &amp; "&gt;"</f>
        <v>&lt;PointMass&gt;1.000000&lt;/PointMass&gt;</v>
      </c>
      <c r="F2332" s="6"/>
      <c r="G2332" s="6"/>
      <c r="H2332" s="6"/>
      <c r="I2332" s="6"/>
      <c r="J2332" s="6"/>
      <c r="K2332" s="6"/>
      <c r="L2332" s="6"/>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c r="BU2332" s="6"/>
      <c r="BV2332" s="6"/>
      <c r="BW2332" s="6"/>
      <c r="BX2332" s="6"/>
      <c r="BY2332" s="6"/>
      <c r="BZ2332" s="6"/>
      <c r="CA2332" s="6"/>
      <c r="CB2332" s="6"/>
      <c r="CC2332" s="6"/>
      <c r="CD2332" s="6"/>
      <c r="CE2332" s="6"/>
      <c r="CF2332" s="6"/>
      <c r="CG2332" s="6"/>
      <c r="CH2332" s="6"/>
      <c r="CI2332" s="6"/>
      <c r="CJ2332" s="6"/>
      <c r="CK2332" s="6"/>
      <c r="CL2332" s="6"/>
      <c r="CM2332" s="6"/>
      <c r="CN2332" s="6"/>
      <c r="CO2332" s="6"/>
      <c r="CP2332" s="6"/>
      <c r="CQ2332" s="6"/>
      <c r="CR2332" s="6"/>
      <c r="CS2332" s="6"/>
      <c r="CT2332" s="6"/>
      <c r="CU2332" s="6"/>
      <c r="CV2332" s="6"/>
      <c r="CW2332" s="6"/>
      <c r="CX2332" s="6"/>
      <c r="CY2332" s="6"/>
      <c r="CZ2332" s="6"/>
      <c r="DA2332" s="6"/>
      <c r="DB2332" s="6"/>
      <c r="DC2332" s="6"/>
      <c r="DD2332" s="6"/>
    </row>
    <row r="2333" spans="1:108" ht="12.75" hidden="1" customHeight="1" outlineLevel="5">
      <c r="A2333" s="104" t="s">
        <v>225</v>
      </c>
      <c r="B2333" s="100"/>
      <c r="C2333" s="11"/>
      <c r="D2333" s="6" t="str">
        <f>"&lt;" &amp; A2333 &amp; "&gt;"</f>
        <v>&lt;/Blank_Parms&gt;</v>
      </c>
      <c r="F2333" s="6"/>
      <c r="G2333" s="6"/>
      <c r="H2333" s="6"/>
      <c r="I2333" s="6"/>
      <c r="J2333" s="6"/>
      <c r="K2333" s="6"/>
      <c r="L2333" s="6"/>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c r="BU2333" s="6"/>
      <c r="BV2333" s="6"/>
      <c r="BW2333" s="6"/>
      <c r="BX2333" s="6"/>
      <c r="BY2333" s="6"/>
      <c r="BZ2333" s="6"/>
      <c r="CA2333" s="6"/>
      <c r="CB2333" s="6"/>
      <c r="CC2333" s="6"/>
      <c r="CD2333" s="6"/>
      <c r="CE2333" s="6"/>
      <c r="CF2333" s="6"/>
      <c r="CG2333" s="6"/>
      <c r="CH2333" s="6"/>
      <c r="CI2333" s="6"/>
      <c r="CJ2333" s="6"/>
      <c r="CK2333" s="6"/>
      <c r="CL2333" s="6"/>
      <c r="CM2333" s="6"/>
      <c r="CN2333" s="6"/>
      <c r="CO2333" s="6"/>
      <c r="CP2333" s="6"/>
      <c r="CQ2333" s="6"/>
      <c r="CR2333" s="6"/>
      <c r="CS2333" s="6"/>
      <c r="CT2333" s="6"/>
      <c r="CU2333" s="6"/>
      <c r="CV2333" s="6"/>
      <c r="CW2333" s="6"/>
      <c r="CX2333" s="6"/>
      <c r="CY2333" s="6"/>
      <c r="CZ2333" s="6"/>
      <c r="DA2333" s="6"/>
      <c r="DB2333" s="6"/>
      <c r="DC2333" s="6"/>
      <c r="DD2333" s="6"/>
    </row>
    <row r="2334" spans="1:108" ht="12.75" hidden="1" customHeight="1" outlineLevel="4">
      <c r="A2334" s="104" t="s">
        <v>138</v>
      </c>
      <c r="B2334" s="100"/>
      <c r="C2334" s="11"/>
      <c r="D2334" s="6" t="str">
        <f>"&lt;" &amp; A2334 &amp; "&gt;"</f>
        <v>&lt;/Component&gt;</v>
      </c>
      <c r="F2334" s="6"/>
      <c r="G2334" s="6"/>
      <c r="H2334" s="6"/>
      <c r="I2334" s="6"/>
      <c r="J2334" s="6"/>
      <c r="K2334" s="6"/>
      <c r="L2334" s="6"/>
      <c r="M2334" s="6"/>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c r="BU2334" s="6"/>
      <c r="BV2334" s="6"/>
      <c r="BW2334" s="6"/>
      <c r="BX2334" s="6"/>
      <c r="BY2334" s="6"/>
      <c r="BZ2334" s="6"/>
      <c r="CA2334" s="6"/>
      <c r="CB2334" s="6"/>
      <c r="CC2334" s="6"/>
      <c r="CD2334" s="6"/>
      <c r="CE2334" s="6"/>
      <c r="CF2334" s="6"/>
      <c r="CG2334" s="6"/>
      <c r="CH2334" s="6"/>
      <c r="CI2334" s="6"/>
      <c r="CJ2334" s="6"/>
      <c r="CK2334" s="6"/>
      <c r="CL2334" s="6"/>
      <c r="CM2334" s="6"/>
      <c r="CN2334" s="6"/>
      <c r="CO2334" s="6"/>
      <c r="CP2334" s="6"/>
      <c r="CQ2334" s="6"/>
      <c r="CR2334" s="6"/>
      <c r="CS2334" s="6"/>
      <c r="CT2334" s="6"/>
      <c r="CU2334" s="6"/>
      <c r="CV2334" s="6"/>
      <c r="CW2334" s="6"/>
      <c r="CX2334" s="6"/>
      <c r="CY2334" s="6"/>
      <c r="CZ2334" s="6"/>
      <c r="DA2334" s="6"/>
      <c r="DB2334" s="6"/>
      <c r="DC2334" s="6"/>
      <c r="DD2334" s="6"/>
    </row>
    <row r="2335" spans="1:108" ht="12.75" hidden="1" customHeight="1" outlineLevel="3" collapsed="1">
      <c r="A2335" s="104" t="s">
        <v>40</v>
      </c>
      <c r="B2335" s="110" t="s">
        <v>541</v>
      </c>
      <c r="C2335" s="11"/>
      <c r="D2335" s="6" t="str">
        <f>"&lt;" &amp; A2335 &amp; "&gt;"</f>
        <v>&lt;Component&gt;</v>
      </c>
      <c r="F2335" s="6"/>
      <c r="G2335" s="6"/>
      <c r="H2335" s="6"/>
      <c r="I2335" s="6"/>
      <c r="J2335" s="6"/>
      <c r="K2335" s="6"/>
      <c r="L2335" s="6"/>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c r="BU2335" s="6"/>
      <c r="BV2335" s="6"/>
      <c r="BW2335" s="6"/>
      <c r="BX2335" s="6"/>
      <c r="BY2335" s="6"/>
      <c r="BZ2335" s="6"/>
      <c r="CA2335" s="6"/>
      <c r="CB2335" s="6"/>
      <c r="CC2335" s="6"/>
      <c r="CD2335" s="6"/>
      <c r="CE2335" s="6"/>
      <c r="CF2335" s="6"/>
      <c r="CG2335" s="6"/>
      <c r="CH2335" s="6"/>
      <c r="CI2335" s="6"/>
      <c r="CJ2335" s="6"/>
      <c r="CK2335" s="6"/>
      <c r="CL2335" s="6"/>
      <c r="CM2335" s="6"/>
      <c r="CN2335" s="6"/>
      <c r="CO2335" s="6"/>
      <c r="CP2335" s="6"/>
      <c r="CQ2335" s="6"/>
      <c r="CR2335" s="6"/>
      <c r="CS2335" s="6"/>
      <c r="CT2335" s="6"/>
      <c r="CU2335" s="6"/>
      <c r="CV2335" s="6"/>
      <c r="CW2335" s="6"/>
      <c r="CX2335" s="6"/>
      <c r="CY2335" s="6"/>
      <c r="CZ2335" s="6"/>
      <c r="DA2335" s="6"/>
      <c r="DB2335" s="6"/>
      <c r="DC2335" s="6"/>
      <c r="DD2335" s="6"/>
    </row>
    <row r="2336" spans="1:108" ht="12.75" hidden="1" customHeight="1" outlineLevel="4">
      <c r="A2336" s="104" t="s">
        <v>14</v>
      </c>
      <c r="B2336" s="28" t="str">
        <f t="shared" ref="B2336:B2381" si="128">B1803</f>
        <v>Engine</v>
      </c>
      <c r="C2336" s="11"/>
      <c r="D2336" s="18" t="str">
        <f>"&lt;" &amp; A2336 &amp; "&gt;" &amp; TEXT(B2336,"0.000000") &amp; "&lt;/" &amp; A2336 &amp; "&gt;"</f>
        <v>&lt;Type&gt;Engine&lt;/Type&gt;</v>
      </c>
      <c r="F2336" s="6"/>
      <c r="G2336" s="6"/>
      <c r="H2336" s="6"/>
      <c r="I2336" s="6"/>
      <c r="J2336" s="6"/>
      <c r="K2336" s="6"/>
      <c r="L2336" s="6"/>
      <c r="M2336" s="6"/>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c r="BU2336" s="6"/>
      <c r="BV2336" s="6"/>
      <c r="BW2336" s="6"/>
      <c r="BX2336" s="6"/>
      <c r="BY2336" s="6"/>
      <c r="BZ2336" s="6"/>
      <c r="CA2336" s="6"/>
      <c r="CB2336" s="6"/>
      <c r="CC2336" s="6"/>
      <c r="CD2336" s="6"/>
      <c r="CE2336" s="6"/>
      <c r="CF2336" s="6"/>
      <c r="CG2336" s="6"/>
      <c r="CH2336" s="6"/>
      <c r="CI2336" s="6"/>
      <c r="CJ2336" s="6"/>
      <c r="CK2336" s="6"/>
      <c r="CL2336" s="6"/>
      <c r="CM2336" s="6"/>
      <c r="CN2336" s="6"/>
      <c r="CO2336" s="6"/>
      <c r="CP2336" s="6"/>
      <c r="CQ2336" s="6"/>
      <c r="CR2336" s="6"/>
      <c r="CS2336" s="6"/>
      <c r="CT2336" s="6"/>
      <c r="CU2336" s="6"/>
      <c r="CV2336" s="6"/>
      <c r="CW2336" s="6"/>
      <c r="CX2336" s="6"/>
      <c r="CY2336" s="6"/>
      <c r="CZ2336" s="6"/>
      <c r="DA2336" s="6"/>
      <c r="DB2336" s="6"/>
      <c r="DC2336" s="6"/>
      <c r="DD2336" s="6"/>
    </row>
    <row r="2337" spans="1:108" ht="12.75" hidden="1" customHeight="1" outlineLevel="4" collapsed="1">
      <c r="A2337" s="104" t="s">
        <v>42</v>
      </c>
      <c r="B2337" s="100"/>
      <c r="C2337" s="11"/>
      <c r="D2337" s="6" t="str">
        <f>"&lt;" &amp; A2337 &amp; "&gt;"</f>
        <v>&lt;General_Parms&gt;</v>
      </c>
      <c r="F2337" s="6"/>
      <c r="G2337" s="6"/>
      <c r="H2337" s="6"/>
      <c r="I2337" s="6"/>
      <c r="J2337" s="6"/>
      <c r="K2337" s="6"/>
      <c r="L2337" s="6"/>
      <c r="M2337" s="6"/>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c r="BU2337" s="6"/>
      <c r="BV2337" s="6"/>
      <c r="BW2337" s="6"/>
      <c r="BX2337" s="6"/>
      <c r="BY2337" s="6"/>
      <c r="BZ2337" s="6"/>
      <c r="CA2337" s="6"/>
      <c r="CB2337" s="6"/>
      <c r="CC2337" s="6"/>
      <c r="CD2337" s="6"/>
      <c r="CE2337" s="6"/>
      <c r="CF2337" s="6"/>
      <c r="CG2337" s="6"/>
      <c r="CH2337" s="6"/>
      <c r="CI2337" s="6"/>
      <c r="CJ2337" s="6"/>
      <c r="CK2337" s="6"/>
      <c r="CL2337" s="6"/>
      <c r="CM2337" s="6"/>
      <c r="CN2337" s="6"/>
      <c r="CO2337" s="6"/>
      <c r="CP2337" s="6"/>
      <c r="CQ2337" s="6"/>
      <c r="CR2337" s="6"/>
      <c r="CS2337" s="6"/>
      <c r="CT2337" s="6"/>
      <c r="CU2337" s="6"/>
      <c r="CV2337" s="6"/>
      <c r="CW2337" s="6"/>
      <c r="CX2337" s="6"/>
      <c r="CY2337" s="6"/>
      <c r="CZ2337" s="6"/>
      <c r="DA2337" s="6"/>
      <c r="DB2337" s="6"/>
      <c r="DC2337" s="6"/>
      <c r="DD2337" s="6"/>
    </row>
    <row r="2338" spans="1:108" ht="12.75" hidden="1" customHeight="1" outlineLevel="5">
      <c r="A2338" s="104" t="s">
        <v>1</v>
      </c>
      <c r="B2338" s="100" t="str">
        <f t="shared" si="128"/>
        <v>core_section</v>
      </c>
      <c r="C2338" s="11"/>
      <c r="D2338" s="18" t="str">
        <f>"&lt;" &amp; A2338 &amp; "&gt;" &amp; TEXT(B2338,"0.000000") &amp; "&lt;/" &amp; A2338 &amp; "&gt;"</f>
        <v>&lt;Name&gt;core_section&lt;/Name&gt;</v>
      </c>
      <c r="F2338" s="6"/>
      <c r="G2338" s="6"/>
      <c r="H2338" s="6"/>
      <c r="I2338" s="6"/>
      <c r="J2338" s="6"/>
      <c r="K2338" s="6"/>
      <c r="L2338" s="6"/>
      <c r="M2338" s="6"/>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c r="BU2338" s="6"/>
      <c r="BV2338" s="6"/>
      <c r="BW2338" s="6"/>
      <c r="BX2338" s="6"/>
      <c r="BY2338" s="6"/>
      <c r="BZ2338" s="6"/>
      <c r="CA2338" s="6"/>
      <c r="CB2338" s="6"/>
      <c r="CC2338" s="6"/>
      <c r="CD2338" s="6"/>
      <c r="CE2338" s="6"/>
      <c r="CF2338" s="6"/>
      <c r="CG2338" s="6"/>
      <c r="CH2338" s="6"/>
      <c r="CI2338" s="6"/>
      <c r="CJ2338" s="6"/>
      <c r="CK2338" s="6"/>
      <c r="CL2338" s="6"/>
      <c r="CM2338" s="6"/>
      <c r="CN2338" s="6"/>
      <c r="CO2338" s="6"/>
      <c r="CP2338" s="6"/>
      <c r="CQ2338" s="6"/>
      <c r="CR2338" s="6"/>
      <c r="CS2338" s="6"/>
      <c r="CT2338" s="6"/>
      <c r="CU2338" s="6"/>
      <c r="CV2338" s="6"/>
      <c r="CW2338" s="6"/>
      <c r="CX2338" s="6"/>
      <c r="CY2338" s="6"/>
      <c r="CZ2338" s="6"/>
      <c r="DA2338" s="6"/>
      <c r="DB2338" s="6"/>
      <c r="DC2338" s="6"/>
      <c r="DD2338" s="6"/>
    </row>
    <row r="2339" spans="1:108" ht="12.75" hidden="1" customHeight="1" outlineLevel="5">
      <c r="A2339" s="104" t="s">
        <v>43</v>
      </c>
      <c r="B2339" s="28">
        <f t="shared" si="128"/>
        <v>0</v>
      </c>
      <c r="C2339" s="11"/>
      <c r="D2339" s="18" t="str">
        <f>"&lt;" &amp; A2339 &amp; "&gt;" &amp; TEXT(B2339,"0.000000") &amp; "&lt;/" &amp; A2339 &amp; "&gt;"</f>
        <v>&lt;ColorR&gt;0.000000&lt;/ColorR&gt;</v>
      </c>
      <c r="F2339" s="6"/>
      <c r="G2339" s="6"/>
      <c r="H2339" s="6"/>
      <c r="I2339" s="6"/>
      <c r="J2339" s="6"/>
      <c r="K2339" s="6"/>
      <c r="L2339" s="6"/>
      <c r="M2339" s="6"/>
      <c r="N2339" s="6"/>
      <c r="O2339" s="6"/>
      <c r="P2339" s="6"/>
      <c r="Q2339" s="6"/>
      <c r="R2339" s="6"/>
      <c r="S2339" s="6"/>
      <c r="T2339" s="6"/>
      <c r="U2339" s="6"/>
      <c r="V2339" s="6"/>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c r="BU2339" s="6"/>
      <c r="BV2339" s="6"/>
      <c r="BW2339" s="6"/>
      <c r="BX2339" s="6"/>
      <c r="BY2339" s="6"/>
      <c r="BZ2339" s="6"/>
      <c r="CA2339" s="6"/>
      <c r="CB2339" s="6"/>
      <c r="CC2339" s="6"/>
      <c r="CD2339" s="6"/>
      <c r="CE2339" s="6"/>
      <c r="CF2339" s="6"/>
      <c r="CG2339" s="6"/>
      <c r="CH2339" s="6"/>
      <c r="CI2339" s="6"/>
      <c r="CJ2339" s="6"/>
      <c r="CK2339" s="6"/>
      <c r="CL2339" s="6"/>
      <c r="CM2339" s="6"/>
      <c r="CN2339" s="6"/>
      <c r="CO2339" s="6"/>
      <c r="CP2339" s="6"/>
      <c r="CQ2339" s="6"/>
      <c r="CR2339" s="6"/>
      <c r="CS2339" s="6"/>
      <c r="CT2339" s="6"/>
      <c r="CU2339" s="6"/>
      <c r="CV2339" s="6"/>
      <c r="CW2339" s="6"/>
      <c r="CX2339" s="6"/>
      <c r="CY2339" s="6"/>
      <c r="CZ2339" s="6"/>
      <c r="DA2339" s="6"/>
      <c r="DB2339" s="6"/>
      <c r="DC2339" s="6"/>
      <c r="DD2339" s="6"/>
    </row>
    <row r="2340" spans="1:108" ht="12.75" hidden="1" customHeight="1" outlineLevel="5">
      <c r="A2340" s="104" t="s">
        <v>44</v>
      </c>
      <c r="B2340" s="28">
        <f t="shared" si="128"/>
        <v>0</v>
      </c>
      <c r="C2340" s="11"/>
      <c r="D2340" s="18" t="str">
        <f>"&lt;" &amp; A2340 &amp; "&gt;" &amp; TEXT(B2340,"0.000000") &amp; "&lt;/" &amp; A2340 &amp; "&gt;"</f>
        <v>&lt;ColorG&gt;0.000000&lt;/ColorG&gt;</v>
      </c>
      <c r="F2340" s="6"/>
      <c r="G2340" s="6"/>
      <c r="H2340" s="6"/>
      <c r="I2340" s="6"/>
      <c r="J2340" s="6"/>
      <c r="K2340" s="6"/>
      <c r="L2340" s="6"/>
      <c r="M2340" s="6"/>
      <c r="N2340" s="6"/>
      <c r="O2340" s="6"/>
      <c r="P2340" s="6"/>
      <c r="Q2340" s="6"/>
      <c r="R2340" s="6"/>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c r="BU2340" s="6"/>
      <c r="BV2340" s="6"/>
      <c r="BW2340" s="6"/>
      <c r="BX2340" s="6"/>
      <c r="BY2340" s="6"/>
      <c r="BZ2340" s="6"/>
      <c r="CA2340" s="6"/>
      <c r="CB2340" s="6"/>
      <c r="CC2340" s="6"/>
      <c r="CD2340" s="6"/>
      <c r="CE2340" s="6"/>
      <c r="CF2340" s="6"/>
      <c r="CG2340" s="6"/>
      <c r="CH2340" s="6"/>
      <c r="CI2340" s="6"/>
      <c r="CJ2340" s="6"/>
      <c r="CK2340" s="6"/>
      <c r="CL2340" s="6"/>
      <c r="CM2340" s="6"/>
      <c r="CN2340" s="6"/>
      <c r="CO2340" s="6"/>
      <c r="CP2340" s="6"/>
      <c r="CQ2340" s="6"/>
      <c r="CR2340" s="6"/>
      <c r="CS2340" s="6"/>
      <c r="CT2340" s="6"/>
      <c r="CU2340" s="6"/>
      <c r="CV2340" s="6"/>
      <c r="CW2340" s="6"/>
      <c r="CX2340" s="6"/>
      <c r="CY2340" s="6"/>
      <c r="CZ2340" s="6"/>
      <c r="DA2340" s="6"/>
      <c r="DB2340" s="6"/>
      <c r="DC2340" s="6"/>
      <c r="DD2340" s="6"/>
    </row>
    <row r="2341" spans="1:108" ht="12.75" hidden="1" customHeight="1" outlineLevel="5">
      <c r="A2341" s="104" t="s">
        <v>45</v>
      </c>
      <c r="B2341" s="28">
        <f t="shared" si="128"/>
        <v>0</v>
      </c>
      <c r="C2341" s="11"/>
      <c r="D2341" s="18" t="str">
        <f>"&lt;" &amp; A2341 &amp; "&gt;" &amp; TEXT(B2341,"0.000000") &amp; "&lt;/" &amp; A2341 &amp; "&gt;"</f>
        <v>&lt;ColorB&gt;0.000000&lt;/ColorB&gt;</v>
      </c>
      <c r="F2341" s="6"/>
      <c r="G2341" s="6"/>
      <c r="H2341" s="6"/>
      <c r="I2341" s="6"/>
      <c r="J2341" s="6"/>
      <c r="K2341" s="6"/>
      <c r="L2341" s="6"/>
      <c r="M2341" s="6"/>
      <c r="N2341" s="6"/>
      <c r="O2341" s="6"/>
      <c r="P2341" s="6"/>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c r="BU2341" s="6"/>
      <c r="BV2341" s="6"/>
      <c r="BW2341" s="6"/>
      <c r="BX2341" s="6"/>
      <c r="BY2341" s="6"/>
      <c r="BZ2341" s="6"/>
      <c r="CA2341" s="6"/>
      <c r="CB2341" s="6"/>
      <c r="CC2341" s="6"/>
      <c r="CD2341" s="6"/>
      <c r="CE2341" s="6"/>
      <c r="CF2341" s="6"/>
      <c r="CG2341" s="6"/>
      <c r="CH2341" s="6"/>
      <c r="CI2341" s="6"/>
      <c r="CJ2341" s="6"/>
      <c r="CK2341" s="6"/>
      <c r="CL2341" s="6"/>
      <c r="CM2341" s="6"/>
      <c r="CN2341" s="6"/>
      <c r="CO2341" s="6"/>
      <c r="CP2341" s="6"/>
      <c r="CQ2341" s="6"/>
      <c r="CR2341" s="6"/>
      <c r="CS2341" s="6"/>
      <c r="CT2341" s="6"/>
      <c r="CU2341" s="6"/>
      <c r="CV2341" s="6"/>
      <c r="CW2341" s="6"/>
      <c r="CX2341" s="6"/>
      <c r="CY2341" s="6"/>
      <c r="CZ2341" s="6"/>
      <c r="DA2341" s="6"/>
      <c r="DB2341" s="6"/>
      <c r="DC2341" s="6"/>
      <c r="DD2341" s="6"/>
    </row>
    <row r="2342" spans="1:108" ht="12.75" hidden="1" customHeight="1" outlineLevel="5">
      <c r="A2342" s="104" t="s">
        <v>46</v>
      </c>
      <c r="B2342" s="28">
        <f t="shared" si="128"/>
        <v>0</v>
      </c>
      <c r="C2342" s="11"/>
      <c r="D2342" s="18" t="str">
        <f t="shared" ref="D2342:D2351" si="129">"&lt;" &amp; A2342 &amp; "&gt;" &amp; TEXT(B2342,0) &amp; "&lt;/" &amp; A2342 &amp; "&gt;"</f>
        <v>&lt;Symmetry&gt;0&lt;/Symmetry&gt;</v>
      </c>
      <c r="F2342" s="6"/>
      <c r="G2342" s="6"/>
      <c r="H2342" s="6"/>
      <c r="I2342" s="6"/>
      <c r="J2342" s="6"/>
      <c r="K2342" s="6"/>
      <c r="L2342" s="6"/>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c r="BU2342" s="6"/>
      <c r="BV2342" s="6"/>
      <c r="BW2342" s="6"/>
      <c r="BX2342" s="6"/>
      <c r="BY2342" s="6"/>
      <c r="BZ2342" s="6"/>
      <c r="CA2342" s="6"/>
      <c r="CB2342" s="6"/>
      <c r="CC2342" s="6"/>
      <c r="CD2342" s="6"/>
      <c r="CE2342" s="6"/>
      <c r="CF2342" s="6"/>
      <c r="CG2342" s="6"/>
      <c r="CH2342" s="6"/>
      <c r="CI2342" s="6"/>
      <c r="CJ2342" s="6"/>
      <c r="CK2342" s="6"/>
      <c r="CL2342" s="6"/>
      <c r="CM2342" s="6"/>
      <c r="CN2342" s="6"/>
      <c r="CO2342" s="6"/>
      <c r="CP2342" s="6"/>
      <c r="CQ2342" s="6"/>
      <c r="CR2342" s="6"/>
      <c r="CS2342" s="6"/>
      <c r="CT2342" s="6"/>
      <c r="CU2342" s="6"/>
      <c r="CV2342" s="6"/>
      <c r="CW2342" s="6"/>
      <c r="CX2342" s="6"/>
      <c r="CY2342" s="6"/>
      <c r="CZ2342" s="6"/>
      <c r="DA2342" s="6"/>
      <c r="DB2342" s="6"/>
      <c r="DC2342" s="6"/>
      <c r="DD2342" s="6"/>
    </row>
    <row r="2343" spans="1:108" ht="12.75" hidden="1" customHeight="1" outlineLevel="5">
      <c r="A2343" s="104" t="s">
        <v>47</v>
      </c>
      <c r="B2343" s="28">
        <f t="shared" si="128"/>
        <v>0</v>
      </c>
      <c r="C2343" s="11"/>
      <c r="D2343" s="18" t="str">
        <f t="shared" si="129"/>
        <v>&lt;RelXFormFlag&gt;0&lt;/RelXFormFlag&gt;</v>
      </c>
      <c r="F2343" s="6"/>
      <c r="G2343" s="6"/>
      <c r="H2343" s="6"/>
      <c r="I2343" s="6"/>
      <c r="J2343" s="6"/>
      <c r="K2343" s="6"/>
      <c r="L2343" s="6"/>
      <c r="M2343" s="6"/>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c r="BU2343" s="6"/>
      <c r="BV2343" s="6"/>
      <c r="BW2343" s="6"/>
      <c r="BX2343" s="6"/>
      <c r="BY2343" s="6"/>
      <c r="BZ2343" s="6"/>
      <c r="CA2343" s="6"/>
      <c r="CB2343" s="6"/>
      <c r="CC2343" s="6"/>
      <c r="CD2343" s="6"/>
      <c r="CE2343" s="6"/>
      <c r="CF2343" s="6"/>
      <c r="CG2343" s="6"/>
      <c r="CH2343" s="6"/>
      <c r="CI2343" s="6"/>
      <c r="CJ2343" s="6"/>
      <c r="CK2343" s="6"/>
      <c r="CL2343" s="6"/>
      <c r="CM2343" s="6"/>
      <c r="CN2343" s="6"/>
      <c r="CO2343" s="6"/>
      <c r="CP2343" s="6"/>
      <c r="CQ2343" s="6"/>
      <c r="CR2343" s="6"/>
      <c r="CS2343" s="6"/>
      <c r="CT2343" s="6"/>
      <c r="CU2343" s="6"/>
      <c r="CV2343" s="6"/>
      <c r="CW2343" s="6"/>
      <c r="CX2343" s="6"/>
      <c r="CY2343" s="6"/>
      <c r="CZ2343" s="6"/>
      <c r="DA2343" s="6"/>
      <c r="DB2343" s="6"/>
      <c r="DC2343" s="6"/>
      <c r="DD2343" s="6"/>
    </row>
    <row r="2344" spans="1:108" ht="12.75" hidden="1" customHeight="1" outlineLevel="5">
      <c r="A2344" s="104" t="s">
        <v>48</v>
      </c>
      <c r="B2344" s="28">
        <f t="shared" si="128"/>
        <v>2</v>
      </c>
      <c r="C2344" s="11"/>
      <c r="D2344" s="18" t="str">
        <f t="shared" si="129"/>
        <v>&lt;MaterialID&gt;2&lt;/MaterialID&gt;</v>
      </c>
      <c r="F2344" s="6"/>
      <c r="G2344" s="6"/>
      <c r="H2344" s="6"/>
      <c r="I2344" s="6"/>
      <c r="J2344" s="6"/>
      <c r="K2344" s="6"/>
      <c r="L2344" s="6"/>
      <c r="M2344" s="6"/>
      <c r="N2344" s="6"/>
      <c r="O2344" s="6"/>
      <c r="P2344" s="6"/>
      <c r="Q2344" s="6"/>
      <c r="R2344" s="6"/>
      <c r="S2344" s="6"/>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c r="BU2344" s="6"/>
      <c r="BV2344" s="6"/>
      <c r="BW2344" s="6"/>
      <c r="BX2344" s="6"/>
      <c r="BY2344" s="6"/>
      <c r="BZ2344" s="6"/>
      <c r="CA2344" s="6"/>
      <c r="CB2344" s="6"/>
      <c r="CC2344" s="6"/>
      <c r="CD2344" s="6"/>
      <c r="CE2344" s="6"/>
      <c r="CF2344" s="6"/>
      <c r="CG2344" s="6"/>
      <c r="CH2344" s="6"/>
      <c r="CI2344" s="6"/>
      <c r="CJ2344" s="6"/>
      <c r="CK2344" s="6"/>
      <c r="CL2344" s="6"/>
      <c r="CM2344" s="6"/>
      <c r="CN2344" s="6"/>
      <c r="CO2344" s="6"/>
      <c r="CP2344" s="6"/>
      <c r="CQ2344" s="6"/>
      <c r="CR2344" s="6"/>
      <c r="CS2344" s="6"/>
      <c r="CT2344" s="6"/>
      <c r="CU2344" s="6"/>
      <c r="CV2344" s="6"/>
      <c r="CW2344" s="6"/>
      <c r="CX2344" s="6"/>
      <c r="CY2344" s="6"/>
      <c r="CZ2344" s="6"/>
      <c r="DA2344" s="6"/>
      <c r="DB2344" s="6"/>
      <c r="DC2344" s="6"/>
      <c r="DD2344" s="6"/>
    </row>
    <row r="2345" spans="1:108" ht="12.75" hidden="1" customHeight="1" outlineLevel="5">
      <c r="A2345" s="104" t="s">
        <v>49</v>
      </c>
      <c r="B2345" s="28">
        <f t="shared" si="128"/>
        <v>1</v>
      </c>
      <c r="C2345" s="11"/>
      <c r="D2345" s="18" t="str">
        <f t="shared" si="129"/>
        <v>&lt;OutputFlag&gt;1&lt;/OutputFlag&gt;</v>
      </c>
      <c r="F2345" s="6"/>
      <c r="G2345" s="6"/>
      <c r="H2345" s="6"/>
      <c r="I2345" s="6"/>
      <c r="J2345" s="6"/>
      <c r="K2345" s="6"/>
      <c r="L2345" s="6"/>
      <c r="M2345" s="6"/>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c r="BU2345" s="6"/>
      <c r="BV2345" s="6"/>
      <c r="BW2345" s="6"/>
      <c r="BX2345" s="6"/>
      <c r="BY2345" s="6"/>
      <c r="BZ2345" s="6"/>
      <c r="CA2345" s="6"/>
      <c r="CB2345" s="6"/>
      <c r="CC2345" s="6"/>
      <c r="CD2345" s="6"/>
      <c r="CE2345" s="6"/>
      <c r="CF2345" s="6"/>
      <c r="CG2345" s="6"/>
      <c r="CH2345" s="6"/>
      <c r="CI2345" s="6"/>
      <c r="CJ2345" s="6"/>
      <c r="CK2345" s="6"/>
      <c r="CL2345" s="6"/>
      <c r="CM2345" s="6"/>
      <c r="CN2345" s="6"/>
      <c r="CO2345" s="6"/>
      <c r="CP2345" s="6"/>
      <c r="CQ2345" s="6"/>
      <c r="CR2345" s="6"/>
      <c r="CS2345" s="6"/>
      <c r="CT2345" s="6"/>
      <c r="CU2345" s="6"/>
      <c r="CV2345" s="6"/>
      <c r="CW2345" s="6"/>
      <c r="CX2345" s="6"/>
      <c r="CY2345" s="6"/>
      <c r="CZ2345" s="6"/>
      <c r="DA2345" s="6"/>
      <c r="DB2345" s="6"/>
      <c r="DC2345" s="6"/>
      <c r="DD2345" s="6"/>
    </row>
    <row r="2346" spans="1:108" ht="12.75" hidden="1" customHeight="1" outlineLevel="5">
      <c r="A2346" s="104" t="s">
        <v>50</v>
      </c>
      <c r="B2346" s="28">
        <f t="shared" si="128"/>
        <v>0</v>
      </c>
      <c r="C2346" s="11"/>
      <c r="D2346" s="18" t="str">
        <f t="shared" si="129"/>
        <v>&lt;OutputNameID&gt;0&lt;/OutputNameID&gt;</v>
      </c>
      <c r="F2346" s="6"/>
      <c r="G2346" s="6"/>
      <c r="H2346" s="6"/>
      <c r="I2346" s="6"/>
      <c r="J2346" s="6"/>
      <c r="K2346" s="6"/>
      <c r="L2346" s="6"/>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c r="BU2346" s="6"/>
      <c r="BV2346" s="6"/>
      <c r="BW2346" s="6"/>
      <c r="BX2346" s="6"/>
      <c r="BY2346" s="6"/>
      <c r="BZ2346" s="6"/>
      <c r="CA2346" s="6"/>
      <c r="CB2346" s="6"/>
      <c r="CC2346" s="6"/>
      <c r="CD2346" s="6"/>
      <c r="CE2346" s="6"/>
      <c r="CF2346" s="6"/>
      <c r="CG2346" s="6"/>
      <c r="CH2346" s="6"/>
      <c r="CI2346" s="6"/>
      <c r="CJ2346" s="6"/>
      <c r="CK2346" s="6"/>
      <c r="CL2346" s="6"/>
      <c r="CM2346" s="6"/>
      <c r="CN2346" s="6"/>
      <c r="CO2346" s="6"/>
      <c r="CP2346" s="6"/>
      <c r="CQ2346" s="6"/>
      <c r="CR2346" s="6"/>
      <c r="CS2346" s="6"/>
      <c r="CT2346" s="6"/>
      <c r="CU2346" s="6"/>
      <c r="CV2346" s="6"/>
      <c r="CW2346" s="6"/>
      <c r="CX2346" s="6"/>
      <c r="CY2346" s="6"/>
      <c r="CZ2346" s="6"/>
      <c r="DA2346" s="6"/>
      <c r="DB2346" s="6"/>
      <c r="DC2346" s="6"/>
      <c r="DD2346" s="6"/>
    </row>
    <row r="2347" spans="1:108" ht="12.75" hidden="1" customHeight="1" outlineLevel="5">
      <c r="A2347" s="104" t="s">
        <v>51</v>
      </c>
      <c r="B2347" s="28">
        <f t="shared" si="128"/>
        <v>1</v>
      </c>
      <c r="C2347" s="11"/>
      <c r="D2347" s="18" t="str">
        <f t="shared" si="129"/>
        <v>&lt;DisplayChildrenFlag&gt;1&lt;/DisplayChildrenFlag&gt;</v>
      </c>
      <c r="F2347" s="6"/>
      <c r="G2347" s="6"/>
      <c r="H2347" s="6"/>
      <c r="I2347" s="6"/>
      <c r="J2347" s="6"/>
      <c r="K2347" s="6"/>
      <c r="L2347" s="6"/>
      <c r="M2347" s="6"/>
      <c r="N2347" s="6"/>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c r="BU2347" s="6"/>
      <c r="BV2347" s="6"/>
      <c r="BW2347" s="6"/>
      <c r="BX2347" s="6"/>
      <c r="BY2347" s="6"/>
      <c r="BZ2347" s="6"/>
      <c r="CA2347" s="6"/>
      <c r="CB2347" s="6"/>
      <c r="CC2347" s="6"/>
      <c r="CD2347" s="6"/>
      <c r="CE2347" s="6"/>
      <c r="CF2347" s="6"/>
      <c r="CG2347" s="6"/>
      <c r="CH2347" s="6"/>
      <c r="CI2347" s="6"/>
      <c r="CJ2347" s="6"/>
      <c r="CK2347" s="6"/>
      <c r="CL2347" s="6"/>
      <c r="CM2347" s="6"/>
      <c r="CN2347" s="6"/>
      <c r="CO2347" s="6"/>
      <c r="CP2347" s="6"/>
      <c r="CQ2347" s="6"/>
      <c r="CR2347" s="6"/>
      <c r="CS2347" s="6"/>
      <c r="CT2347" s="6"/>
      <c r="CU2347" s="6"/>
      <c r="CV2347" s="6"/>
      <c r="CW2347" s="6"/>
      <c r="CX2347" s="6"/>
      <c r="CY2347" s="6"/>
      <c r="CZ2347" s="6"/>
      <c r="DA2347" s="6"/>
      <c r="DB2347" s="6"/>
      <c r="DC2347" s="6"/>
      <c r="DD2347" s="6"/>
    </row>
    <row r="2348" spans="1:108" ht="12.75" hidden="1" customHeight="1" outlineLevel="5">
      <c r="A2348" s="104" t="s">
        <v>52</v>
      </c>
      <c r="B2348" s="28">
        <f t="shared" si="128"/>
        <v>21</v>
      </c>
      <c r="C2348" s="11"/>
      <c r="D2348" s="18" t="str">
        <f t="shared" si="129"/>
        <v>&lt;NumPnts&gt;21&lt;/NumPnts&gt;</v>
      </c>
      <c r="F2348" s="6"/>
      <c r="G2348" s="6"/>
      <c r="H2348" s="6"/>
      <c r="I2348" s="6"/>
      <c r="J2348" s="6"/>
      <c r="K2348" s="6"/>
      <c r="L2348" s="6"/>
      <c r="M2348" s="6"/>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c r="BU2348" s="6"/>
      <c r="BV2348" s="6"/>
      <c r="BW2348" s="6"/>
      <c r="BX2348" s="6"/>
      <c r="BY2348" s="6"/>
      <c r="BZ2348" s="6"/>
      <c r="CA2348" s="6"/>
      <c r="CB2348" s="6"/>
      <c r="CC2348" s="6"/>
      <c r="CD2348" s="6"/>
      <c r="CE2348" s="6"/>
      <c r="CF2348" s="6"/>
      <c r="CG2348" s="6"/>
      <c r="CH2348" s="6"/>
      <c r="CI2348" s="6"/>
      <c r="CJ2348" s="6"/>
      <c r="CK2348" s="6"/>
      <c r="CL2348" s="6"/>
      <c r="CM2348" s="6"/>
      <c r="CN2348" s="6"/>
      <c r="CO2348" s="6"/>
      <c r="CP2348" s="6"/>
      <c r="CQ2348" s="6"/>
      <c r="CR2348" s="6"/>
      <c r="CS2348" s="6"/>
      <c r="CT2348" s="6"/>
      <c r="CU2348" s="6"/>
      <c r="CV2348" s="6"/>
      <c r="CW2348" s="6"/>
      <c r="CX2348" s="6"/>
      <c r="CY2348" s="6"/>
      <c r="CZ2348" s="6"/>
      <c r="DA2348" s="6"/>
      <c r="DB2348" s="6"/>
      <c r="DC2348" s="6"/>
      <c r="DD2348" s="6"/>
    </row>
    <row r="2349" spans="1:108" ht="12.75" hidden="1" customHeight="1" outlineLevel="5">
      <c r="A2349" s="104" t="s">
        <v>53</v>
      </c>
      <c r="B2349" s="28">
        <f t="shared" si="128"/>
        <v>11</v>
      </c>
      <c r="C2349" s="11"/>
      <c r="D2349" s="18" t="str">
        <f t="shared" si="129"/>
        <v>&lt;NumXsecs&gt;11&lt;/NumXsecs&gt;</v>
      </c>
      <c r="F2349" s="6"/>
      <c r="G2349" s="6"/>
      <c r="H2349" s="6"/>
      <c r="I2349" s="6"/>
      <c r="J2349" s="6"/>
      <c r="K2349" s="6"/>
      <c r="L2349" s="6"/>
      <c r="M2349" s="6"/>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c r="BU2349" s="6"/>
      <c r="BV2349" s="6"/>
      <c r="BW2349" s="6"/>
      <c r="BX2349" s="6"/>
      <c r="BY2349" s="6"/>
      <c r="BZ2349" s="6"/>
      <c r="CA2349" s="6"/>
      <c r="CB2349" s="6"/>
      <c r="CC2349" s="6"/>
      <c r="CD2349" s="6"/>
      <c r="CE2349" s="6"/>
      <c r="CF2349" s="6"/>
      <c r="CG2349" s="6"/>
      <c r="CH2349" s="6"/>
      <c r="CI2349" s="6"/>
      <c r="CJ2349" s="6"/>
      <c r="CK2349" s="6"/>
      <c r="CL2349" s="6"/>
      <c r="CM2349" s="6"/>
      <c r="CN2349" s="6"/>
      <c r="CO2349" s="6"/>
      <c r="CP2349" s="6"/>
      <c r="CQ2349" s="6"/>
      <c r="CR2349" s="6"/>
      <c r="CS2349" s="6"/>
      <c r="CT2349" s="6"/>
      <c r="CU2349" s="6"/>
      <c r="CV2349" s="6"/>
      <c r="CW2349" s="6"/>
      <c r="CX2349" s="6"/>
      <c r="CY2349" s="6"/>
      <c r="CZ2349" s="6"/>
      <c r="DA2349" s="6"/>
      <c r="DB2349" s="6"/>
      <c r="DC2349" s="6"/>
      <c r="DD2349" s="6"/>
    </row>
    <row r="2350" spans="1:108" ht="12.75" hidden="1" customHeight="1" outlineLevel="5">
      <c r="A2350" s="104" t="s">
        <v>54</v>
      </c>
      <c r="B2350" s="28">
        <f t="shared" si="128"/>
        <v>0</v>
      </c>
      <c r="C2350" s="11"/>
      <c r="D2350" s="18" t="str">
        <f t="shared" si="129"/>
        <v>&lt;MassPrior&gt;0&lt;/MassPrior&gt;</v>
      </c>
      <c r="F2350" s="6"/>
      <c r="G2350" s="6"/>
      <c r="H2350" s="6"/>
      <c r="I2350" s="6"/>
      <c r="J2350" s="6"/>
      <c r="K2350" s="6"/>
      <c r="L2350" s="6"/>
      <c r="M2350" s="6"/>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c r="BU2350" s="6"/>
      <c r="BV2350" s="6"/>
      <c r="BW2350" s="6"/>
      <c r="BX2350" s="6"/>
      <c r="BY2350" s="6"/>
      <c r="BZ2350" s="6"/>
      <c r="CA2350" s="6"/>
      <c r="CB2350" s="6"/>
      <c r="CC2350" s="6"/>
      <c r="CD2350" s="6"/>
      <c r="CE2350" s="6"/>
      <c r="CF2350" s="6"/>
      <c r="CG2350" s="6"/>
      <c r="CH2350" s="6"/>
      <c r="CI2350" s="6"/>
      <c r="CJ2350" s="6"/>
      <c r="CK2350" s="6"/>
      <c r="CL2350" s="6"/>
      <c r="CM2350" s="6"/>
      <c r="CN2350" s="6"/>
      <c r="CO2350" s="6"/>
      <c r="CP2350" s="6"/>
      <c r="CQ2350" s="6"/>
      <c r="CR2350" s="6"/>
      <c r="CS2350" s="6"/>
      <c r="CT2350" s="6"/>
      <c r="CU2350" s="6"/>
      <c r="CV2350" s="6"/>
      <c r="CW2350" s="6"/>
      <c r="CX2350" s="6"/>
      <c r="CY2350" s="6"/>
      <c r="CZ2350" s="6"/>
      <c r="DA2350" s="6"/>
      <c r="DB2350" s="6"/>
      <c r="DC2350" s="6"/>
      <c r="DD2350" s="6"/>
    </row>
    <row r="2351" spans="1:108" ht="12.75" hidden="1" customHeight="1" outlineLevel="5">
      <c r="A2351" s="104" t="s">
        <v>55</v>
      </c>
      <c r="B2351" s="28">
        <f t="shared" si="128"/>
        <v>0</v>
      </c>
      <c r="C2351" s="11"/>
      <c r="D2351" s="18" t="str">
        <f t="shared" si="129"/>
        <v>&lt;ShellFlag&gt;0&lt;/ShellFlag&gt;</v>
      </c>
      <c r="F2351" s="6"/>
      <c r="G2351" s="6"/>
      <c r="H2351" s="6"/>
      <c r="I2351" s="6"/>
      <c r="J2351" s="6"/>
      <c r="K2351" s="6"/>
      <c r="L2351" s="6"/>
      <c r="M2351" s="6"/>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c r="BU2351" s="6"/>
      <c r="BV2351" s="6"/>
      <c r="BW2351" s="6"/>
      <c r="BX2351" s="6"/>
      <c r="BY2351" s="6"/>
      <c r="BZ2351" s="6"/>
      <c r="CA2351" s="6"/>
      <c r="CB2351" s="6"/>
      <c r="CC2351" s="6"/>
      <c r="CD2351" s="6"/>
      <c r="CE2351" s="6"/>
      <c r="CF2351" s="6"/>
      <c r="CG2351" s="6"/>
      <c r="CH2351" s="6"/>
      <c r="CI2351" s="6"/>
      <c r="CJ2351" s="6"/>
      <c r="CK2351" s="6"/>
      <c r="CL2351" s="6"/>
      <c r="CM2351" s="6"/>
      <c r="CN2351" s="6"/>
      <c r="CO2351" s="6"/>
      <c r="CP2351" s="6"/>
      <c r="CQ2351" s="6"/>
      <c r="CR2351" s="6"/>
      <c r="CS2351" s="6"/>
      <c r="CT2351" s="6"/>
      <c r="CU2351" s="6"/>
      <c r="CV2351" s="6"/>
      <c r="CW2351" s="6"/>
      <c r="CX2351" s="6"/>
      <c r="CY2351" s="6"/>
      <c r="CZ2351" s="6"/>
      <c r="DA2351" s="6"/>
      <c r="DB2351" s="6"/>
      <c r="DC2351" s="6"/>
      <c r="DD2351" s="6"/>
    </row>
    <row r="2352" spans="1:108" ht="12.75" hidden="1" customHeight="1" outlineLevel="5">
      <c r="A2352" s="104" t="s">
        <v>56</v>
      </c>
      <c r="B2352" s="94">
        <f>IF(n_e=3, IF(Type_e = "Jet", c_r.V, 0), 0)</f>
        <v>0</v>
      </c>
      <c r="C2352" s="11"/>
      <c r="D2352" s="18" t="str">
        <f t="shared" ref="D2352:D2366" si="130">"&lt;" &amp; A2352 &amp; "&gt;" &amp; TEXT(B2352,"0.000000") &amp; "&lt;/" &amp; A2352 &amp; "&gt;"</f>
        <v>&lt;Tran_X&gt;0.000000&lt;/Tran_X&gt;</v>
      </c>
      <c r="F2352" s="6"/>
      <c r="G2352" s="6"/>
      <c r="H2352" s="6"/>
      <c r="I2352" s="6"/>
      <c r="J2352" s="6"/>
      <c r="K2352" s="6"/>
      <c r="L2352" s="6"/>
      <c r="M2352" s="6"/>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c r="BU2352" s="6"/>
      <c r="BV2352" s="6"/>
      <c r="BW2352" s="6"/>
      <c r="BX2352" s="6"/>
      <c r="BY2352" s="6"/>
      <c r="BZ2352" s="6"/>
      <c r="CA2352" s="6"/>
      <c r="CB2352" s="6"/>
      <c r="CC2352" s="6"/>
      <c r="CD2352" s="6"/>
      <c r="CE2352" s="6"/>
      <c r="CF2352" s="6"/>
      <c r="CG2352" s="6"/>
      <c r="CH2352" s="6"/>
      <c r="CI2352" s="6"/>
      <c r="CJ2352" s="6"/>
      <c r="CK2352" s="6"/>
      <c r="CL2352" s="6"/>
      <c r="CM2352" s="6"/>
      <c r="CN2352" s="6"/>
      <c r="CO2352" s="6"/>
      <c r="CP2352" s="6"/>
      <c r="CQ2352" s="6"/>
      <c r="CR2352" s="6"/>
      <c r="CS2352" s="6"/>
      <c r="CT2352" s="6"/>
      <c r="CU2352" s="6"/>
      <c r="CV2352" s="6"/>
      <c r="CW2352" s="6"/>
      <c r="CX2352" s="6"/>
      <c r="CY2352" s="6"/>
      <c r="CZ2352" s="6"/>
      <c r="DA2352" s="6"/>
      <c r="DB2352" s="6"/>
      <c r="DC2352" s="6"/>
      <c r="DD2352" s="6"/>
    </row>
    <row r="2353" spans="1:108" ht="12.75" hidden="1" customHeight="1" outlineLevel="5">
      <c r="A2353" s="104" t="s">
        <v>57</v>
      </c>
      <c r="B2353" s="28">
        <f t="shared" si="128"/>
        <v>0</v>
      </c>
      <c r="C2353" s="11"/>
      <c r="D2353" s="18" t="str">
        <f t="shared" si="130"/>
        <v>&lt;Tran_Y&gt;0.000000&lt;/Tran_Y&gt;</v>
      </c>
      <c r="F2353" s="6"/>
      <c r="G2353" s="6"/>
      <c r="H2353" s="6"/>
      <c r="I2353" s="6"/>
      <c r="J2353" s="6"/>
      <c r="K2353" s="6"/>
      <c r="L2353" s="6"/>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c r="BU2353" s="6"/>
      <c r="BV2353" s="6"/>
      <c r="BW2353" s="6"/>
      <c r="BX2353" s="6"/>
      <c r="BY2353" s="6"/>
      <c r="BZ2353" s="6"/>
      <c r="CA2353" s="6"/>
      <c r="CB2353" s="6"/>
      <c r="CC2353" s="6"/>
      <c r="CD2353" s="6"/>
      <c r="CE2353" s="6"/>
      <c r="CF2353" s="6"/>
      <c r="CG2353" s="6"/>
      <c r="CH2353" s="6"/>
      <c r="CI2353" s="6"/>
      <c r="CJ2353" s="6"/>
      <c r="CK2353" s="6"/>
      <c r="CL2353" s="6"/>
      <c r="CM2353" s="6"/>
      <c r="CN2353" s="6"/>
      <c r="CO2353" s="6"/>
      <c r="CP2353" s="6"/>
      <c r="CQ2353" s="6"/>
      <c r="CR2353" s="6"/>
      <c r="CS2353" s="6"/>
      <c r="CT2353" s="6"/>
      <c r="CU2353" s="6"/>
      <c r="CV2353" s="6"/>
      <c r="CW2353" s="6"/>
      <c r="CX2353" s="6"/>
      <c r="CY2353" s="6"/>
      <c r="CZ2353" s="6"/>
      <c r="DA2353" s="6"/>
      <c r="DB2353" s="6"/>
      <c r="DC2353" s="6"/>
      <c r="DD2353" s="6"/>
    </row>
    <row r="2354" spans="1:108" ht="12.75" hidden="1" customHeight="1" outlineLevel="5">
      <c r="A2354" s="104" t="s">
        <v>58</v>
      </c>
      <c r="B2354" s="28">
        <f t="shared" si="128"/>
        <v>0</v>
      </c>
      <c r="C2354" s="11"/>
      <c r="D2354" s="18" t="str">
        <f t="shared" si="130"/>
        <v>&lt;Tran_Z&gt;0.000000&lt;/Tran_Z&gt;</v>
      </c>
      <c r="F2354" s="6"/>
      <c r="G2354" s="6"/>
      <c r="H2354" s="6"/>
      <c r="I2354" s="6"/>
      <c r="J2354" s="6"/>
      <c r="K2354" s="6"/>
      <c r="L2354" s="6"/>
      <c r="M2354" s="6"/>
      <c r="N2354" s="6"/>
      <c r="O2354" s="6"/>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c r="BU2354" s="6"/>
      <c r="BV2354" s="6"/>
      <c r="BW2354" s="6"/>
      <c r="BX2354" s="6"/>
      <c r="BY2354" s="6"/>
      <c r="BZ2354" s="6"/>
      <c r="CA2354" s="6"/>
      <c r="CB2354" s="6"/>
      <c r="CC2354" s="6"/>
      <c r="CD2354" s="6"/>
      <c r="CE2354" s="6"/>
      <c r="CF2354" s="6"/>
      <c r="CG2354" s="6"/>
      <c r="CH2354" s="6"/>
      <c r="CI2354" s="6"/>
      <c r="CJ2354" s="6"/>
      <c r="CK2354" s="6"/>
      <c r="CL2354" s="6"/>
      <c r="CM2354" s="6"/>
      <c r="CN2354" s="6"/>
      <c r="CO2354" s="6"/>
      <c r="CP2354" s="6"/>
      <c r="CQ2354" s="6"/>
      <c r="CR2354" s="6"/>
      <c r="CS2354" s="6"/>
      <c r="CT2354" s="6"/>
      <c r="CU2354" s="6"/>
      <c r="CV2354" s="6"/>
      <c r="CW2354" s="6"/>
      <c r="CX2354" s="6"/>
      <c r="CY2354" s="6"/>
      <c r="CZ2354" s="6"/>
      <c r="DA2354" s="6"/>
      <c r="DB2354" s="6"/>
      <c r="DC2354" s="6"/>
      <c r="DD2354" s="6"/>
    </row>
    <row r="2355" spans="1:108" ht="12.75" hidden="1" customHeight="1" outlineLevel="5">
      <c r="A2355" s="104" t="s">
        <v>59</v>
      </c>
      <c r="B2355" s="28">
        <f t="shared" si="128"/>
        <v>0</v>
      </c>
      <c r="C2355" s="11"/>
      <c r="D2355" s="18" t="str">
        <f t="shared" si="130"/>
        <v>&lt;TranRel_X&gt;0.000000&lt;/TranRel_X&gt;</v>
      </c>
      <c r="F2355" s="6"/>
      <c r="G2355" s="6"/>
      <c r="H2355" s="6"/>
      <c r="I2355" s="6"/>
      <c r="J2355" s="6"/>
      <c r="K2355" s="6"/>
      <c r="L2355" s="6"/>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c r="BU2355" s="6"/>
      <c r="BV2355" s="6"/>
      <c r="BW2355" s="6"/>
      <c r="BX2355" s="6"/>
      <c r="BY2355" s="6"/>
      <c r="BZ2355" s="6"/>
      <c r="CA2355" s="6"/>
      <c r="CB2355" s="6"/>
      <c r="CC2355" s="6"/>
      <c r="CD2355" s="6"/>
      <c r="CE2355" s="6"/>
      <c r="CF2355" s="6"/>
      <c r="CG2355" s="6"/>
      <c r="CH2355" s="6"/>
      <c r="CI2355" s="6"/>
      <c r="CJ2355" s="6"/>
      <c r="CK2355" s="6"/>
      <c r="CL2355" s="6"/>
      <c r="CM2355" s="6"/>
      <c r="CN2355" s="6"/>
      <c r="CO2355" s="6"/>
      <c r="CP2355" s="6"/>
      <c r="CQ2355" s="6"/>
      <c r="CR2355" s="6"/>
      <c r="CS2355" s="6"/>
      <c r="CT2355" s="6"/>
      <c r="CU2355" s="6"/>
      <c r="CV2355" s="6"/>
      <c r="CW2355" s="6"/>
      <c r="CX2355" s="6"/>
      <c r="CY2355" s="6"/>
      <c r="CZ2355" s="6"/>
      <c r="DA2355" s="6"/>
      <c r="DB2355" s="6"/>
      <c r="DC2355" s="6"/>
      <c r="DD2355" s="6"/>
    </row>
    <row r="2356" spans="1:108" ht="12.75" hidden="1" customHeight="1" outlineLevel="5">
      <c r="A2356" s="104" t="s">
        <v>60</v>
      </c>
      <c r="B2356" s="28">
        <f t="shared" si="128"/>
        <v>0</v>
      </c>
      <c r="C2356" s="11"/>
      <c r="D2356" s="18" t="str">
        <f t="shared" si="130"/>
        <v>&lt;TranRel_Y&gt;0.000000&lt;/TranRel_Y&gt;</v>
      </c>
      <c r="F2356" s="6"/>
      <c r="G2356" s="6"/>
      <c r="H2356" s="6"/>
      <c r="I2356" s="6"/>
      <c r="J2356" s="6"/>
      <c r="K2356" s="6"/>
      <c r="L2356" s="6"/>
      <c r="M2356" s="6"/>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c r="BU2356" s="6"/>
      <c r="BV2356" s="6"/>
      <c r="BW2356" s="6"/>
      <c r="BX2356" s="6"/>
      <c r="BY2356" s="6"/>
      <c r="BZ2356" s="6"/>
      <c r="CA2356" s="6"/>
      <c r="CB2356" s="6"/>
      <c r="CC2356" s="6"/>
      <c r="CD2356" s="6"/>
      <c r="CE2356" s="6"/>
      <c r="CF2356" s="6"/>
      <c r="CG2356" s="6"/>
      <c r="CH2356" s="6"/>
      <c r="CI2356" s="6"/>
      <c r="CJ2356" s="6"/>
      <c r="CK2356" s="6"/>
      <c r="CL2356" s="6"/>
      <c r="CM2356" s="6"/>
      <c r="CN2356" s="6"/>
      <c r="CO2356" s="6"/>
      <c r="CP2356" s="6"/>
      <c r="CQ2356" s="6"/>
      <c r="CR2356" s="6"/>
      <c r="CS2356" s="6"/>
      <c r="CT2356" s="6"/>
      <c r="CU2356" s="6"/>
      <c r="CV2356" s="6"/>
      <c r="CW2356" s="6"/>
      <c r="CX2356" s="6"/>
      <c r="CY2356" s="6"/>
      <c r="CZ2356" s="6"/>
      <c r="DA2356" s="6"/>
      <c r="DB2356" s="6"/>
      <c r="DC2356" s="6"/>
      <c r="DD2356" s="6"/>
    </row>
    <row r="2357" spans="1:108" ht="12.75" hidden="1" customHeight="1" outlineLevel="5">
      <c r="A2357" s="104" t="s">
        <v>61</v>
      </c>
      <c r="B2357" s="28">
        <f t="shared" si="128"/>
        <v>0</v>
      </c>
      <c r="C2357" s="11"/>
      <c r="D2357" s="18" t="str">
        <f t="shared" si="130"/>
        <v>&lt;TranRel_Z&gt;0.000000&lt;/TranRel_Z&gt;</v>
      </c>
      <c r="F2357" s="6"/>
      <c r="G2357" s="6"/>
      <c r="H2357" s="6"/>
      <c r="I2357" s="6"/>
      <c r="J2357" s="6"/>
      <c r="K2357" s="6"/>
      <c r="L2357" s="6"/>
      <c r="M2357" s="6"/>
      <c r="N2357" s="6"/>
      <c r="O2357" s="6"/>
      <c r="P2357" s="6"/>
      <c r="Q2357" s="6"/>
      <c r="R2357" s="6"/>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c r="BU2357" s="6"/>
      <c r="BV2357" s="6"/>
      <c r="BW2357" s="6"/>
      <c r="BX2357" s="6"/>
      <c r="BY2357" s="6"/>
      <c r="BZ2357" s="6"/>
      <c r="CA2357" s="6"/>
      <c r="CB2357" s="6"/>
      <c r="CC2357" s="6"/>
      <c r="CD2357" s="6"/>
      <c r="CE2357" s="6"/>
      <c r="CF2357" s="6"/>
      <c r="CG2357" s="6"/>
      <c r="CH2357" s="6"/>
      <c r="CI2357" s="6"/>
      <c r="CJ2357" s="6"/>
      <c r="CK2357" s="6"/>
      <c r="CL2357" s="6"/>
      <c r="CM2357" s="6"/>
      <c r="CN2357" s="6"/>
      <c r="CO2357" s="6"/>
      <c r="CP2357" s="6"/>
      <c r="CQ2357" s="6"/>
      <c r="CR2357" s="6"/>
      <c r="CS2357" s="6"/>
      <c r="CT2357" s="6"/>
      <c r="CU2357" s="6"/>
      <c r="CV2357" s="6"/>
      <c r="CW2357" s="6"/>
      <c r="CX2357" s="6"/>
      <c r="CY2357" s="6"/>
      <c r="CZ2357" s="6"/>
      <c r="DA2357" s="6"/>
      <c r="DB2357" s="6"/>
      <c r="DC2357" s="6"/>
      <c r="DD2357" s="6"/>
    </row>
    <row r="2358" spans="1:108" ht="12.75" hidden="1" customHeight="1" outlineLevel="5">
      <c r="A2358" s="104" t="s">
        <v>62</v>
      </c>
      <c r="B2358" s="28">
        <f t="shared" si="128"/>
        <v>0</v>
      </c>
      <c r="C2358" s="11"/>
      <c r="D2358" s="18" t="str">
        <f t="shared" si="130"/>
        <v>&lt;Rot_X&gt;0.000000&lt;/Rot_X&gt;</v>
      </c>
      <c r="F2358" s="6"/>
      <c r="G2358" s="6"/>
      <c r="H2358" s="6"/>
      <c r="I2358" s="6"/>
      <c r="J2358" s="6"/>
      <c r="K2358" s="6"/>
      <c r="L2358" s="6"/>
      <c r="M2358" s="6"/>
      <c r="N2358" s="6"/>
      <c r="O2358" s="6"/>
      <c r="P2358" s="6"/>
      <c r="Q2358" s="6"/>
      <c r="R2358" s="6"/>
      <c r="S2358" s="6"/>
      <c r="T2358" s="6"/>
      <c r="U2358" s="6"/>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c r="BU2358" s="6"/>
      <c r="BV2358" s="6"/>
      <c r="BW2358" s="6"/>
      <c r="BX2358" s="6"/>
      <c r="BY2358" s="6"/>
      <c r="BZ2358" s="6"/>
      <c r="CA2358" s="6"/>
      <c r="CB2358" s="6"/>
      <c r="CC2358" s="6"/>
      <c r="CD2358" s="6"/>
      <c r="CE2358" s="6"/>
      <c r="CF2358" s="6"/>
      <c r="CG2358" s="6"/>
      <c r="CH2358" s="6"/>
      <c r="CI2358" s="6"/>
      <c r="CJ2358" s="6"/>
      <c r="CK2358" s="6"/>
      <c r="CL2358" s="6"/>
      <c r="CM2358" s="6"/>
      <c r="CN2358" s="6"/>
      <c r="CO2358" s="6"/>
      <c r="CP2358" s="6"/>
      <c r="CQ2358" s="6"/>
      <c r="CR2358" s="6"/>
      <c r="CS2358" s="6"/>
      <c r="CT2358" s="6"/>
      <c r="CU2358" s="6"/>
      <c r="CV2358" s="6"/>
      <c r="CW2358" s="6"/>
      <c r="CX2358" s="6"/>
      <c r="CY2358" s="6"/>
      <c r="CZ2358" s="6"/>
      <c r="DA2358" s="6"/>
      <c r="DB2358" s="6"/>
      <c r="DC2358" s="6"/>
      <c r="DD2358" s="6"/>
    </row>
    <row r="2359" spans="1:108" ht="12.75" hidden="1" customHeight="1" outlineLevel="5">
      <c r="A2359" s="104" t="s">
        <v>63</v>
      </c>
      <c r="B2359" s="28">
        <f t="shared" si="128"/>
        <v>0</v>
      </c>
      <c r="C2359" s="11"/>
      <c r="D2359" s="18" t="str">
        <f t="shared" si="130"/>
        <v>&lt;Rot_Y&gt;0.000000&lt;/Rot_Y&gt;</v>
      </c>
      <c r="F2359" s="6"/>
      <c r="G2359" s="6"/>
      <c r="H2359" s="6"/>
      <c r="I2359" s="6"/>
      <c r="J2359" s="6"/>
      <c r="K2359" s="6"/>
      <c r="L2359" s="6"/>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c r="BU2359" s="6"/>
      <c r="BV2359" s="6"/>
      <c r="BW2359" s="6"/>
      <c r="BX2359" s="6"/>
      <c r="BY2359" s="6"/>
      <c r="BZ2359" s="6"/>
      <c r="CA2359" s="6"/>
      <c r="CB2359" s="6"/>
      <c r="CC2359" s="6"/>
      <c r="CD2359" s="6"/>
      <c r="CE2359" s="6"/>
      <c r="CF2359" s="6"/>
      <c r="CG2359" s="6"/>
      <c r="CH2359" s="6"/>
      <c r="CI2359" s="6"/>
      <c r="CJ2359" s="6"/>
      <c r="CK2359" s="6"/>
      <c r="CL2359" s="6"/>
      <c r="CM2359" s="6"/>
      <c r="CN2359" s="6"/>
      <c r="CO2359" s="6"/>
      <c r="CP2359" s="6"/>
      <c r="CQ2359" s="6"/>
      <c r="CR2359" s="6"/>
      <c r="CS2359" s="6"/>
      <c r="CT2359" s="6"/>
      <c r="CU2359" s="6"/>
      <c r="CV2359" s="6"/>
      <c r="CW2359" s="6"/>
      <c r="CX2359" s="6"/>
      <c r="CY2359" s="6"/>
      <c r="CZ2359" s="6"/>
      <c r="DA2359" s="6"/>
      <c r="DB2359" s="6"/>
      <c r="DC2359" s="6"/>
      <c r="DD2359" s="6"/>
    </row>
    <row r="2360" spans="1:108" ht="12.75" hidden="1" customHeight="1" outlineLevel="5">
      <c r="A2360" s="104" t="s">
        <v>64</v>
      </c>
      <c r="B2360" s="28">
        <f t="shared" si="128"/>
        <v>0</v>
      </c>
      <c r="C2360" s="11"/>
      <c r="D2360" s="18" t="str">
        <f t="shared" si="130"/>
        <v>&lt;Rot_Z&gt;0.000000&lt;/Rot_Z&gt;</v>
      </c>
      <c r="F2360" s="6"/>
      <c r="G2360" s="6"/>
      <c r="H2360" s="6"/>
      <c r="I2360" s="6"/>
      <c r="J2360" s="6"/>
      <c r="K2360" s="6"/>
      <c r="L2360" s="6"/>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c r="BU2360" s="6"/>
      <c r="BV2360" s="6"/>
      <c r="BW2360" s="6"/>
      <c r="BX2360" s="6"/>
      <c r="BY2360" s="6"/>
      <c r="BZ2360" s="6"/>
      <c r="CA2360" s="6"/>
      <c r="CB2360" s="6"/>
      <c r="CC2360" s="6"/>
      <c r="CD2360" s="6"/>
      <c r="CE2360" s="6"/>
      <c r="CF2360" s="6"/>
      <c r="CG2360" s="6"/>
      <c r="CH2360" s="6"/>
      <c r="CI2360" s="6"/>
      <c r="CJ2360" s="6"/>
      <c r="CK2360" s="6"/>
      <c r="CL2360" s="6"/>
      <c r="CM2360" s="6"/>
      <c r="CN2360" s="6"/>
      <c r="CO2360" s="6"/>
      <c r="CP2360" s="6"/>
      <c r="CQ2360" s="6"/>
      <c r="CR2360" s="6"/>
      <c r="CS2360" s="6"/>
      <c r="CT2360" s="6"/>
      <c r="CU2360" s="6"/>
      <c r="CV2360" s="6"/>
      <c r="CW2360" s="6"/>
      <c r="CX2360" s="6"/>
      <c r="CY2360" s="6"/>
      <c r="CZ2360" s="6"/>
      <c r="DA2360" s="6"/>
      <c r="DB2360" s="6"/>
      <c r="DC2360" s="6"/>
      <c r="DD2360" s="6"/>
    </row>
    <row r="2361" spans="1:108" ht="12.75" hidden="1" customHeight="1" outlineLevel="5">
      <c r="A2361" s="104" t="s">
        <v>65</v>
      </c>
      <c r="B2361" s="28">
        <f t="shared" si="128"/>
        <v>0</v>
      </c>
      <c r="C2361" s="11"/>
      <c r="D2361" s="18" t="str">
        <f t="shared" si="130"/>
        <v>&lt;RotRel_X&gt;0.000000&lt;/RotRel_X&gt;</v>
      </c>
      <c r="F2361" s="6"/>
      <c r="G2361" s="6"/>
      <c r="H2361" s="6"/>
      <c r="I2361" s="6"/>
      <c r="J2361" s="6"/>
      <c r="K2361" s="6"/>
      <c r="L2361" s="6"/>
      <c r="M2361" s="6"/>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c r="BU2361" s="6"/>
      <c r="BV2361" s="6"/>
      <c r="BW2361" s="6"/>
      <c r="BX2361" s="6"/>
      <c r="BY2361" s="6"/>
      <c r="BZ2361" s="6"/>
      <c r="CA2361" s="6"/>
      <c r="CB2361" s="6"/>
      <c r="CC2361" s="6"/>
      <c r="CD2361" s="6"/>
      <c r="CE2361" s="6"/>
      <c r="CF2361" s="6"/>
      <c r="CG2361" s="6"/>
      <c r="CH2361" s="6"/>
      <c r="CI2361" s="6"/>
      <c r="CJ2361" s="6"/>
      <c r="CK2361" s="6"/>
      <c r="CL2361" s="6"/>
      <c r="CM2361" s="6"/>
      <c r="CN2361" s="6"/>
      <c r="CO2361" s="6"/>
      <c r="CP2361" s="6"/>
      <c r="CQ2361" s="6"/>
      <c r="CR2361" s="6"/>
      <c r="CS2361" s="6"/>
      <c r="CT2361" s="6"/>
      <c r="CU2361" s="6"/>
      <c r="CV2361" s="6"/>
      <c r="CW2361" s="6"/>
      <c r="CX2361" s="6"/>
      <c r="CY2361" s="6"/>
      <c r="CZ2361" s="6"/>
      <c r="DA2361" s="6"/>
      <c r="DB2361" s="6"/>
      <c r="DC2361" s="6"/>
      <c r="DD2361" s="6"/>
    </row>
    <row r="2362" spans="1:108" ht="12.75" hidden="1" customHeight="1" outlineLevel="5">
      <c r="A2362" s="104" t="s">
        <v>66</v>
      </c>
      <c r="B2362" s="28">
        <f t="shared" si="128"/>
        <v>0</v>
      </c>
      <c r="C2362" s="11"/>
      <c r="D2362" s="18" t="str">
        <f t="shared" si="130"/>
        <v>&lt;RotRel_Y&gt;0.000000&lt;/RotRel_Y&gt;</v>
      </c>
      <c r="F2362" s="6"/>
      <c r="G2362" s="6"/>
      <c r="H2362" s="6"/>
      <c r="I2362" s="6"/>
      <c r="J2362" s="6"/>
      <c r="K2362" s="6"/>
      <c r="L2362" s="6"/>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c r="BU2362" s="6"/>
      <c r="BV2362" s="6"/>
      <c r="BW2362" s="6"/>
      <c r="BX2362" s="6"/>
      <c r="BY2362" s="6"/>
      <c r="BZ2362" s="6"/>
      <c r="CA2362" s="6"/>
      <c r="CB2362" s="6"/>
      <c r="CC2362" s="6"/>
      <c r="CD2362" s="6"/>
      <c r="CE2362" s="6"/>
      <c r="CF2362" s="6"/>
      <c r="CG2362" s="6"/>
      <c r="CH2362" s="6"/>
      <c r="CI2362" s="6"/>
      <c r="CJ2362" s="6"/>
      <c r="CK2362" s="6"/>
      <c r="CL2362" s="6"/>
      <c r="CM2362" s="6"/>
      <c r="CN2362" s="6"/>
      <c r="CO2362" s="6"/>
      <c r="CP2362" s="6"/>
      <c r="CQ2362" s="6"/>
      <c r="CR2362" s="6"/>
      <c r="CS2362" s="6"/>
      <c r="CT2362" s="6"/>
      <c r="CU2362" s="6"/>
      <c r="CV2362" s="6"/>
      <c r="CW2362" s="6"/>
      <c r="CX2362" s="6"/>
      <c r="CY2362" s="6"/>
      <c r="CZ2362" s="6"/>
      <c r="DA2362" s="6"/>
      <c r="DB2362" s="6"/>
      <c r="DC2362" s="6"/>
      <c r="DD2362" s="6"/>
    </row>
    <row r="2363" spans="1:108" ht="12.75" hidden="1" customHeight="1" outlineLevel="5">
      <c r="A2363" s="104" t="s">
        <v>67</v>
      </c>
      <c r="B2363" s="28">
        <f t="shared" si="128"/>
        <v>0</v>
      </c>
      <c r="C2363" s="11"/>
      <c r="D2363" s="18" t="str">
        <f t="shared" si="130"/>
        <v>&lt;RotRel_Z&gt;0.000000&lt;/RotRel_Z&gt;</v>
      </c>
      <c r="F2363" s="6"/>
      <c r="G2363" s="6"/>
      <c r="H2363" s="6"/>
      <c r="I2363" s="6"/>
      <c r="J2363" s="6"/>
      <c r="K2363" s="6"/>
      <c r="L2363" s="6"/>
      <c r="M2363" s="6"/>
      <c r="N2363" s="6"/>
      <c r="O2363" s="6"/>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c r="BU2363" s="6"/>
      <c r="BV2363" s="6"/>
      <c r="BW2363" s="6"/>
      <c r="BX2363" s="6"/>
      <c r="BY2363" s="6"/>
      <c r="BZ2363" s="6"/>
      <c r="CA2363" s="6"/>
      <c r="CB2363" s="6"/>
      <c r="CC2363" s="6"/>
      <c r="CD2363" s="6"/>
      <c r="CE2363" s="6"/>
      <c r="CF2363" s="6"/>
      <c r="CG2363" s="6"/>
      <c r="CH2363" s="6"/>
      <c r="CI2363" s="6"/>
      <c r="CJ2363" s="6"/>
      <c r="CK2363" s="6"/>
      <c r="CL2363" s="6"/>
      <c r="CM2363" s="6"/>
      <c r="CN2363" s="6"/>
      <c r="CO2363" s="6"/>
      <c r="CP2363" s="6"/>
      <c r="CQ2363" s="6"/>
      <c r="CR2363" s="6"/>
      <c r="CS2363" s="6"/>
      <c r="CT2363" s="6"/>
      <c r="CU2363" s="6"/>
      <c r="CV2363" s="6"/>
      <c r="CW2363" s="6"/>
      <c r="CX2363" s="6"/>
      <c r="CY2363" s="6"/>
      <c r="CZ2363" s="6"/>
      <c r="DA2363" s="6"/>
      <c r="DB2363" s="6"/>
      <c r="DC2363" s="6"/>
      <c r="DD2363" s="6"/>
    </row>
    <row r="2364" spans="1:108" ht="12.75" hidden="1" customHeight="1" outlineLevel="5">
      <c r="A2364" s="104" t="s">
        <v>68</v>
      </c>
      <c r="B2364" s="28">
        <f t="shared" si="128"/>
        <v>0</v>
      </c>
      <c r="C2364" s="11"/>
      <c r="D2364" s="18" t="str">
        <f t="shared" si="130"/>
        <v>&lt;Origin&gt;0.000000&lt;/Origin&gt;</v>
      </c>
      <c r="F2364" s="6"/>
      <c r="G2364" s="6"/>
      <c r="H2364" s="6"/>
      <c r="I2364" s="6"/>
      <c r="J2364" s="6"/>
      <c r="K2364" s="6"/>
      <c r="L2364" s="6"/>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c r="BU2364" s="6"/>
      <c r="BV2364" s="6"/>
      <c r="BW2364" s="6"/>
      <c r="BX2364" s="6"/>
      <c r="BY2364" s="6"/>
      <c r="BZ2364" s="6"/>
      <c r="CA2364" s="6"/>
      <c r="CB2364" s="6"/>
      <c r="CC2364" s="6"/>
      <c r="CD2364" s="6"/>
      <c r="CE2364" s="6"/>
      <c r="CF2364" s="6"/>
      <c r="CG2364" s="6"/>
      <c r="CH2364" s="6"/>
      <c r="CI2364" s="6"/>
      <c r="CJ2364" s="6"/>
      <c r="CK2364" s="6"/>
      <c r="CL2364" s="6"/>
      <c r="CM2364" s="6"/>
      <c r="CN2364" s="6"/>
      <c r="CO2364" s="6"/>
      <c r="CP2364" s="6"/>
      <c r="CQ2364" s="6"/>
      <c r="CR2364" s="6"/>
      <c r="CS2364" s="6"/>
      <c r="CT2364" s="6"/>
      <c r="CU2364" s="6"/>
      <c r="CV2364" s="6"/>
      <c r="CW2364" s="6"/>
      <c r="CX2364" s="6"/>
      <c r="CY2364" s="6"/>
      <c r="CZ2364" s="6"/>
      <c r="DA2364" s="6"/>
      <c r="DB2364" s="6"/>
      <c r="DC2364" s="6"/>
      <c r="DD2364" s="6"/>
    </row>
    <row r="2365" spans="1:108" ht="12.75" hidden="1" customHeight="1" outlineLevel="5">
      <c r="A2365" s="104" t="s">
        <v>69</v>
      </c>
      <c r="B2365" s="28">
        <f t="shared" si="128"/>
        <v>1</v>
      </c>
      <c r="C2365" s="11"/>
      <c r="D2365" s="18" t="str">
        <f t="shared" si="130"/>
        <v>&lt;Density&gt;1.000000&lt;/Density&gt;</v>
      </c>
      <c r="F2365" s="6"/>
      <c r="G2365" s="6"/>
      <c r="H2365" s="6"/>
      <c r="I2365" s="6"/>
      <c r="J2365" s="6"/>
      <c r="K2365" s="6"/>
      <c r="L2365" s="6"/>
      <c r="M2365" s="6"/>
      <c r="N2365" s="6"/>
      <c r="O2365" s="6"/>
      <c r="P2365" s="6"/>
      <c r="Q2365" s="6"/>
      <c r="R2365" s="6"/>
      <c r="S2365" s="6"/>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c r="BU2365" s="6"/>
      <c r="BV2365" s="6"/>
      <c r="BW2365" s="6"/>
      <c r="BX2365" s="6"/>
      <c r="BY2365" s="6"/>
      <c r="BZ2365" s="6"/>
      <c r="CA2365" s="6"/>
      <c r="CB2365" s="6"/>
      <c r="CC2365" s="6"/>
      <c r="CD2365" s="6"/>
      <c r="CE2365" s="6"/>
      <c r="CF2365" s="6"/>
      <c r="CG2365" s="6"/>
      <c r="CH2365" s="6"/>
      <c r="CI2365" s="6"/>
      <c r="CJ2365" s="6"/>
      <c r="CK2365" s="6"/>
      <c r="CL2365" s="6"/>
      <c r="CM2365" s="6"/>
      <c r="CN2365" s="6"/>
      <c r="CO2365" s="6"/>
      <c r="CP2365" s="6"/>
      <c r="CQ2365" s="6"/>
      <c r="CR2365" s="6"/>
      <c r="CS2365" s="6"/>
      <c r="CT2365" s="6"/>
      <c r="CU2365" s="6"/>
      <c r="CV2365" s="6"/>
      <c r="CW2365" s="6"/>
      <c r="CX2365" s="6"/>
      <c r="CY2365" s="6"/>
      <c r="CZ2365" s="6"/>
      <c r="DA2365" s="6"/>
      <c r="DB2365" s="6"/>
      <c r="DC2365" s="6"/>
      <c r="DD2365" s="6"/>
    </row>
    <row r="2366" spans="1:108" ht="12.75" hidden="1" customHeight="1" outlineLevel="5">
      <c r="A2366" s="104" t="s">
        <v>70</v>
      </c>
      <c r="B2366" s="28">
        <f t="shared" si="128"/>
        <v>1</v>
      </c>
      <c r="C2366" s="11"/>
      <c r="D2366" s="18" t="str">
        <f t="shared" si="130"/>
        <v>&lt;ShellMassArea&gt;1.000000&lt;/ShellMassArea&gt;</v>
      </c>
      <c r="F2366" s="6"/>
      <c r="G2366" s="6"/>
      <c r="H2366" s="6"/>
      <c r="I2366" s="6"/>
      <c r="J2366" s="6"/>
      <c r="K2366" s="6"/>
      <c r="L2366" s="6"/>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c r="BU2366" s="6"/>
      <c r="BV2366" s="6"/>
      <c r="BW2366" s="6"/>
      <c r="BX2366" s="6"/>
      <c r="BY2366" s="6"/>
      <c r="BZ2366" s="6"/>
      <c r="CA2366" s="6"/>
      <c r="CB2366" s="6"/>
      <c r="CC2366" s="6"/>
      <c r="CD2366" s="6"/>
      <c r="CE2366" s="6"/>
      <c r="CF2366" s="6"/>
      <c r="CG2366" s="6"/>
      <c r="CH2366" s="6"/>
      <c r="CI2366" s="6"/>
      <c r="CJ2366" s="6"/>
      <c r="CK2366" s="6"/>
      <c r="CL2366" s="6"/>
      <c r="CM2366" s="6"/>
      <c r="CN2366" s="6"/>
      <c r="CO2366" s="6"/>
      <c r="CP2366" s="6"/>
      <c r="CQ2366" s="6"/>
      <c r="CR2366" s="6"/>
      <c r="CS2366" s="6"/>
      <c r="CT2366" s="6"/>
      <c r="CU2366" s="6"/>
      <c r="CV2366" s="6"/>
      <c r="CW2366" s="6"/>
      <c r="CX2366" s="6"/>
      <c r="CY2366" s="6"/>
      <c r="CZ2366" s="6"/>
      <c r="DA2366" s="6"/>
      <c r="DB2366" s="6"/>
      <c r="DC2366" s="6"/>
      <c r="DD2366" s="6"/>
    </row>
    <row r="2367" spans="1:108" ht="12.75" hidden="1" customHeight="1" outlineLevel="5">
      <c r="A2367" s="104" t="s">
        <v>71</v>
      </c>
      <c r="B2367" s="28">
        <f t="shared" si="128"/>
        <v>0</v>
      </c>
      <c r="C2367" s="11"/>
      <c r="D2367" s="18" t="str">
        <f>"&lt;" &amp; A2367 &amp; "&gt;" &amp; TEXT(B2367,0) &amp; "&lt;/" &amp; A2367 &amp; "&gt;"</f>
        <v>&lt;RefFlag&gt;0&lt;/RefFlag&gt;</v>
      </c>
      <c r="F2367" s="6"/>
      <c r="G2367" s="6"/>
      <c r="H2367" s="6"/>
      <c r="I2367" s="6"/>
      <c r="J2367" s="6"/>
      <c r="K2367" s="6"/>
      <c r="L2367" s="6"/>
      <c r="M2367" s="6"/>
      <c r="N2367" s="6"/>
      <c r="O2367" s="6"/>
      <c r="P2367" s="6"/>
      <c r="Q2367" s="6"/>
      <c r="R2367" s="6"/>
      <c r="S2367" s="6"/>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c r="BU2367" s="6"/>
      <c r="BV2367" s="6"/>
      <c r="BW2367" s="6"/>
      <c r="BX2367" s="6"/>
      <c r="BY2367" s="6"/>
      <c r="BZ2367" s="6"/>
      <c r="CA2367" s="6"/>
      <c r="CB2367" s="6"/>
      <c r="CC2367" s="6"/>
      <c r="CD2367" s="6"/>
      <c r="CE2367" s="6"/>
      <c r="CF2367" s="6"/>
      <c r="CG2367" s="6"/>
      <c r="CH2367" s="6"/>
      <c r="CI2367" s="6"/>
      <c r="CJ2367" s="6"/>
      <c r="CK2367" s="6"/>
      <c r="CL2367" s="6"/>
      <c r="CM2367" s="6"/>
      <c r="CN2367" s="6"/>
      <c r="CO2367" s="6"/>
      <c r="CP2367" s="6"/>
      <c r="CQ2367" s="6"/>
      <c r="CR2367" s="6"/>
      <c r="CS2367" s="6"/>
      <c r="CT2367" s="6"/>
      <c r="CU2367" s="6"/>
      <c r="CV2367" s="6"/>
      <c r="CW2367" s="6"/>
      <c r="CX2367" s="6"/>
      <c r="CY2367" s="6"/>
      <c r="CZ2367" s="6"/>
      <c r="DA2367" s="6"/>
      <c r="DB2367" s="6"/>
      <c r="DC2367" s="6"/>
      <c r="DD2367" s="6"/>
    </row>
    <row r="2368" spans="1:108" ht="12.75" hidden="1" customHeight="1" outlineLevel="5">
      <c r="A2368" s="104" t="s">
        <v>72</v>
      </c>
      <c r="B2368" s="28">
        <f t="shared" si="128"/>
        <v>100</v>
      </c>
      <c r="C2368" s="11"/>
      <c r="D2368" s="18" t="str">
        <f>"&lt;" &amp; A2368 &amp; "&gt;" &amp; TEXT(B2368,"0.000000") &amp; "&lt;/" &amp; A2368 &amp; "&gt;"</f>
        <v>&lt;RefArea&gt;100.000000&lt;/RefArea&gt;</v>
      </c>
      <c r="F2368" s="6"/>
      <c r="G2368" s="6"/>
      <c r="H2368" s="6"/>
      <c r="I2368" s="6"/>
      <c r="J2368" s="6"/>
      <c r="K2368" s="6"/>
      <c r="L2368" s="6"/>
      <c r="M2368" s="6"/>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c r="BU2368" s="6"/>
      <c r="BV2368" s="6"/>
      <c r="BW2368" s="6"/>
      <c r="BX2368" s="6"/>
      <c r="BY2368" s="6"/>
      <c r="BZ2368" s="6"/>
      <c r="CA2368" s="6"/>
      <c r="CB2368" s="6"/>
      <c r="CC2368" s="6"/>
      <c r="CD2368" s="6"/>
      <c r="CE2368" s="6"/>
      <c r="CF2368" s="6"/>
      <c r="CG2368" s="6"/>
      <c r="CH2368" s="6"/>
      <c r="CI2368" s="6"/>
      <c r="CJ2368" s="6"/>
      <c r="CK2368" s="6"/>
      <c r="CL2368" s="6"/>
      <c r="CM2368" s="6"/>
      <c r="CN2368" s="6"/>
      <c r="CO2368" s="6"/>
      <c r="CP2368" s="6"/>
      <c r="CQ2368" s="6"/>
      <c r="CR2368" s="6"/>
      <c r="CS2368" s="6"/>
      <c r="CT2368" s="6"/>
      <c r="CU2368" s="6"/>
      <c r="CV2368" s="6"/>
      <c r="CW2368" s="6"/>
      <c r="CX2368" s="6"/>
      <c r="CY2368" s="6"/>
      <c r="CZ2368" s="6"/>
      <c r="DA2368" s="6"/>
      <c r="DB2368" s="6"/>
      <c r="DC2368" s="6"/>
      <c r="DD2368" s="6"/>
    </row>
    <row r="2369" spans="1:108" ht="12.75" hidden="1" customHeight="1" outlineLevel="5">
      <c r="A2369" s="104" t="s">
        <v>73</v>
      </c>
      <c r="B2369" s="28">
        <f t="shared" si="128"/>
        <v>10</v>
      </c>
      <c r="C2369" s="11"/>
      <c r="D2369" s="18" t="str">
        <f>"&lt;" &amp; A2369 &amp; "&gt;" &amp; TEXT(B2369,"0.000000") &amp; "&lt;/" &amp; A2369 &amp; "&gt;"</f>
        <v>&lt;RefSpan&gt;10.000000&lt;/RefSpan&gt;</v>
      </c>
      <c r="F2369" s="6"/>
      <c r="G2369" s="6"/>
      <c r="H2369" s="6"/>
      <c r="I2369" s="6"/>
      <c r="J2369" s="6"/>
      <c r="K2369" s="6"/>
      <c r="L2369" s="6"/>
      <c r="M2369" s="6"/>
      <c r="N2369" s="6"/>
      <c r="O2369" s="6"/>
      <c r="P2369" s="6"/>
      <c r="Q2369" s="6"/>
      <c r="R2369" s="6"/>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c r="BU2369" s="6"/>
      <c r="BV2369" s="6"/>
      <c r="BW2369" s="6"/>
      <c r="BX2369" s="6"/>
      <c r="BY2369" s="6"/>
      <c r="BZ2369" s="6"/>
      <c r="CA2369" s="6"/>
      <c r="CB2369" s="6"/>
      <c r="CC2369" s="6"/>
      <c r="CD2369" s="6"/>
      <c r="CE2369" s="6"/>
      <c r="CF2369" s="6"/>
      <c r="CG2369" s="6"/>
      <c r="CH2369" s="6"/>
      <c r="CI2369" s="6"/>
      <c r="CJ2369" s="6"/>
      <c r="CK2369" s="6"/>
      <c r="CL2369" s="6"/>
      <c r="CM2369" s="6"/>
      <c r="CN2369" s="6"/>
      <c r="CO2369" s="6"/>
      <c r="CP2369" s="6"/>
      <c r="CQ2369" s="6"/>
      <c r="CR2369" s="6"/>
      <c r="CS2369" s="6"/>
      <c r="CT2369" s="6"/>
      <c r="CU2369" s="6"/>
      <c r="CV2369" s="6"/>
      <c r="CW2369" s="6"/>
      <c r="CX2369" s="6"/>
      <c r="CY2369" s="6"/>
      <c r="CZ2369" s="6"/>
      <c r="DA2369" s="6"/>
      <c r="DB2369" s="6"/>
      <c r="DC2369" s="6"/>
      <c r="DD2369" s="6"/>
    </row>
    <row r="2370" spans="1:108" ht="12.75" hidden="1" customHeight="1" outlineLevel="5">
      <c r="A2370" s="104" t="s">
        <v>74</v>
      </c>
      <c r="B2370" s="28">
        <f t="shared" si="128"/>
        <v>1</v>
      </c>
      <c r="C2370" s="11"/>
      <c r="D2370" s="18" t="str">
        <f>"&lt;" &amp; A2370 &amp; "&gt;" &amp; TEXT(B2370,"0.000000") &amp; "&lt;/" &amp; A2370 &amp; "&gt;"</f>
        <v>&lt;RefCbar&gt;1.000000&lt;/RefCbar&gt;</v>
      </c>
      <c r="F2370" s="6"/>
      <c r="G2370" s="6"/>
      <c r="H2370" s="6"/>
      <c r="I2370" s="6"/>
      <c r="J2370" s="6"/>
      <c r="K2370" s="6"/>
      <c r="L2370" s="6"/>
      <c r="M2370" s="6"/>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c r="BU2370" s="6"/>
      <c r="BV2370" s="6"/>
      <c r="BW2370" s="6"/>
      <c r="BX2370" s="6"/>
      <c r="BY2370" s="6"/>
      <c r="BZ2370" s="6"/>
      <c r="CA2370" s="6"/>
      <c r="CB2370" s="6"/>
      <c r="CC2370" s="6"/>
      <c r="CD2370" s="6"/>
      <c r="CE2370" s="6"/>
      <c r="CF2370" s="6"/>
      <c r="CG2370" s="6"/>
      <c r="CH2370" s="6"/>
      <c r="CI2370" s="6"/>
      <c r="CJ2370" s="6"/>
      <c r="CK2370" s="6"/>
      <c r="CL2370" s="6"/>
      <c r="CM2370" s="6"/>
      <c r="CN2370" s="6"/>
      <c r="CO2370" s="6"/>
      <c r="CP2370" s="6"/>
      <c r="CQ2370" s="6"/>
      <c r="CR2370" s="6"/>
      <c r="CS2370" s="6"/>
      <c r="CT2370" s="6"/>
      <c r="CU2370" s="6"/>
      <c r="CV2370" s="6"/>
      <c r="CW2370" s="6"/>
      <c r="CX2370" s="6"/>
      <c r="CY2370" s="6"/>
      <c r="CZ2370" s="6"/>
      <c r="DA2370" s="6"/>
      <c r="DB2370" s="6"/>
      <c r="DC2370" s="6"/>
      <c r="DD2370" s="6"/>
    </row>
    <row r="2371" spans="1:108" ht="12.75" hidden="1" customHeight="1" outlineLevel="5">
      <c r="A2371" s="104" t="s">
        <v>75</v>
      </c>
      <c r="B2371" s="28">
        <f t="shared" si="128"/>
        <v>1</v>
      </c>
      <c r="C2371" s="11"/>
      <c r="D2371" s="18" t="str">
        <f>"&lt;" &amp; A2371 &amp; "&gt;" &amp; TEXT(B2371,0) &amp; "&lt;/" &amp; A2371 &amp; "&gt;"</f>
        <v>&lt;AutoRefAreaFlag&gt;1&lt;/AutoRefAreaFlag&gt;</v>
      </c>
      <c r="F2371" s="6"/>
      <c r="G2371" s="6"/>
      <c r="H2371" s="6"/>
      <c r="I2371" s="6"/>
      <c r="J2371" s="6"/>
      <c r="K2371" s="6"/>
      <c r="L2371" s="6"/>
      <c r="M2371" s="6"/>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c r="BU2371" s="6"/>
      <c r="BV2371" s="6"/>
      <c r="BW2371" s="6"/>
      <c r="BX2371" s="6"/>
      <c r="BY2371" s="6"/>
      <c r="BZ2371" s="6"/>
      <c r="CA2371" s="6"/>
      <c r="CB2371" s="6"/>
      <c r="CC2371" s="6"/>
      <c r="CD2371" s="6"/>
      <c r="CE2371" s="6"/>
      <c r="CF2371" s="6"/>
      <c r="CG2371" s="6"/>
      <c r="CH2371" s="6"/>
      <c r="CI2371" s="6"/>
      <c r="CJ2371" s="6"/>
      <c r="CK2371" s="6"/>
      <c r="CL2371" s="6"/>
      <c r="CM2371" s="6"/>
      <c r="CN2371" s="6"/>
      <c r="CO2371" s="6"/>
      <c r="CP2371" s="6"/>
      <c r="CQ2371" s="6"/>
      <c r="CR2371" s="6"/>
      <c r="CS2371" s="6"/>
      <c r="CT2371" s="6"/>
      <c r="CU2371" s="6"/>
      <c r="CV2371" s="6"/>
      <c r="CW2371" s="6"/>
      <c r="CX2371" s="6"/>
      <c r="CY2371" s="6"/>
      <c r="CZ2371" s="6"/>
      <c r="DA2371" s="6"/>
      <c r="DB2371" s="6"/>
      <c r="DC2371" s="6"/>
      <c r="DD2371" s="6"/>
    </row>
    <row r="2372" spans="1:108" ht="12.75" hidden="1" customHeight="1" outlineLevel="5">
      <c r="A2372" s="104" t="s">
        <v>76</v>
      </c>
      <c r="B2372" s="28">
        <f t="shared" si="128"/>
        <v>1</v>
      </c>
      <c r="C2372" s="11"/>
      <c r="D2372" s="18" t="str">
        <f>"&lt;" &amp; A2372 &amp; "&gt;" &amp; TEXT(B2372,0) &amp; "&lt;/" &amp; A2372 &amp; "&gt;"</f>
        <v>&lt;AutoRefSpanFlag&gt;1&lt;/AutoRefSpanFlag&gt;</v>
      </c>
      <c r="F2372" s="6"/>
      <c r="G2372" s="6"/>
      <c r="H2372" s="6"/>
      <c r="I2372" s="6"/>
      <c r="J2372" s="6"/>
      <c r="K2372" s="6"/>
      <c r="L2372" s="6"/>
      <c r="M2372" s="6"/>
      <c r="N2372" s="6"/>
      <c r="O2372" s="6"/>
      <c r="P2372" s="6"/>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c r="BU2372" s="6"/>
      <c r="BV2372" s="6"/>
      <c r="BW2372" s="6"/>
      <c r="BX2372" s="6"/>
      <c r="BY2372" s="6"/>
      <c r="BZ2372" s="6"/>
      <c r="CA2372" s="6"/>
      <c r="CB2372" s="6"/>
      <c r="CC2372" s="6"/>
      <c r="CD2372" s="6"/>
      <c r="CE2372" s="6"/>
      <c r="CF2372" s="6"/>
      <c r="CG2372" s="6"/>
      <c r="CH2372" s="6"/>
      <c r="CI2372" s="6"/>
      <c r="CJ2372" s="6"/>
      <c r="CK2372" s="6"/>
      <c r="CL2372" s="6"/>
      <c r="CM2372" s="6"/>
      <c r="CN2372" s="6"/>
      <c r="CO2372" s="6"/>
      <c r="CP2372" s="6"/>
      <c r="CQ2372" s="6"/>
      <c r="CR2372" s="6"/>
      <c r="CS2372" s="6"/>
      <c r="CT2372" s="6"/>
      <c r="CU2372" s="6"/>
      <c r="CV2372" s="6"/>
      <c r="CW2372" s="6"/>
      <c r="CX2372" s="6"/>
      <c r="CY2372" s="6"/>
      <c r="CZ2372" s="6"/>
      <c r="DA2372" s="6"/>
      <c r="DB2372" s="6"/>
      <c r="DC2372" s="6"/>
      <c r="DD2372" s="6"/>
    </row>
    <row r="2373" spans="1:108" ht="12.75" hidden="1" customHeight="1" outlineLevel="5">
      <c r="A2373" s="104" t="s">
        <v>77</v>
      </c>
      <c r="B2373" s="28">
        <f t="shared" si="128"/>
        <v>1</v>
      </c>
      <c r="C2373" s="11"/>
      <c r="D2373" s="18" t="str">
        <f>"&lt;" &amp; A2373 &amp; "&gt;" &amp; TEXT(B2373,0) &amp; "&lt;/" &amp; A2373 &amp; "&gt;"</f>
        <v>&lt;AutoRefCbarFlag&gt;1&lt;/AutoRefCbarFlag&gt;</v>
      </c>
      <c r="F2373" s="6"/>
      <c r="G2373" s="6"/>
      <c r="H2373" s="6"/>
      <c r="I2373" s="6"/>
      <c r="J2373" s="6"/>
      <c r="K2373" s="6"/>
      <c r="L2373" s="6"/>
      <c r="M2373" s="6"/>
      <c r="N2373" s="6"/>
      <c r="O2373" s="6"/>
      <c r="P2373" s="6"/>
      <c r="Q2373" s="6"/>
      <c r="R2373" s="6"/>
      <c r="S2373" s="6"/>
      <c r="T2373" s="6"/>
      <c r="U2373" s="6"/>
      <c r="V2373" s="6"/>
      <c r="W2373" s="6"/>
      <c r="X2373" s="6"/>
      <c r="Y2373" s="6"/>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c r="BU2373" s="6"/>
      <c r="BV2373" s="6"/>
      <c r="BW2373" s="6"/>
      <c r="BX2373" s="6"/>
      <c r="BY2373" s="6"/>
      <c r="BZ2373" s="6"/>
      <c r="CA2373" s="6"/>
      <c r="CB2373" s="6"/>
      <c r="CC2373" s="6"/>
      <c r="CD2373" s="6"/>
      <c r="CE2373" s="6"/>
      <c r="CF2373" s="6"/>
      <c r="CG2373" s="6"/>
      <c r="CH2373" s="6"/>
      <c r="CI2373" s="6"/>
      <c r="CJ2373" s="6"/>
      <c r="CK2373" s="6"/>
      <c r="CL2373" s="6"/>
      <c r="CM2373" s="6"/>
      <c r="CN2373" s="6"/>
      <c r="CO2373" s="6"/>
      <c r="CP2373" s="6"/>
      <c r="CQ2373" s="6"/>
      <c r="CR2373" s="6"/>
      <c r="CS2373" s="6"/>
      <c r="CT2373" s="6"/>
      <c r="CU2373" s="6"/>
      <c r="CV2373" s="6"/>
      <c r="CW2373" s="6"/>
      <c r="CX2373" s="6"/>
      <c r="CY2373" s="6"/>
      <c r="CZ2373" s="6"/>
      <c r="DA2373" s="6"/>
      <c r="DB2373" s="6"/>
      <c r="DC2373" s="6"/>
      <c r="DD2373" s="6"/>
    </row>
    <row r="2374" spans="1:108" ht="12.75" hidden="1" customHeight="1" outlineLevel="5">
      <c r="A2374" s="104" t="s">
        <v>78</v>
      </c>
      <c r="B2374" s="28">
        <f t="shared" si="128"/>
        <v>0</v>
      </c>
      <c r="C2374" s="11"/>
      <c r="D2374" s="18" t="str">
        <f>"&lt;" &amp; A2374 &amp; "&gt;" &amp; TEXT(B2374,"0.000000") &amp; "&lt;/" &amp; A2374 &amp; "&gt;"</f>
        <v>&lt;AeroCenter_X&gt;0.000000&lt;/AeroCenter_X&gt;</v>
      </c>
      <c r="F2374" s="6"/>
      <c r="G2374" s="6"/>
      <c r="H2374" s="6"/>
      <c r="I2374" s="6"/>
      <c r="J2374" s="6"/>
      <c r="K2374" s="6"/>
      <c r="L2374" s="6"/>
      <c r="M2374" s="6"/>
      <c r="N2374" s="6"/>
      <c r="O2374" s="6"/>
      <c r="P2374" s="6"/>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c r="BU2374" s="6"/>
      <c r="BV2374" s="6"/>
      <c r="BW2374" s="6"/>
      <c r="BX2374" s="6"/>
      <c r="BY2374" s="6"/>
      <c r="BZ2374" s="6"/>
      <c r="CA2374" s="6"/>
      <c r="CB2374" s="6"/>
      <c r="CC2374" s="6"/>
      <c r="CD2374" s="6"/>
      <c r="CE2374" s="6"/>
      <c r="CF2374" s="6"/>
      <c r="CG2374" s="6"/>
      <c r="CH2374" s="6"/>
      <c r="CI2374" s="6"/>
      <c r="CJ2374" s="6"/>
      <c r="CK2374" s="6"/>
      <c r="CL2374" s="6"/>
      <c r="CM2374" s="6"/>
      <c r="CN2374" s="6"/>
      <c r="CO2374" s="6"/>
      <c r="CP2374" s="6"/>
      <c r="CQ2374" s="6"/>
      <c r="CR2374" s="6"/>
      <c r="CS2374" s="6"/>
      <c r="CT2374" s="6"/>
      <c r="CU2374" s="6"/>
      <c r="CV2374" s="6"/>
      <c r="CW2374" s="6"/>
      <c r="CX2374" s="6"/>
      <c r="CY2374" s="6"/>
      <c r="CZ2374" s="6"/>
      <c r="DA2374" s="6"/>
      <c r="DB2374" s="6"/>
      <c r="DC2374" s="6"/>
      <c r="DD2374" s="6"/>
    </row>
    <row r="2375" spans="1:108" ht="12.75" hidden="1" customHeight="1" outlineLevel="5">
      <c r="A2375" s="104" t="s">
        <v>79</v>
      </c>
      <c r="B2375" s="28">
        <f t="shared" si="128"/>
        <v>0</v>
      </c>
      <c r="C2375" s="11"/>
      <c r="D2375" s="18" t="str">
        <f>"&lt;" &amp; A2375 &amp; "&gt;" &amp; TEXT(B2375,"0.000000") &amp; "&lt;/" &amp; A2375 &amp; "&gt;"</f>
        <v>&lt;AeroCenter_Y&gt;0.000000&lt;/AeroCenter_Y&gt;</v>
      </c>
      <c r="F2375" s="6"/>
      <c r="G2375" s="6"/>
      <c r="H2375" s="6"/>
      <c r="I2375" s="6"/>
      <c r="J2375" s="6"/>
      <c r="K2375" s="6"/>
      <c r="L2375" s="6"/>
      <c r="M2375" s="6"/>
      <c r="N2375" s="6"/>
      <c r="O2375" s="6"/>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c r="BU2375" s="6"/>
      <c r="BV2375" s="6"/>
      <c r="BW2375" s="6"/>
      <c r="BX2375" s="6"/>
      <c r="BY2375" s="6"/>
      <c r="BZ2375" s="6"/>
      <c r="CA2375" s="6"/>
      <c r="CB2375" s="6"/>
      <c r="CC2375" s="6"/>
      <c r="CD2375" s="6"/>
      <c r="CE2375" s="6"/>
      <c r="CF2375" s="6"/>
      <c r="CG2375" s="6"/>
      <c r="CH2375" s="6"/>
      <c r="CI2375" s="6"/>
      <c r="CJ2375" s="6"/>
      <c r="CK2375" s="6"/>
      <c r="CL2375" s="6"/>
      <c r="CM2375" s="6"/>
      <c r="CN2375" s="6"/>
      <c r="CO2375" s="6"/>
      <c r="CP2375" s="6"/>
      <c r="CQ2375" s="6"/>
      <c r="CR2375" s="6"/>
      <c r="CS2375" s="6"/>
      <c r="CT2375" s="6"/>
      <c r="CU2375" s="6"/>
      <c r="CV2375" s="6"/>
      <c r="CW2375" s="6"/>
      <c r="CX2375" s="6"/>
      <c r="CY2375" s="6"/>
      <c r="CZ2375" s="6"/>
      <c r="DA2375" s="6"/>
      <c r="DB2375" s="6"/>
      <c r="DC2375" s="6"/>
      <c r="DD2375" s="6"/>
    </row>
    <row r="2376" spans="1:108" ht="12.75" hidden="1" customHeight="1" outlineLevel="5">
      <c r="A2376" s="104" t="s">
        <v>80</v>
      </c>
      <c r="B2376" s="28">
        <f t="shared" si="128"/>
        <v>0</v>
      </c>
      <c r="C2376" s="11"/>
      <c r="D2376" s="18" t="str">
        <f>"&lt;" &amp; A2376 &amp; "&gt;" &amp; TEXT(B2376,"0.000000") &amp; "&lt;/" &amp; A2376 &amp; "&gt;"</f>
        <v>&lt;AeroCenter_Z&gt;0.000000&lt;/AeroCenter_Z&gt;</v>
      </c>
      <c r="F2376" s="6"/>
      <c r="G2376" s="6"/>
      <c r="H2376" s="6"/>
      <c r="I2376" s="6"/>
      <c r="J2376" s="6"/>
      <c r="K2376" s="6"/>
      <c r="L2376" s="6"/>
      <c r="M2376" s="6"/>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c r="BU2376" s="6"/>
      <c r="BV2376" s="6"/>
      <c r="BW2376" s="6"/>
      <c r="BX2376" s="6"/>
      <c r="BY2376" s="6"/>
      <c r="BZ2376" s="6"/>
      <c r="CA2376" s="6"/>
      <c r="CB2376" s="6"/>
      <c r="CC2376" s="6"/>
      <c r="CD2376" s="6"/>
      <c r="CE2376" s="6"/>
      <c r="CF2376" s="6"/>
      <c r="CG2376" s="6"/>
      <c r="CH2376" s="6"/>
      <c r="CI2376" s="6"/>
      <c r="CJ2376" s="6"/>
      <c r="CK2376" s="6"/>
      <c r="CL2376" s="6"/>
      <c r="CM2376" s="6"/>
      <c r="CN2376" s="6"/>
      <c r="CO2376" s="6"/>
      <c r="CP2376" s="6"/>
      <c r="CQ2376" s="6"/>
      <c r="CR2376" s="6"/>
      <c r="CS2376" s="6"/>
      <c r="CT2376" s="6"/>
      <c r="CU2376" s="6"/>
      <c r="CV2376" s="6"/>
      <c r="CW2376" s="6"/>
      <c r="CX2376" s="6"/>
      <c r="CY2376" s="6"/>
      <c r="CZ2376" s="6"/>
      <c r="DA2376" s="6"/>
      <c r="DB2376" s="6"/>
      <c r="DC2376" s="6"/>
      <c r="DD2376" s="6"/>
    </row>
    <row r="2377" spans="1:108" ht="12.75" hidden="1" customHeight="1" outlineLevel="5">
      <c r="A2377" s="104" t="s">
        <v>81</v>
      </c>
      <c r="B2377" s="28">
        <f t="shared" si="128"/>
        <v>1</v>
      </c>
      <c r="C2377" s="11"/>
      <c r="D2377" s="18" t="str">
        <f>"&lt;" &amp; A2377 &amp; "&gt;" &amp; TEXT(B2377,0) &amp; "&lt;/" &amp; A2377 &amp; "&gt;"</f>
        <v>&lt;AutoAeroCenterFlag&gt;1&lt;/AutoAeroCenterFlag&gt;</v>
      </c>
      <c r="F2377" s="6"/>
      <c r="G2377" s="6"/>
      <c r="H2377" s="6"/>
      <c r="I2377" s="6"/>
      <c r="J2377" s="6"/>
      <c r="K2377" s="6"/>
      <c r="L2377" s="6"/>
      <c r="M2377" s="6"/>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c r="BU2377" s="6"/>
      <c r="BV2377" s="6"/>
      <c r="BW2377" s="6"/>
      <c r="BX2377" s="6"/>
      <c r="BY2377" s="6"/>
      <c r="BZ2377" s="6"/>
      <c r="CA2377" s="6"/>
      <c r="CB2377" s="6"/>
      <c r="CC2377" s="6"/>
      <c r="CD2377" s="6"/>
      <c r="CE2377" s="6"/>
      <c r="CF2377" s="6"/>
      <c r="CG2377" s="6"/>
      <c r="CH2377" s="6"/>
      <c r="CI2377" s="6"/>
      <c r="CJ2377" s="6"/>
      <c r="CK2377" s="6"/>
      <c r="CL2377" s="6"/>
      <c r="CM2377" s="6"/>
      <c r="CN2377" s="6"/>
      <c r="CO2377" s="6"/>
      <c r="CP2377" s="6"/>
      <c r="CQ2377" s="6"/>
      <c r="CR2377" s="6"/>
      <c r="CS2377" s="6"/>
      <c r="CT2377" s="6"/>
      <c r="CU2377" s="6"/>
      <c r="CV2377" s="6"/>
      <c r="CW2377" s="6"/>
      <c r="CX2377" s="6"/>
      <c r="CY2377" s="6"/>
      <c r="CZ2377" s="6"/>
      <c r="DA2377" s="6"/>
      <c r="DB2377" s="6"/>
      <c r="DC2377" s="6"/>
      <c r="DD2377" s="6"/>
    </row>
    <row r="2378" spans="1:108" ht="12.75" hidden="1" customHeight="1" outlineLevel="5">
      <c r="A2378" s="104" t="s">
        <v>82</v>
      </c>
      <c r="B2378" s="28">
        <f t="shared" si="128"/>
        <v>0</v>
      </c>
      <c r="C2378" s="11"/>
      <c r="D2378" s="18" t="str">
        <f>"&lt;" &amp; A2378 &amp; "&gt;" &amp; TEXT(B2378,0) &amp; "&lt;/" &amp; A2378 &amp; "&gt;"</f>
        <v>&lt;WakeActiveFlag&gt;0&lt;/WakeActiveFlag&gt;</v>
      </c>
      <c r="F2378" s="6"/>
      <c r="G2378" s="6"/>
      <c r="H2378" s="6"/>
      <c r="I2378" s="6"/>
      <c r="J2378" s="6"/>
      <c r="K2378" s="6"/>
      <c r="L2378" s="6"/>
      <c r="M2378" s="6"/>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c r="BU2378" s="6"/>
      <c r="BV2378" s="6"/>
      <c r="BW2378" s="6"/>
      <c r="BX2378" s="6"/>
      <c r="BY2378" s="6"/>
      <c r="BZ2378" s="6"/>
      <c r="CA2378" s="6"/>
      <c r="CB2378" s="6"/>
      <c r="CC2378" s="6"/>
      <c r="CD2378" s="6"/>
      <c r="CE2378" s="6"/>
      <c r="CF2378" s="6"/>
      <c r="CG2378" s="6"/>
      <c r="CH2378" s="6"/>
      <c r="CI2378" s="6"/>
      <c r="CJ2378" s="6"/>
      <c r="CK2378" s="6"/>
      <c r="CL2378" s="6"/>
      <c r="CM2378" s="6"/>
      <c r="CN2378" s="6"/>
      <c r="CO2378" s="6"/>
      <c r="CP2378" s="6"/>
      <c r="CQ2378" s="6"/>
      <c r="CR2378" s="6"/>
      <c r="CS2378" s="6"/>
      <c r="CT2378" s="6"/>
      <c r="CU2378" s="6"/>
      <c r="CV2378" s="6"/>
      <c r="CW2378" s="6"/>
      <c r="CX2378" s="6"/>
      <c r="CY2378" s="6"/>
      <c r="CZ2378" s="6"/>
      <c r="DA2378" s="6"/>
      <c r="DB2378" s="6"/>
      <c r="DC2378" s="6"/>
      <c r="DD2378" s="6"/>
    </row>
    <row r="2379" spans="1:108" ht="12.75" hidden="1" customHeight="1" outlineLevel="5">
      <c r="A2379" s="104" t="s">
        <v>83</v>
      </c>
      <c r="B2379" s="28">
        <f t="shared" si="128"/>
        <v>3</v>
      </c>
      <c r="C2379" s="11"/>
      <c r="D2379" s="18" t="str">
        <f>"&lt;" &amp; A2379 &amp; "&gt;" &amp; TEXT(B2379,0) &amp; "&lt;/" &amp; A2379 &amp; "&gt;"</f>
        <v>&lt;PosAttachFlag&gt;3&lt;/PosAttachFlag&gt;</v>
      </c>
      <c r="F2379" s="6"/>
      <c r="G2379" s="6"/>
      <c r="H2379" s="6"/>
      <c r="I2379" s="6"/>
      <c r="J2379" s="6"/>
      <c r="K2379" s="6"/>
      <c r="L2379" s="6"/>
      <c r="M2379" s="6"/>
      <c r="N2379" s="6"/>
      <c r="O2379" s="6"/>
      <c r="P2379" s="6"/>
      <c r="Q2379" s="6"/>
      <c r="R2379" s="6"/>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c r="BU2379" s="6"/>
      <c r="BV2379" s="6"/>
      <c r="BW2379" s="6"/>
      <c r="BX2379" s="6"/>
      <c r="BY2379" s="6"/>
      <c r="BZ2379" s="6"/>
      <c r="CA2379" s="6"/>
      <c r="CB2379" s="6"/>
      <c r="CC2379" s="6"/>
      <c r="CD2379" s="6"/>
      <c r="CE2379" s="6"/>
      <c r="CF2379" s="6"/>
      <c r="CG2379" s="6"/>
      <c r="CH2379" s="6"/>
      <c r="CI2379" s="6"/>
      <c r="CJ2379" s="6"/>
      <c r="CK2379" s="6"/>
      <c r="CL2379" s="6"/>
      <c r="CM2379" s="6"/>
      <c r="CN2379" s="6"/>
      <c r="CO2379" s="6"/>
      <c r="CP2379" s="6"/>
      <c r="CQ2379" s="6"/>
      <c r="CR2379" s="6"/>
      <c r="CS2379" s="6"/>
      <c r="CT2379" s="6"/>
      <c r="CU2379" s="6"/>
      <c r="CV2379" s="6"/>
      <c r="CW2379" s="6"/>
      <c r="CX2379" s="6"/>
      <c r="CY2379" s="6"/>
      <c r="CZ2379" s="6"/>
      <c r="DA2379" s="6"/>
      <c r="DB2379" s="6"/>
      <c r="DC2379" s="6"/>
      <c r="DD2379" s="6"/>
    </row>
    <row r="2380" spans="1:108" ht="12.75" hidden="1" customHeight="1" outlineLevel="5">
      <c r="A2380" s="104" t="s">
        <v>84</v>
      </c>
      <c r="B2380" s="28">
        <f t="shared" si="128"/>
        <v>0</v>
      </c>
      <c r="C2380" s="11"/>
      <c r="D2380" s="18" t="str">
        <f>"&lt;" &amp; A2380 &amp; "&gt;" &amp; TEXT(B2380,"0.000000") &amp; "&lt;/" &amp; A2380 &amp; "&gt;"</f>
        <v>&lt;U_Attach&gt;0.000000&lt;/U_Attach&gt;</v>
      </c>
      <c r="F2380" s="6"/>
      <c r="G2380" s="6"/>
      <c r="H2380" s="6"/>
      <c r="I2380" s="6"/>
      <c r="J2380" s="6"/>
      <c r="K2380" s="6"/>
      <c r="L2380" s="6"/>
      <c r="M2380" s="6"/>
      <c r="N2380" s="6"/>
      <c r="O2380" s="6"/>
      <c r="P2380" s="6"/>
      <c r="Q2380" s="6"/>
      <c r="R2380" s="6"/>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c r="BU2380" s="6"/>
      <c r="BV2380" s="6"/>
      <c r="BW2380" s="6"/>
      <c r="BX2380" s="6"/>
      <c r="BY2380" s="6"/>
      <c r="BZ2380" s="6"/>
      <c r="CA2380" s="6"/>
      <c r="CB2380" s="6"/>
      <c r="CC2380" s="6"/>
      <c r="CD2380" s="6"/>
      <c r="CE2380" s="6"/>
      <c r="CF2380" s="6"/>
      <c r="CG2380" s="6"/>
      <c r="CH2380" s="6"/>
      <c r="CI2380" s="6"/>
      <c r="CJ2380" s="6"/>
      <c r="CK2380" s="6"/>
      <c r="CL2380" s="6"/>
      <c r="CM2380" s="6"/>
      <c r="CN2380" s="6"/>
      <c r="CO2380" s="6"/>
      <c r="CP2380" s="6"/>
      <c r="CQ2380" s="6"/>
      <c r="CR2380" s="6"/>
      <c r="CS2380" s="6"/>
      <c r="CT2380" s="6"/>
      <c r="CU2380" s="6"/>
      <c r="CV2380" s="6"/>
      <c r="CW2380" s="6"/>
      <c r="CX2380" s="6"/>
      <c r="CY2380" s="6"/>
      <c r="CZ2380" s="6"/>
      <c r="DA2380" s="6"/>
      <c r="DB2380" s="6"/>
      <c r="DC2380" s="6"/>
      <c r="DD2380" s="6"/>
    </row>
    <row r="2381" spans="1:108" ht="12.75" hidden="1" customHeight="1" outlineLevel="5">
      <c r="A2381" s="104" t="s">
        <v>85</v>
      </c>
      <c r="B2381" s="28">
        <f t="shared" si="128"/>
        <v>0</v>
      </c>
      <c r="C2381" s="11"/>
      <c r="D2381" s="18" t="str">
        <f>"&lt;" &amp; A2381 &amp; "&gt;" &amp; TEXT(B2381,"0.000000") &amp; "&lt;/" &amp; A2381 &amp; "&gt;"</f>
        <v>&lt;V_Attach&gt;0.000000&lt;/V_Attach&gt;</v>
      </c>
      <c r="F2381" s="6"/>
      <c r="G2381" s="6"/>
      <c r="H2381" s="6"/>
      <c r="I2381" s="6"/>
      <c r="J2381" s="6"/>
      <c r="K2381" s="6"/>
      <c r="L2381" s="6"/>
      <c r="M2381" s="6"/>
      <c r="N2381" s="6"/>
      <c r="O2381" s="6"/>
      <c r="P2381" s="6"/>
      <c r="Q2381" s="6"/>
      <c r="R2381" s="6"/>
      <c r="S2381" s="6"/>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c r="BU2381" s="6"/>
      <c r="BV2381" s="6"/>
      <c r="BW2381" s="6"/>
      <c r="BX2381" s="6"/>
      <c r="BY2381" s="6"/>
      <c r="BZ2381" s="6"/>
      <c r="CA2381" s="6"/>
      <c r="CB2381" s="6"/>
      <c r="CC2381" s="6"/>
      <c r="CD2381" s="6"/>
      <c r="CE2381" s="6"/>
      <c r="CF2381" s="6"/>
      <c r="CG2381" s="6"/>
      <c r="CH2381" s="6"/>
      <c r="CI2381" s="6"/>
      <c r="CJ2381" s="6"/>
      <c r="CK2381" s="6"/>
      <c r="CL2381" s="6"/>
      <c r="CM2381" s="6"/>
      <c r="CN2381" s="6"/>
      <c r="CO2381" s="6"/>
      <c r="CP2381" s="6"/>
      <c r="CQ2381" s="6"/>
      <c r="CR2381" s="6"/>
      <c r="CS2381" s="6"/>
      <c r="CT2381" s="6"/>
      <c r="CU2381" s="6"/>
      <c r="CV2381" s="6"/>
      <c r="CW2381" s="6"/>
      <c r="CX2381" s="6"/>
      <c r="CY2381" s="6"/>
      <c r="CZ2381" s="6"/>
      <c r="DA2381" s="6"/>
      <c r="DB2381" s="6"/>
      <c r="DC2381" s="6"/>
      <c r="DD2381" s="6"/>
    </row>
    <row r="2382" spans="1:108" ht="12.75" hidden="1" customHeight="1" outlineLevel="5">
      <c r="A2382" s="104" t="s">
        <v>86</v>
      </c>
      <c r="B2382" s="28">
        <v>149099136</v>
      </c>
      <c r="C2382" s="11"/>
      <c r="D2382" s="18" t="str">
        <f>"&lt;" &amp; A2382 &amp; "&gt;" &amp; TEXT(B2382,0) &amp; "&lt;/" &amp; A2382 &amp; "&gt;"</f>
        <v>&lt;PtrID&gt;149099136&lt;/PtrID&gt;</v>
      </c>
      <c r="F2382" s="6"/>
      <c r="G2382" s="6"/>
      <c r="H2382" s="6"/>
      <c r="I2382" s="6"/>
      <c r="J2382" s="6"/>
      <c r="K2382" s="6"/>
      <c r="L2382" s="6"/>
      <c r="M2382" s="6"/>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c r="BU2382" s="6"/>
      <c r="BV2382" s="6"/>
      <c r="BW2382" s="6"/>
      <c r="BX2382" s="6"/>
      <c r="BY2382" s="6"/>
      <c r="BZ2382" s="6"/>
      <c r="CA2382" s="6"/>
      <c r="CB2382" s="6"/>
      <c r="CC2382" s="6"/>
      <c r="CD2382" s="6"/>
      <c r="CE2382" s="6"/>
      <c r="CF2382" s="6"/>
      <c r="CG2382" s="6"/>
      <c r="CH2382" s="6"/>
      <c r="CI2382" s="6"/>
      <c r="CJ2382" s="6"/>
      <c r="CK2382" s="6"/>
      <c r="CL2382" s="6"/>
      <c r="CM2382" s="6"/>
      <c r="CN2382" s="6"/>
      <c r="CO2382" s="6"/>
      <c r="CP2382" s="6"/>
      <c r="CQ2382" s="6"/>
      <c r="CR2382" s="6"/>
      <c r="CS2382" s="6"/>
      <c r="CT2382" s="6"/>
      <c r="CU2382" s="6"/>
      <c r="CV2382" s="6"/>
      <c r="CW2382" s="6"/>
      <c r="CX2382" s="6"/>
      <c r="CY2382" s="6"/>
      <c r="CZ2382" s="6"/>
      <c r="DA2382" s="6"/>
      <c r="DB2382" s="6"/>
      <c r="DC2382" s="6"/>
      <c r="DD2382" s="6"/>
    </row>
    <row r="2383" spans="1:108" ht="12.75" hidden="1" customHeight="1" outlineLevel="5">
      <c r="A2383" s="104" t="s">
        <v>87</v>
      </c>
      <c r="B2383" s="28">
        <v>149096552</v>
      </c>
      <c r="C2383" s="11"/>
      <c r="D2383" s="18" t="str">
        <f>"&lt;" &amp; A2383 &amp; "&gt;" &amp; TEXT(B2383,0) &amp; "&lt;/" &amp; A2383 &amp; "&gt;"</f>
        <v>&lt;Parent_PtrID&gt;149096552&lt;/Parent_PtrID&gt;</v>
      </c>
      <c r="F2383" s="6"/>
      <c r="G2383" s="6"/>
      <c r="H2383" s="6"/>
      <c r="I2383" s="6"/>
      <c r="J2383" s="6"/>
      <c r="K2383" s="6"/>
      <c r="L2383" s="6"/>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c r="BU2383" s="6"/>
      <c r="BV2383" s="6"/>
      <c r="BW2383" s="6"/>
      <c r="BX2383" s="6"/>
      <c r="BY2383" s="6"/>
      <c r="BZ2383" s="6"/>
      <c r="CA2383" s="6"/>
      <c r="CB2383" s="6"/>
      <c r="CC2383" s="6"/>
      <c r="CD2383" s="6"/>
      <c r="CE2383" s="6"/>
      <c r="CF2383" s="6"/>
      <c r="CG2383" s="6"/>
      <c r="CH2383" s="6"/>
      <c r="CI2383" s="6"/>
      <c r="CJ2383" s="6"/>
      <c r="CK2383" s="6"/>
      <c r="CL2383" s="6"/>
      <c r="CM2383" s="6"/>
      <c r="CN2383" s="6"/>
      <c r="CO2383" s="6"/>
      <c r="CP2383" s="6"/>
      <c r="CQ2383" s="6"/>
      <c r="CR2383" s="6"/>
      <c r="CS2383" s="6"/>
      <c r="CT2383" s="6"/>
      <c r="CU2383" s="6"/>
      <c r="CV2383" s="6"/>
      <c r="CW2383" s="6"/>
      <c r="CX2383" s="6"/>
      <c r="CY2383" s="6"/>
      <c r="CZ2383" s="6"/>
      <c r="DA2383" s="6"/>
      <c r="DB2383" s="6"/>
      <c r="DC2383" s="6"/>
      <c r="DD2383" s="6"/>
    </row>
    <row r="2384" spans="1:108" ht="12.75" hidden="1" customHeight="1" outlineLevel="5">
      <c r="A2384" s="104" t="s">
        <v>88</v>
      </c>
      <c r="B2384" s="100"/>
      <c r="C2384" s="11"/>
      <c r="D2384" s="6" t="str">
        <f>"&lt;" &amp; A2384 &amp; "&gt;"</f>
        <v>&lt;/General_Parms&gt;</v>
      </c>
      <c r="F2384" s="6"/>
      <c r="G2384" s="6"/>
      <c r="H2384" s="6"/>
      <c r="I2384" s="6"/>
      <c r="J2384" s="6"/>
      <c r="K2384" s="6"/>
      <c r="L2384" s="6"/>
      <c r="M2384" s="6"/>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c r="BU2384" s="6"/>
      <c r="BV2384" s="6"/>
      <c r="BW2384" s="6"/>
      <c r="BX2384" s="6"/>
      <c r="BY2384" s="6"/>
      <c r="BZ2384" s="6"/>
      <c r="CA2384" s="6"/>
      <c r="CB2384" s="6"/>
      <c r="CC2384" s="6"/>
      <c r="CD2384" s="6"/>
      <c r="CE2384" s="6"/>
      <c r="CF2384" s="6"/>
      <c r="CG2384" s="6"/>
      <c r="CH2384" s="6"/>
      <c r="CI2384" s="6"/>
      <c r="CJ2384" s="6"/>
      <c r="CK2384" s="6"/>
      <c r="CL2384" s="6"/>
      <c r="CM2384" s="6"/>
      <c r="CN2384" s="6"/>
      <c r="CO2384" s="6"/>
      <c r="CP2384" s="6"/>
      <c r="CQ2384" s="6"/>
      <c r="CR2384" s="6"/>
      <c r="CS2384" s="6"/>
      <c r="CT2384" s="6"/>
      <c r="CU2384" s="6"/>
      <c r="CV2384" s="6"/>
      <c r="CW2384" s="6"/>
      <c r="CX2384" s="6"/>
      <c r="CY2384" s="6"/>
      <c r="CZ2384" s="6"/>
      <c r="DA2384" s="6"/>
      <c r="DB2384" s="6"/>
      <c r="DC2384" s="6"/>
      <c r="DD2384" s="6"/>
    </row>
    <row r="2385" spans="1:108" ht="12.75" hidden="1" customHeight="1" outlineLevel="4" collapsed="1">
      <c r="A2385" s="104" t="s">
        <v>228</v>
      </c>
      <c r="B2385" s="100"/>
      <c r="C2385" s="11"/>
      <c r="D2385" s="6" t="str">
        <f>"&lt;" &amp; A2385 &amp; "&gt;"</f>
        <v>&lt;Engine_Parms&gt;</v>
      </c>
      <c r="F2385" s="6"/>
      <c r="G2385" s="6"/>
      <c r="H2385" s="6"/>
      <c r="I2385" s="6"/>
      <c r="J2385" s="6"/>
      <c r="K2385" s="6"/>
      <c r="L2385" s="6"/>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c r="BU2385" s="6"/>
      <c r="BV2385" s="6"/>
      <c r="BW2385" s="6"/>
      <c r="BX2385" s="6"/>
      <c r="BY2385" s="6"/>
      <c r="BZ2385" s="6"/>
      <c r="CA2385" s="6"/>
      <c r="CB2385" s="6"/>
      <c r="CC2385" s="6"/>
      <c r="CD2385" s="6"/>
      <c r="CE2385" s="6"/>
      <c r="CF2385" s="6"/>
      <c r="CG2385" s="6"/>
      <c r="CH2385" s="6"/>
      <c r="CI2385" s="6"/>
      <c r="CJ2385" s="6"/>
      <c r="CK2385" s="6"/>
      <c r="CL2385" s="6"/>
      <c r="CM2385" s="6"/>
      <c r="CN2385" s="6"/>
      <c r="CO2385" s="6"/>
      <c r="CP2385" s="6"/>
      <c r="CQ2385" s="6"/>
      <c r="CR2385" s="6"/>
      <c r="CS2385" s="6"/>
      <c r="CT2385" s="6"/>
      <c r="CU2385" s="6"/>
      <c r="CV2385" s="6"/>
      <c r="CW2385" s="6"/>
      <c r="CX2385" s="6"/>
      <c r="CY2385" s="6"/>
      <c r="CZ2385" s="6"/>
      <c r="DA2385" s="6"/>
      <c r="DB2385" s="6"/>
      <c r="DC2385" s="6"/>
      <c r="DD2385" s="6"/>
    </row>
    <row r="2386" spans="1:108" ht="12.75" hidden="1" customHeight="1" outlineLevel="5">
      <c r="A2386" s="104" t="s">
        <v>229</v>
      </c>
      <c r="B2386" s="28">
        <f t="shared" ref="B2386:B2411" si="131">B1853</f>
        <v>0</v>
      </c>
      <c r="C2386" s="11"/>
      <c r="D2386" s="18" t="str">
        <f>"&lt;" &amp; A2386 &amp; "&gt;" &amp; TEXT(B2386,0) &amp; "&lt;/" &amp; A2386 &amp; "&gt;"</f>
        <v>&lt;Engine_Type&gt;0&lt;/Engine_Type&gt;</v>
      </c>
      <c r="F2386" s="6"/>
      <c r="G2386" s="6"/>
      <c r="H2386" s="6"/>
      <c r="I2386" s="6"/>
      <c r="J2386" s="6"/>
      <c r="K2386" s="6"/>
      <c r="L2386" s="6"/>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c r="BU2386" s="6"/>
      <c r="BV2386" s="6"/>
      <c r="BW2386" s="6"/>
      <c r="BX2386" s="6"/>
      <c r="BY2386" s="6"/>
      <c r="BZ2386" s="6"/>
      <c r="CA2386" s="6"/>
      <c r="CB2386" s="6"/>
      <c r="CC2386" s="6"/>
      <c r="CD2386" s="6"/>
      <c r="CE2386" s="6"/>
      <c r="CF2386" s="6"/>
      <c r="CG2386" s="6"/>
      <c r="CH2386" s="6"/>
      <c r="CI2386" s="6"/>
      <c r="CJ2386" s="6"/>
      <c r="CK2386" s="6"/>
      <c r="CL2386" s="6"/>
      <c r="CM2386" s="6"/>
      <c r="CN2386" s="6"/>
      <c r="CO2386" s="6"/>
      <c r="CP2386" s="6"/>
      <c r="CQ2386" s="6"/>
      <c r="CR2386" s="6"/>
      <c r="CS2386" s="6"/>
      <c r="CT2386" s="6"/>
      <c r="CU2386" s="6"/>
      <c r="CV2386" s="6"/>
      <c r="CW2386" s="6"/>
      <c r="CX2386" s="6"/>
      <c r="CY2386" s="6"/>
      <c r="CZ2386" s="6"/>
      <c r="DA2386" s="6"/>
      <c r="DB2386" s="6"/>
      <c r="DC2386" s="6"/>
      <c r="DD2386" s="6"/>
    </row>
    <row r="2387" spans="1:108" ht="12.75" hidden="1" customHeight="1" outlineLevel="5">
      <c r="A2387" s="104" t="s">
        <v>230</v>
      </c>
      <c r="B2387" s="94">
        <f t="shared" si="131"/>
        <v>0.4108675</v>
      </c>
      <c r="C2387" s="11"/>
      <c r="D2387" s="18" t="str">
        <f>"&lt;" &amp; A2387 &amp; "&gt;" &amp; TEXT(B2387,"0.000000") &amp; "&lt;/" &amp; A2387 &amp; "&gt;"</f>
        <v>&lt;Radius_Tip&gt;0.410868&lt;/Radius_Tip&gt;</v>
      </c>
      <c r="F2387" s="6"/>
      <c r="G2387" s="6"/>
      <c r="H2387" s="6"/>
      <c r="I2387" s="6"/>
      <c r="J2387" s="6"/>
      <c r="K2387" s="6"/>
      <c r="L2387" s="6"/>
      <c r="M2387" s="6"/>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c r="BU2387" s="6"/>
      <c r="BV2387" s="6"/>
      <c r="BW2387" s="6"/>
      <c r="BX2387" s="6"/>
      <c r="BY2387" s="6"/>
      <c r="BZ2387" s="6"/>
      <c r="CA2387" s="6"/>
      <c r="CB2387" s="6"/>
      <c r="CC2387" s="6"/>
      <c r="CD2387" s="6"/>
      <c r="CE2387" s="6"/>
      <c r="CF2387" s="6"/>
      <c r="CG2387" s="6"/>
      <c r="CH2387" s="6"/>
      <c r="CI2387" s="6"/>
      <c r="CJ2387" s="6"/>
      <c r="CK2387" s="6"/>
      <c r="CL2387" s="6"/>
      <c r="CM2387" s="6"/>
      <c r="CN2387" s="6"/>
      <c r="CO2387" s="6"/>
      <c r="CP2387" s="6"/>
      <c r="CQ2387" s="6"/>
      <c r="CR2387" s="6"/>
      <c r="CS2387" s="6"/>
      <c r="CT2387" s="6"/>
      <c r="CU2387" s="6"/>
      <c r="CV2387" s="6"/>
      <c r="CW2387" s="6"/>
      <c r="CX2387" s="6"/>
      <c r="CY2387" s="6"/>
      <c r="CZ2387" s="6"/>
      <c r="DA2387" s="6"/>
      <c r="DB2387" s="6"/>
      <c r="DC2387" s="6"/>
      <c r="DD2387" s="6"/>
    </row>
    <row r="2388" spans="1:108" ht="12.75" hidden="1" customHeight="1" outlineLevel="5">
      <c r="A2388" s="104" t="s">
        <v>231</v>
      </c>
      <c r="B2388" s="28">
        <f t="shared" si="131"/>
        <v>1.3</v>
      </c>
      <c r="C2388" s="11"/>
      <c r="D2388" s="18" t="str">
        <f>"&lt;" &amp; A2388 &amp; "&gt;" &amp; TEXT(B2388,"0.000000") &amp; "&lt;/" &amp; A2388 &amp; "&gt;"</f>
        <v>&lt;Max_Tip&gt;1.300000&lt;/Max_Tip&gt;</v>
      </c>
      <c r="F2388" s="6"/>
      <c r="G2388" s="6"/>
      <c r="H2388" s="6"/>
      <c r="I2388" s="6"/>
      <c r="J2388" s="6"/>
      <c r="K2388" s="6"/>
      <c r="L2388" s="6"/>
      <c r="M2388" s="6"/>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c r="BU2388" s="6"/>
      <c r="BV2388" s="6"/>
      <c r="BW2388" s="6"/>
      <c r="BX2388" s="6"/>
      <c r="BY2388" s="6"/>
      <c r="BZ2388" s="6"/>
      <c r="CA2388" s="6"/>
      <c r="CB2388" s="6"/>
      <c r="CC2388" s="6"/>
      <c r="CD2388" s="6"/>
      <c r="CE2388" s="6"/>
      <c r="CF2388" s="6"/>
      <c r="CG2388" s="6"/>
      <c r="CH2388" s="6"/>
      <c r="CI2388" s="6"/>
      <c r="CJ2388" s="6"/>
      <c r="CK2388" s="6"/>
      <c r="CL2388" s="6"/>
      <c r="CM2388" s="6"/>
      <c r="CN2388" s="6"/>
      <c r="CO2388" s="6"/>
      <c r="CP2388" s="6"/>
      <c r="CQ2388" s="6"/>
      <c r="CR2388" s="6"/>
      <c r="CS2388" s="6"/>
      <c r="CT2388" s="6"/>
      <c r="CU2388" s="6"/>
      <c r="CV2388" s="6"/>
      <c r="CW2388" s="6"/>
      <c r="CX2388" s="6"/>
      <c r="CY2388" s="6"/>
      <c r="CZ2388" s="6"/>
      <c r="DA2388" s="6"/>
      <c r="DB2388" s="6"/>
      <c r="DC2388" s="6"/>
      <c r="DD2388" s="6"/>
    </row>
    <row r="2389" spans="1:108" ht="12.75" hidden="1" customHeight="1" outlineLevel="5">
      <c r="A2389" s="104" t="s">
        <v>232</v>
      </c>
      <c r="B2389" s="94">
        <f t="shared" si="131"/>
        <v>0.5</v>
      </c>
      <c r="C2389" s="11"/>
      <c r="D2389" s="18" t="str">
        <f>"&lt;" &amp; A2389 &amp; "&gt;" &amp; TEXT(B2389,"0.000000") &amp; "&lt;/" &amp; A2389 &amp; "&gt;"</f>
        <v>&lt;Hub_Tip&gt;0.500000&lt;/Hub_Tip&gt;</v>
      </c>
      <c r="F2389" s="6"/>
      <c r="G2389" s="6"/>
      <c r="H2389" s="6"/>
      <c r="I2389" s="6"/>
      <c r="J2389" s="6"/>
      <c r="K2389" s="6"/>
      <c r="L2389" s="6"/>
      <c r="M2389" s="6"/>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c r="BU2389" s="6"/>
      <c r="BV2389" s="6"/>
      <c r="BW2389" s="6"/>
      <c r="BX2389" s="6"/>
      <c r="BY2389" s="6"/>
      <c r="BZ2389" s="6"/>
      <c r="CA2389" s="6"/>
      <c r="CB2389" s="6"/>
      <c r="CC2389" s="6"/>
      <c r="CD2389" s="6"/>
      <c r="CE2389" s="6"/>
      <c r="CF2389" s="6"/>
      <c r="CG2389" s="6"/>
      <c r="CH2389" s="6"/>
      <c r="CI2389" s="6"/>
      <c r="CJ2389" s="6"/>
      <c r="CK2389" s="6"/>
      <c r="CL2389" s="6"/>
      <c r="CM2389" s="6"/>
      <c r="CN2389" s="6"/>
      <c r="CO2389" s="6"/>
      <c r="CP2389" s="6"/>
      <c r="CQ2389" s="6"/>
      <c r="CR2389" s="6"/>
      <c r="CS2389" s="6"/>
      <c r="CT2389" s="6"/>
      <c r="CU2389" s="6"/>
      <c r="CV2389" s="6"/>
      <c r="CW2389" s="6"/>
      <c r="CX2389" s="6"/>
      <c r="CY2389" s="6"/>
      <c r="CZ2389" s="6"/>
      <c r="DA2389" s="6"/>
      <c r="DB2389" s="6"/>
      <c r="DC2389" s="6"/>
      <c r="DD2389" s="6"/>
    </row>
    <row r="2390" spans="1:108" ht="12.75" hidden="1" customHeight="1" outlineLevel="5">
      <c r="A2390" s="104" t="s">
        <v>233</v>
      </c>
      <c r="B2390" s="28">
        <f t="shared" si="131"/>
        <v>0</v>
      </c>
      <c r="C2390" s="11"/>
      <c r="D2390" s="18" t="str">
        <f>"&lt;" &amp; A2390 &amp; "&gt;" &amp; TEXT(B2390,"0.000000") &amp; "&lt;/" &amp; A2390 &amp; "&gt;"</f>
        <v>&lt;Eng_Length&gt;0.000000&lt;/Eng_Length&gt;</v>
      </c>
      <c r="F2390" s="6"/>
      <c r="G2390" s="6"/>
      <c r="H2390" s="6"/>
      <c r="I2390" s="6"/>
      <c r="J2390" s="6"/>
      <c r="K2390" s="6"/>
      <c r="L2390" s="6"/>
      <c r="M2390" s="6"/>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c r="BU2390" s="6"/>
      <c r="BV2390" s="6"/>
      <c r="BW2390" s="6"/>
      <c r="BX2390" s="6"/>
      <c r="BY2390" s="6"/>
      <c r="BZ2390" s="6"/>
      <c r="CA2390" s="6"/>
      <c r="CB2390" s="6"/>
      <c r="CC2390" s="6"/>
      <c r="CD2390" s="6"/>
      <c r="CE2390" s="6"/>
      <c r="CF2390" s="6"/>
      <c r="CG2390" s="6"/>
      <c r="CH2390" s="6"/>
      <c r="CI2390" s="6"/>
      <c r="CJ2390" s="6"/>
      <c r="CK2390" s="6"/>
      <c r="CL2390" s="6"/>
      <c r="CM2390" s="6"/>
      <c r="CN2390" s="6"/>
      <c r="CO2390" s="6"/>
      <c r="CP2390" s="6"/>
      <c r="CQ2390" s="6"/>
      <c r="CR2390" s="6"/>
      <c r="CS2390" s="6"/>
      <c r="CT2390" s="6"/>
      <c r="CU2390" s="6"/>
      <c r="CV2390" s="6"/>
      <c r="CW2390" s="6"/>
      <c r="CX2390" s="6"/>
      <c r="CY2390" s="6"/>
      <c r="CZ2390" s="6"/>
      <c r="DA2390" s="6"/>
      <c r="DB2390" s="6"/>
      <c r="DC2390" s="6"/>
      <c r="DD2390" s="6"/>
    </row>
    <row r="2391" spans="1:108" ht="12.75" hidden="1" customHeight="1" outlineLevel="5">
      <c r="A2391" s="104" t="s">
        <v>234</v>
      </c>
      <c r="B2391" s="28">
        <f t="shared" si="131"/>
        <v>1</v>
      </c>
      <c r="C2391" s="11"/>
      <c r="D2391" s="18" t="str">
        <f>"&lt;" &amp; A2391 &amp; "&gt;" &amp; TEXT(B2391,0) &amp; "&lt;/" &amp; A2391 &amp; "&gt;"</f>
        <v>&lt;Inlet_Type&gt;1&lt;/Inlet_Type&gt;</v>
      </c>
      <c r="F2391" s="6"/>
      <c r="G2391" s="6"/>
      <c r="H2391" s="6"/>
      <c r="I2391" s="6"/>
      <c r="J2391" s="6"/>
      <c r="K2391" s="6"/>
      <c r="L2391" s="6"/>
      <c r="M2391" s="6"/>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c r="BU2391" s="6"/>
      <c r="BV2391" s="6"/>
      <c r="BW2391" s="6"/>
      <c r="BX2391" s="6"/>
      <c r="BY2391" s="6"/>
      <c r="BZ2391" s="6"/>
      <c r="CA2391" s="6"/>
      <c r="CB2391" s="6"/>
      <c r="CC2391" s="6"/>
      <c r="CD2391" s="6"/>
      <c r="CE2391" s="6"/>
      <c r="CF2391" s="6"/>
      <c r="CG2391" s="6"/>
      <c r="CH2391" s="6"/>
      <c r="CI2391" s="6"/>
      <c r="CJ2391" s="6"/>
      <c r="CK2391" s="6"/>
      <c r="CL2391" s="6"/>
      <c r="CM2391" s="6"/>
      <c r="CN2391" s="6"/>
      <c r="CO2391" s="6"/>
      <c r="CP2391" s="6"/>
      <c r="CQ2391" s="6"/>
      <c r="CR2391" s="6"/>
      <c r="CS2391" s="6"/>
      <c r="CT2391" s="6"/>
      <c r="CU2391" s="6"/>
      <c r="CV2391" s="6"/>
      <c r="CW2391" s="6"/>
      <c r="CX2391" s="6"/>
      <c r="CY2391" s="6"/>
      <c r="CZ2391" s="6"/>
      <c r="DA2391" s="6"/>
      <c r="DB2391" s="6"/>
      <c r="DC2391" s="6"/>
      <c r="DD2391" s="6"/>
    </row>
    <row r="2392" spans="1:108" ht="12.75" hidden="1" customHeight="1" outlineLevel="5">
      <c r="A2392" s="104" t="s">
        <v>235</v>
      </c>
      <c r="B2392" s="28">
        <f t="shared" si="131"/>
        <v>0</v>
      </c>
      <c r="C2392" s="11"/>
      <c r="D2392" s="18" t="str">
        <f>"&lt;" &amp; A2392 &amp; "&gt;" &amp; TEXT(B2392,0) &amp; "&lt;/" &amp; A2392 &amp; "&gt;"</f>
        <v>&lt;Inl_Noz_Color&gt;0&lt;/Inl_Noz_Color&gt;</v>
      </c>
      <c r="F2392" s="6"/>
      <c r="G2392" s="6"/>
      <c r="H2392" s="6"/>
      <c r="I2392" s="6"/>
      <c r="J2392" s="6"/>
      <c r="K2392" s="6"/>
      <c r="L2392" s="6"/>
      <c r="M2392" s="6"/>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c r="BU2392" s="6"/>
      <c r="BV2392" s="6"/>
      <c r="BW2392" s="6"/>
      <c r="BX2392" s="6"/>
      <c r="BY2392" s="6"/>
      <c r="BZ2392" s="6"/>
      <c r="CA2392" s="6"/>
      <c r="CB2392" s="6"/>
      <c r="CC2392" s="6"/>
      <c r="CD2392" s="6"/>
      <c r="CE2392" s="6"/>
      <c r="CF2392" s="6"/>
      <c r="CG2392" s="6"/>
      <c r="CH2392" s="6"/>
      <c r="CI2392" s="6"/>
      <c r="CJ2392" s="6"/>
      <c r="CK2392" s="6"/>
      <c r="CL2392" s="6"/>
      <c r="CM2392" s="6"/>
      <c r="CN2392" s="6"/>
      <c r="CO2392" s="6"/>
      <c r="CP2392" s="6"/>
      <c r="CQ2392" s="6"/>
      <c r="CR2392" s="6"/>
      <c r="CS2392" s="6"/>
      <c r="CT2392" s="6"/>
      <c r="CU2392" s="6"/>
      <c r="CV2392" s="6"/>
      <c r="CW2392" s="6"/>
      <c r="CX2392" s="6"/>
      <c r="CY2392" s="6"/>
      <c r="CZ2392" s="6"/>
      <c r="DA2392" s="6"/>
      <c r="DB2392" s="6"/>
      <c r="DC2392" s="6"/>
      <c r="DD2392" s="6"/>
    </row>
    <row r="2393" spans="1:108" ht="12.75" hidden="1" customHeight="1" outlineLevel="5">
      <c r="A2393" s="104" t="s">
        <v>236</v>
      </c>
      <c r="B2393" s="28">
        <f t="shared" si="131"/>
        <v>0</v>
      </c>
      <c r="C2393" s="11"/>
      <c r="D2393" s="18" t="str">
        <f>"&lt;" &amp; A2393 &amp; "&gt;" &amp; TEXT(B2393,0) &amp; "&lt;/" &amp; A2393 &amp; "&gt;"</f>
        <v>&lt;Inlet_XY_Sym_Flag&gt;0&lt;/Inlet_XY_Sym_Flag&gt;</v>
      </c>
      <c r="F2393" s="6"/>
      <c r="G2393" s="6"/>
      <c r="H2393" s="6"/>
      <c r="I2393" s="6"/>
      <c r="J2393" s="6"/>
      <c r="K2393" s="6"/>
      <c r="L2393" s="6"/>
      <c r="M2393" s="6"/>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c r="BU2393" s="6"/>
      <c r="BV2393" s="6"/>
      <c r="BW2393" s="6"/>
      <c r="BX2393" s="6"/>
      <c r="BY2393" s="6"/>
      <c r="BZ2393" s="6"/>
      <c r="CA2393" s="6"/>
      <c r="CB2393" s="6"/>
      <c r="CC2393" s="6"/>
      <c r="CD2393" s="6"/>
      <c r="CE2393" s="6"/>
      <c r="CF2393" s="6"/>
      <c r="CG2393" s="6"/>
      <c r="CH2393" s="6"/>
      <c r="CI2393" s="6"/>
      <c r="CJ2393" s="6"/>
      <c r="CK2393" s="6"/>
      <c r="CL2393" s="6"/>
      <c r="CM2393" s="6"/>
      <c r="CN2393" s="6"/>
      <c r="CO2393" s="6"/>
      <c r="CP2393" s="6"/>
      <c r="CQ2393" s="6"/>
      <c r="CR2393" s="6"/>
      <c r="CS2393" s="6"/>
      <c r="CT2393" s="6"/>
      <c r="CU2393" s="6"/>
      <c r="CV2393" s="6"/>
      <c r="CW2393" s="6"/>
      <c r="CX2393" s="6"/>
      <c r="CY2393" s="6"/>
      <c r="CZ2393" s="6"/>
      <c r="DA2393" s="6"/>
      <c r="DB2393" s="6"/>
      <c r="DC2393" s="6"/>
      <c r="DD2393" s="6"/>
    </row>
    <row r="2394" spans="1:108" ht="12.75" hidden="1" customHeight="1" outlineLevel="5">
      <c r="A2394" s="104" t="s">
        <v>237</v>
      </c>
      <c r="B2394" s="28">
        <f t="shared" si="131"/>
        <v>0</v>
      </c>
      <c r="C2394" s="11"/>
      <c r="D2394" s="18" t="str">
        <f>"&lt;" &amp; A2394 &amp; "&gt;" &amp; TEXT(B2394,0) &amp; "&lt;/" &amp; A2394 &amp; "&gt;"</f>
        <v>&lt;Inlet_Half_Split_Flag&gt;0&lt;/Inlet_Half_Split_Flag&gt;</v>
      </c>
      <c r="F2394" s="6"/>
      <c r="G2394" s="6"/>
      <c r="H2394" s="6"/>
      <c r="I2394" s="6"/>
      <c r="J2394" s="6"/>
      <c r="K2394" s="6"/>
      <c r="L2394" s="6"/>
      <c r="M2394" s="6"/>
      <c r="N2394" s="6"/>
      <c r="O2394" s="6"/>
      <c r="P2394" s="6"/>
      <c r="Q2394" s="6"/>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c r="BU2394" s="6"/>
      <c r="BV2394" s="6"/>
      <c r="BW2394" s="6"/>
      <c r="BX2394" s="6"/>
      <c r="BY2394" s="6"/>
      <c r="BZ2394" s="6"/>
      <c r="CA2394" s="6"/>
      <c r="CB2394" s="6"/>
      <c r="CC2394" s="6"/>
      <c r="CD2394" s="6"/>
      <c r="CE2394" s="6"/>
      <c r="CF2394" s="6"/>
      <c r="CG2394" s="6"/>
      <c r="CH2394" s="6"/>
      <c r="CI2394" s="6"/>
      <c r="CJ2394" s="6"/>
      <c r="CK2394" s="6"/>
      <c r="CL2394" s="6"/>
      <c r="CM2394" s="6"/>
      <c r="CN2394" s="6"/>
      <c r="CO2394" s="6"/>
      <c r="CP2394" s="6"/>
      <c r="CQ2394" s="6"/>
      <c r="CR2394" s="6"/>
      <c r="CS2394" s="6"/>
      <c r="CT2394" s="6"/>
      <c r="CU2394" s="6"/>
      <c r="CV2394" s="6"/>
      <c r="CW2394" s="6"/>
      <c r="CX2394" s="6"/>
      <c r="CY2394" s="6"/>
      <c r="CZ2394" s="6"/>
      <c r="DA2394" s="6"/>
      <c r="DB2394" s="6"/>
      <c r="DC2394" s="6"/>
      <c r="DD2394" s="6"/>
    </row>
    <row r="2395" spans="1:108" ht="12.75" hidden="1" customHeight="1" outlineLevel="5">
      <c r="A2395" s="104" t="s">
        <v>238</v>
      </c>
      <c r="B2395" s="28">
        <f t="shared" si="131"/>
        <v>1E-3</v>
      </c>
      <c r="C2395" s="11"/>
      <c r="D2395" s="18" t="str">
        <f t="shared" ref="D2395:D2403" si="132">"&lt;" &amp; A2395 &amp; "&gt;" &amp; TEXT(B2395,"0.000000") &amp; "&lt;/" &amp; A2395 &amp; "&gt;"</f>
        <v>&lt;Cowl_Length&gt;0.001000&lt;/Cowl_Length&gt;</v>
      </c>
      <c r="F2395" s="6"/>
      <c r="G2395" s="6"/>
      <c r="H2395" s="6"/>
      <c r="I2395" s="6"/>
      <c r="J2395" s="6"/>
      <c r="K2395" s="6"/>
      <c r="L2395" s="6"/>
      <c r="M2395" s="6"/>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c r="BU2395" s="6"/>
      <c r="BV2395" s="6"/>
      <c r="BW2395" s="6"/>
      <c r="BX2395" s="6"/>
      <c r="BY2395" s="6"/>
      <c r="BZ2395" s="6"/>
      <c r="CA2395" s="6"/>
      <c r="CB2395" s="6"/>
      <c r="CC2395" s="6"/>
      <c r="CD2395" s="6"/>
      <c r="CE2395" s="6"/>
      <c r="CF2395" s="6"/>
      <c r="CG2395" s="6"/>
      <c r="CH2395" s="6"/>
      <c r="CI2395" s="6"/>
      <c r="CJ2395" s="6"/>
      <c r="CK2395" s="6"/>
      <c r="CL2395" s="6"/>
      <c r="CM2395" s="6"/>
      <c r="CN2395" s="6"/>
      <c r="CO2395" s="6"/>
      <c r="CP2395" s="6"/>
      <c r="CQ2395" s="6"/>
      <c r="CR2395" s="6"/>
      <c r="CS2395" s="6"/>
      <c r="CT2395" s="6"/>
      <c r="CU2395" s="6"/>
      <c r="CV2395" s="6"/>
      <c r="CW2395" s="6"/>
      <c r="CX2395" s="6"/>
      <c r="CY2395" s="6"/>
      <c r="CZ2395" s="6"/>
      <c r="DA2395" s="6"/>
      <c r="DB2395" s="6"/>
      <c r="DC2395" s="6"/>
      <c r="DD2395" s="6"/>
    </row>
    <row r="2396" spans="1:108" ht="12.75" hidden="1" customHeight="1" outlineLevel="5">
      <c r="A2396" s="104" t="s">
        <v>239</v>
      </c>
      <c r="B2396" s="28">
        <f t="shared" si="131"/>
        <v>1.5</v>
      </c>
      <c r="C2396" s="11"/>
      <c r="D2396" s="18" t="str">
        <f t="shared" si="132"/>
        <v>&lt;Eng_Thrt_Ratio&gt;1.500000&lt;/Eng_Thrt_Ratio&gt;</v>
      </c>
      <c r="F2396" s="6"/>
      <c r="G2396" s="6"/>
      <c r="H2396" s="6"/>
      <c r="I2396" s="6"/>
      <c r="J2396" s="6"/>
      <c r="K2396" s="6"/>
      <c r="L2396" s="6"/>
      <c r="M2396" s="6"/>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c r="BU2396" s="6"/>
      <c r="BV2396" s="6"/>
      <c r="BW2396" s="6"/>
      <c r="BX2396" s="6"/>
      <c r="BY2396" s="6"/>
      <c r="BZ2396" s="6"/>
      <c r="CA2396" s="6"/>
      <c r="CB2396" s="6"/>
      <c r="CC2396" s="6"/>
      <c r="CD2396" s="6"/>
      <c r="CE2396" s="6"/>
      <c r="CF2396" s="6"/>
      <c r="CG2396" s="6"/>
      <c r="CH2396" s="6"/>
      <c r="CI2396" s="6"/>
      <c r="CJ2396" s="6"/>
      <c r="CK2396" s="6"/>
      <c r="CL2396" s="6"/>
      <c r="CM2396" s="6"/>
      <c r="CN2396" s="6"/>
      <c r="CO2396" s="6"/>
      <c r="CP2396" s="6"/>
      <c r="CQ2396" s="6"/>
      <c r="CR2396" s="6"/>
      <c r="CS2396" s="6"/>
      <c r="CT2396" s="6"/>
      <c r="CU2396" s="6"/>
      <c r="CV2396" s="6"/>
      <c r="CW2396" s="6"/>
      <c r="CX2396" s="6"/>
      <c r="CY2396" s="6"/>
      <c r="CZ2396" s="6"/>
      <c r="DA2396" s="6"/>
      <c r="DB2396" s="6"/>
      <c r="DC2396" s="6"/>
      <c r="DD2396" s="6"/>
    </row>
    <row r="2397" spans="1:108" ht="12.75" hidden="1" customHeight="1" outlineLevel="5">
      <c r="A2397" s="104" t="s">
        <v>240</v>
      </c>
      <c r="B2397" s="28">
        <f t="shared" si="131"/>
        <v>1.3</v>
      </c>
      <c r="C2397" s="11"/>
      <c r="D2397" s="18" t="str">
        <f t="shared" si="132"/>
        <v>&lt;Hilight_Thrt_Ratio&gt;1.300000&lt;/Hilight_Thrt_Ratio&gt;</v>
      </c>
      <c r="F2397" s="6"/>
      <c r="G2397" s="6"/>
      <c r="H2397" s="6"/>
      <c r="I2397" s="6"/>
      <c r="J2397" s="6"/>
      <c r="K2397" s="6"/>
      <c r="L2397" s="6"/>
      <c r="M2397" s="6"/>
      <c r="N2397" s="6"/>
      <c r="O2397" s="6"/>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c r="BU2397" s="6"/>
      <c r="BV2397" s="6"/>
      <c r="BW2397" s="6"/>
      <c r="BX2397" s="6"/>
      <c r="BY2397" s="6"/>
      <c r="BZ2397" s="6"/>
      <c r="CA2397" s="6"/>
      <c r="CB2397" s="6"/>
      <c r="CC2397" s="6"/>
      <c r="CD2397" s="6"/>
      <c r="CE2397" s="6"/>
      <c r="CF2397" s="6"/>
      <c r="CG2397" s="6"/>
      <c r="CH2397" s="6"/>
      <c r="CI2397" s="6"/>
      <c r="CJ2397" s="6"/>
      <c r="CK2397" s="6"/>
      <c r="CL2397" s="6"/>
      <c r="CM2397" s="6"/>
      <c r="CN2397" s="6"/>
      <c r="CO2397" s="6"/>
      <c r="CP2397" s="6"/>
      <c r="CQ2397" s="6"/>
      <c r="CR2397" s="6"/>
      <c r="CS2397" s="6"/>
      <c r="CT2397" s="6"/>
      <c r="CU2397" s="6"/>
      <c r="CV2397" s="6"/>
      <c r="CW2397" s="6"/>
      <c r="CX2397" s="6"/>
      <c r="CY2397" s="6"/>
      <c r="CZ2397" s="6"/>
      <c r="DA2397" s="6"/>
      <c r="DB2397" s="6"/>
      <c r="DC2397" s="6"/>
      <c r="DD2397" s="6"/>
    </row>
    <row r="2398" spans="1:108" ht="12.75" hidden="1" customHeight="1" outlineLevel="5">
      <c r="A2398" s="104" t="s">
        <v>241</v>
      </c>
      <c r="B2398" s="28">
        <f t="shared" si="131"/>
        <v>1.9</v>
      </c>
      <c r="C2398" s="11"/>
      <c r="D2398" s="18" t="str">
        <f t="shared" si="132"/>
        <v>&lt;Lip_Finess_Ratio&gt;1.900000&lt;/Lip_Finess_Ratio&gt;</v>
      </c>
      <c r="F2398" s="6"/>
      <c r="G2398" s="6"/>
      <c r="H2398" s="6"/>
      <c r="I2398" s="6"/>
      <c r="J2398" s="6"/>
      <c r="K2398" s="6"/>
      <c r="L2398" s="6"/>
      <c r="M2398" s="6"/>
      <c r="N2398" s="6"/>
      <c r="O2398" s="6"/>
      <c r="P2398" s="6"/>
      <c r="Q2398" s="6"/>
      <c r="R2398" s="6"/>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c r="BU2398" s="6"/>
      <c r="BV2398" s="6"/>
      <c r="BW2398" s="6"/>
      <c r="BX2398" s="6"/>
      <c r="BY2398" s="6"/>
      <c r="BZ2398" s="6"/>
      <c r="CA2398" s="6"/>
      <c r="CB2398" s="6"/>
      <c r="CC2398" s="6"/>
      <c r="CD2398" s="6"/>
      <c r="CE2398" s="6"/>
      <c r="CF2398" s="6"/>
      <c r="CG2398" s="6"/>
      <c r="CH2398" s="6"/>
      <c r="CI2398" s="6"/>
      <c r="CJ2398" s="6"/>
      <c r="CK2398" s="6"/>
      <c r="CL2398" s="6"/>
      <c r="CM2398" s="6"/>
      <c r="CN2398" s="6"/>
      <c r="CO2398" s="6"/>
      <c r="CP2398" s="6"/>
      <c r="CQ2398" s="6"/>
      <c r="CR2398" s="6"/>
      <c r="CS2398" s="6"/>
      <c r="CT2398" s="6"/>
      <c r="CU2398" s="6"/>
      <c r="CV2398" s="6"/>
      <c r="CW2398" s="6"/>
      <c r="CX2398" s="6"/>
      <c r="CY2398" s="6"/>
      <c r="CZ2398" s="6"/>
      <c r="DA2398" s="6"/>
      <c r="DB2398" s="6"/>
      <c r="DC2398" s="6"/>
      <c r="DD2398" s="6"/>
    </row>
    <row r="2399" spans="1:108" ht="12.75" hidden="1" customHeight="1" outlineLevel="5">
      <c r="A2399" s="104" t="s">
        <v>242</v>
      </c>
      <c r="B2399" s="28">
        <f t="shared" si="131"/>
        <v>1</v>
      </c>
      <c r="C2399" s="11"/>
      <c r="D2399" s="18" t="str">
        <f t="shared" si="132"/>
        <v>&lt;Height_Width_Ratio&gt;1.000000&lt;/Height_Width_Ratio&gt;</v>
      </c>
      <c r="F2399" s="6"/>
      <c r="G2399" s="6"/>
      <c r="H2399" s="6"/>
      <c r="I2399" s="6"/>
      <c r="J2399" s="6"/>
      <c r="K2399" s="6"/>
      <c r="L2399" s="6"/>
      <c r="M2399" s="6"/>
      <c r="N2399" s="6"/>
      <c r="O2399" s="6"/>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c r="BU2399" s="6"/>
      <c r="BV2399" s="6"/>
      <c r="BW2399" s="6"/>
      <c r="BX2399" s="6"/>
      <c r="BY2399" s="6"/>
      <c r="BZ2399" s="6"/>
      <c r="CA2399" s="6"/>
      <c r="CB2399" s="6"/>
      <c r="CC2399" s="6"/>
      <c r="CD2399" s="6"/>
      <c r="CE2399" s="6"/>
      <c r="CF2399" s="6"/>
      <c r="CG2399" s="6"/>
      <c r="CH2399" s="6"/>
      <c r="CI2399" s="6"/>
      <c r="CJ2399" s="6"/>
      <c r="CK2399" s="6"/>
      <c r="CL2399" s="6"/>
      <c r="CM2399" s="6"/>
      <c r="CN2399" s="6"/>
      <c r="CO2399" s="6"/>
      <c r="CP2399" s="6"/>
      <c r="CQ2399" s="6"/>
      <c r="CR2399" s="6"/>
      <c r="CS2399" s="6"/>
      <c r="CT2399" s="6"/>
      <c r="CU2399" s="6"/>
      <c r="CV2399" s="6"/>
      <c r="CW2399" s="6"/>
      <c r="CX2399" s="6"/>
      <c r="CY2399" s="6"/>
      <c r="CZ2399" s="6"/>
      <c r="DA2399" s="6"/>
      <c r="DB2399" s="6"/>
      <c r="DC2399" s="6"/>
      <c r="DD2399" s="6"/>
    </row>
    <row r="2400" spans="1:108" ht="12.75" hidden="1" customHeight="1" outlineLevel="5">
      <c r="A2400" s="104" t="s">
        <v>243</v>
      </c>
      <c r="B2400" s="28">
        <f t="shared" si="131"/>
        <v>-1.3</v>
      </c>
      <c r="C2400" s="11"/>
      <c r="D2400" s="18" t="str">
        <f t="shared" si="132"/>
        <v>&lt;Upper_Surf_Shape_Factor&gt;-1.300000&lt;/Upper_Surf_Shape_Factor&gt;</v>
      </c>
      <c r="F2400" s="6"/>
      <c r="G2400" s="6"/>
      <c r="H2400" s="6"/>
      <c r="I2400" s="6"/>
      <c r="J2400" s="6"/>
      <c r="K2400" s="6"/>
      <c r="L2400" s="6"/>
      <c r="M2400" s="6"/>
      <c r="N2400" s="6"/>
      <c r="O2400" s="6"/>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c r="BU2400" s="6"/>
      <c r="BV2400" s="6"/>
      <c r="BW2400" s="6"/>
      <c r="BX2400" s="6"/>
      <c r="BY2400" s="6"/>
      <c r="BZ2400" s="6"/>
      <c r="CA2400" s="6"/>
      <c r="CB2400" s="6"/>
      <c r="CC2400" s="6"/>
      <c r="CD2400" s="6"/>
      <c r="CE2400" s="6"/>
      <c r="CF2400" s="6"/>
      <c r="CG2400" s="6"/>
      <c r="CH2400" s="6"/>
      <c r="CI2400" s="6"/>
      <c r="CJ2400" s="6"/>
      <c r="CK2400" s="6"/>
      <c r="CL2400" s="6"/>
      <c r="CM2400" s="6"/>
      <c r="CN2400" s="6"/>
      <c r="CO2400" s="6"/>
      <c r="CP2400" s="6"/>
      <c r="CQ2400" s="6"/>
      <c r="CR2400" s="6"/>
      <c r="CS2400" s="6"/>
      <c r="CT2400" s="6"/>
      <c r="CU2400" s="6"/>
      <c r="CV2400" s="6"/>
      <c r="CW2400" s="6"/>
      <c r="CX2400" s="6"/>
      <c r="CY2400" s="6"/>
      <c r="CZ2400" s="6"/>
      <c r="DA2400" s="6"/>
      <c r="DB2400" s="6"/>
      <c r="DC2400" s="6"/>
      <c r="DD2400" s="6"/>
    </row>
    <row r="2401" spans="1:108" ht="12.75" hidden="1" customHeight="1" outlineLevel="5">
      <c r="A2401" s="104" t="s">
        <v>244</v>
      </c>
      <c r="B2401" s="28">
        <f t="shared" si="131"/>
        <v>0.7</v>
      </c>
      <c r="C2401" s="11"/>
      <c r="D2401" s="18" t="str">
        <f t="shared" si="132"/>
        <v>&lt;Lower_Surf_Shape_Factor&gt;0.700000&lt;/Lower_Surf_Shape_Factor&gt;</v>
      </c>
      <c r="F2401" s="6"/>
      <c r="G2401" s="6"/>
      <c r="H2401" s="6"/>
      <c r="I2401" s="6"/>
      <c r="J2401" s="6"/>
      <c r="K2401" s="6"/>
      <c r="L2401" s="6"/>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c r="BU2401" s="6"/>
      <c r="BV2401" s="6"/>
      <c r="BW2401" s="6"/>
      <c r="BX2401" s="6"/>
      <c r="BY2401" s="6"/>
      <c r="BZ2401" s="6"/>
      <c r="CA2401" s="6"/>
      <c r="CB2401" s="6"/>
      <c r="CC2401" s="6"/>
      <c r="CD2401" s="6"/>
      <c r="CE2401" s="6"/>
      <c r="CF2401" s="6"/>
      <c r="CG2401" s="6"/>
      <c r="CH2401" s="6"/>
      <c r="CI2401" s="6"/>
      <c r="CJ2401" s="6"/>
      <c r="CK2401" s="6"/>
      <c r="CL2401" s="6"/>
      <c r="CM2401" s="6"/>
      <c r="CN2401" s="6"/>
      <c r="CO2401" s="6"/>
      <c r="CP2401" s="6"/>
      <c r="CQ2401" s="6"/>
      <c r="CR2401" s="6"/>
      <c r="CS2401" s="6"/>
      <c r="CT2401" s="6"/>
      <c r="CU2401" s="6"/>
      <c r="CV2401" s="6"/>
      <c r="CW2401" s="6"/>
      <c r="CX2401" s="6"/>
      <c r="CY2401" s="6"/>
      <c r="CZ2401" s="6"/>
      <c r="DA2401" s="6"/>
      <c r="DB2401" s="6"/>
      <c r="DC2401" s="6"/>
      <c r="DD2401" s="6"/>
    </row>
    <row r="2402" spans="1:108" ht="12.75" hidden="1" customHeight="1" outlineLevel="5">
      <c r="A2402" s="104" t="s">
        <v>245</v>
      </c>
      <c r="B2402" s="28">
        <f t="shared" si="131"/>
        <v>0</v>
      </c>
      <c r="C2402" s="11"/>
      <c r="D2402" s="18" t="str">
        <f t="shared" si="132"/>
        <v>&lt;Inlet_X_Axis_Rot&gt;0.000000&lt;/Inlet_X_Axis_Rot&gt;</v>
      </c>
      <c r="F2402" s="6"/>
      <c r="G2402" s="6"/>
      <c r="H2402" s="6"/>
      <c r="I2402" s="6"/>
      <c r="J2402" s="6"/>
      <c r="K2402" s="6"/>
      <c r="L2402" s="6"/>
      <c r="M2402" s="6"/>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c r="BU2402" s="6"/>
      <c r="BV2402" s="6"/>
      <c r="BW2402" s="6"/>
      <c r="BX2402" s="6"/>
      <c r="BY2402" s="6"/>
      <c r="BZ2402" s="6"/>
      <c r="CA2402" s="6"/>
      <c r="CB2402" s="6"/>
      <c r="CC2402" s="6"/>
      <c r="CD2402" s="6"/>
      <c r="CE2402" s="6"/>
      <c r="CF2402" s="6"/>
      <c r="CG2402" s="6"/>
      <c r="CH2402" s="6"/>
      <c r="CI2402" s="6"/>
      <c r="CJ2402" s="6"/>
      <c r="CK2402" s="6"/>
      <c r="CL2402" s="6"/>
      <c r="CM2402" s="6"/>
      <c r="CN2402" s="6"/>
      <c r="CO2402" s="6"/>
      <c r="CP2402" s="6"/>
      <c r="CQ2402" s="6"/>
      <c r="CR2402" s="6"/>
      <c r="CS2402" s="6"/>
      <c r="CT2402" s="6"/>
      <c r="CU2402" s="6"/>
      <c r="CV2402" s="6"/>
      <c r="CW2402" s="6"/>
      <c r="CX2402" s="6"/>
      <c r="CY2402" s="6"/>
      <c r="CZ2402" s="6"/>
      <c r="DA2402" s="6"/>
      <c r="DB2402" s="6"/>
      <c r="DC2402" s="6"/>
      <c r="DD2402" s="6"/>
    </row>
    <row r="2403" spans="1:108" ht="12.75" hidden="1" customHeight="1" outlineLevel="5">
      <c r="A2403" s="104" t="s">
        <v>246</v>
      </c>
      <c r="B2403" s="28">
        <f t="shared" si="131"/>
        <v>0</v>
      </c>
      <c r="C2403" s="11"/>
      <c r="D2403" s="18" t="str">
        <f t="shared" si="132"/>
        <v>&lt;Inlet_Scarf_Angle&gt;0.000000&lt;/Inlet_Scarf_Angle&gt;</v>
      </c>
      <c r="F2403" s="6"/>
      <c r="G2403" s="6"/>
      <c r="H2403" s="6"/>
      <c r="I2403" s="6"/>
      <c r="J2403" s="6"/>
      <c r="K2403" s="6"/>
      <c r="L2403" s="6"/>
      <c r="M2403" s="6"/>
      <c r="N2403" s="6"/>
      <c r="O2403" s="6"/>
      <c r="P2403" s="6"/>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c r="BU2403" s="6"/>
      <c r="BV2403" s="6"/>
      <c r="BW2403" s="6"/>
      <c r="BX2403" s="6"/>
      <c r="BY2403" s="6"/>
      <c r="BZ2403" s="6"/>
      <c r="CA2403" s="6"/>
      <c r="CB2403" s="6"/>
      <c r="CC2403" s="6"/>
      <c r="CD2403" s="6"/>
      <c r="CE2403" s="6"/>
      <c r="CF2403" s="6"/>
      <c r="CG2403" s="6"/>
      <c r="CH2403" s="6"/>
      <c r="CI2403" s="6"/>
      <c r="CJ2403" s="6"/>
      <c r="CK2403" s="6"/>
      <c r="CL2403" s="6"/>
      <c r="CM2403" s="6"/>
      <c r="CN2403" s="6"/>
      <c r="CO2403" s="6"/>
      <c r="CP2403" s="6"/>
      <c r="CQ2403" s="6"/>
      <c r="CR2403" s="6"/>
      <c r="CS2403" s="6"/>
      <c r="CT2403" s="6"/>
      <c r="CU2403" s="6"/>
      <c r="CV2403" s="6"/>
      <c r="CW2403" s="6"/>
      <c r="CX2403" s="6"/>
      <c r="CY2403" s="6"/>
      <c r="CZ2403" s="6"/>
      <c r="DA2403" s="6"/>
      <c r="DB2403" s="6"/>
      <c r="DC2403" s="6"/>
      <c r="DD2403" s="6"/>
    </row>
    <row r="2404" spans="1:108" ht="12.75" hidden="1" customHeight="1" outlineLevel="5">
      <c r="A2404" s="104" t="s">
        <v>247</v>
      </c>
      <c r="B2404" s="28">
        <f t="shared" si="131"/>
        <v>0</v>
      </c>
      <c r="C2404" s="11"/>
      <c r="D2404" s="18" t="str">
        <f>"&lt;" &amp; A2404 &amp; "&gt;" &amp; TEXT(B2404,0) &amp; "&lt;/" &amp; A2404 &amp; "&gt;"</f>
        <v>&lt;Inlet_Duct_On_Off&gt;0&lt;/Inlet_Duct_On_Off&gt;</v>
      </c>
      <c r="F2404" s="6"/>
      <c r="G2404" s="6"/>
      <c r="H2404" s="6"/>
      <c r="I2404" s="6"/>
      <c r="J2404" s="6"/>
      <c r="K2404" s="6"/>
      <c r="L2404" s="6"/>
      <c r="M2404" s="6"/>
      <c r="N2404" s="6"/>
      <c r="O2404" s="6"/>
      <c r="P2404" s="6"/>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c r="BU2404" s="6"/>
      <c r="BV2404" s="6"/>
      <c r="BW2404" s="6"/>
      <c r="BX2404" s="6"/>
      <c r="BY2404" s="6"/>
      <c r="BZ2404" s="6"/>
      <c r="CA2404" s="6"/>
      <c r="CB2404" s="6"/>
      <c r="CC2404" s="6"/>
      <c r="CD2404" s="6"/>
      <c r="CE2404" s="6"/>
      <c r="CF2404" s="6"/>
      <c r="CG2404" s="6"/>
      <c r="CH2404" s="6"/>
      <c r="CI2404" s="6"/>
      <c r="CJ2404" s="6"/>
      <c r="CK2404" s="6"/>
      <c r="CL2404" s="6"/>
      <c r="CM2404" s="6"/>
      <c r="CN2404" s="6"/>
      <c r="CO2404" s="6"/>
      <c r="CP2404" s="6"/>
      <c r="CQ2404" s="6"/>
      <c r="CR2404" s="6"/>
      <c r="CS2404" s="6"/>
      <c r="CT2404" s="6"/>
      <c r="CU2404" s="6"/>
      <c r="CV2404" s="6"/>
      <c r="CW2404" s="6"/>
      <c r="CX2404" s="6"/>
      <c r="CY2404" s="6"/>
      <c r="CZ2404" s="6"/>
      <c r="DA2404" s="6"/>
      <c r="DB2404" s="6"/>
      <c r="DC2404" s="6"/>
      <c r="DD2404" s="6"/>
    </row>
    <row r="2405" spans="1:108" ht="12.75" hidden="1" customHeight="1" outlineLevel="5">
      <c r="A2405" s="104" t="s">
        <v>248</v>
      </c>
      <c r="B2405" s="28">
        <f t="shared" si="131"/>
        <v>3</v>
      </c>
      <c r="C2405" s="11"/>
      <c r="D2405" s="18" t="str">
        <f>"&lt;" &amp; A2405 &amp; "&gt;" &amp; TEXT(B2405,"0.000000") &amp; "&lt;/" &amp; A2405 &amp; "&gt;"</f>
        <v>&lt;Inlet_Duct_X_Offset&gt;3.000000&lt;/Inlet_Duct_X_Offset&gt;</v>
      </c>
      <c r="F2405" s="6"/>
      <c r="G2405" s="6"/>
      <c r="H2405" s="6"/>
      <c r="I2405" s="6"/>
      <c r="J2405" s="6"/>
      <c r="K2405" s="6"/>
      <c r="L2405" s="6"/>
      <c r="M2405" s="6"/>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c r="BU2405" s="6"/>
      <c r="BV2405" s="6"/>
      <c r="BW2405" s="6"/>
      <c r="BX2405" s="6"/>
      <c r="BY2405" s="6"/>
      <c r="BZ2405" s="6"/>
      <c r="CA2405" s="6"/>
      <c r="CB2405" s="6"/>
      <c r="CC2405" s="6"/>
      <c r="CD2405" s="6"/>
      <c r="CE2405" s="6"/>
      <c r="CF2405" s="6"/>
      <c r="CG2405" s="6"/>
      <c r="CH2405" s="6"/>
      <c r="CI2405" s="6"/>
      <c r="CJ2405" s="6"/>
      <c r="CK2405" s="6"/>
      <c r="CL2405" s="6"/>
      <c r="CM2405" s="6"/>
      <c r="CN2405" s="6"/>
      <c r="CO2405" s="6"/>
      <c r="CP2405" s="6"/>
      <c r="CQ2405" s="6"/>
      <c r="CR2405" s="6"/>
      <c r="CS2405" s="6"/>
      <c r="CT2405" s="6"/>
      <c r="CU2405" s="6"/>
      <c r="CV2405" s="6"/>
      <c r="CW2405" s="6"/>
      <c r="CX2405" s="6"/>
      <c r="CY2405" s="6"/>
      <c r="CZ2405" s="6"/>
      <c r="DA2405" s="6"/>
      <c r="DB2405" s="6"/>
      <c r="DC2405" s="6"/>
      <c r="DD2405" s="6"/>
    </row>
    <row r="2406" spans="1:108" ht="12.75" hidden="1" customHeight="1" outlineLevel="5">
      <c r="A2406" s="104" t="s">
        <v>249</v>
      </c>
      <c r="B2406" s="28">
        <f t="shared" si="131"/>
        <v>1</v>
      </c>
      <c r="C2406" s="11"/>
      <c r="D2406" s="18" t="str">
        <f>"&lt;" &amp; A2406 &amp; "&gt;" &amp; TEXT(B2406,"0.000000") &amp; "&lt;/" &amp; A2406 &amp; "&gt;"</f>
        <v>&lt;Inlet_Duct_Y_Offset&gt;1.000000&lt;/Inlet_Duct_Y_Offset&gt;</v>
      </c>
      <c r="F2406" s="6"/>
      <c r="G2406" s="6"/>
      <c r="H2406" s="6"/>
      <c r="I2406" s="6"/>
      <c r="J2406" s="6"/>
      <c r="K2406" s="6"/>
      <c r="L2406" s="6"/>
      <c r="M2406" s="6"/>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c r="BU2406" s="6"/>
      <c r="BV2406" s="6"/>
      <c r="BW2406" s="6"/>
      <c r="BX2406" s="6"/>
      <c r="BY2406" s="6"/>
      <c r="BZ2406" s="6"/>
      <c r="CA2406" s="6"/>
      <c r="CB2406" s="6"/>
      <c r="CC2406" s="6"/>
      <c r="CD2406" s="6"/>
      <c r="CE2406" s="6"/>
      <c r="CF2406" s="6"/>
      <c r="CG2406" s="6"/>
      <c r="CH2406" s="6"/>
      <c r="CI2406" s="6"/>
      <c r="CJ2406" s="6"/>
      <c r="CK2406" s="6"/>
      <c r="CL2406" s="6"/>
      <c r="CM2406" s="6"/>
      <c r="CN2406" s="6"/>
      <c r="CO2406" s="6"/>
      <c r="CP2406" s="6"/>
      <c r="CQ2406" s="6"/>
      <c r="CR2406" s="6"/>
      <c r="CS2406" s="6"/>
      <c r="CT2406" s="6"/>
      <c r="CU2406" s="6"/>
      <c r="CV2406" s="6"/>
      <c r="CW2406" s="6"/>
      <c r="CX2406" s="6"/>
      <c r="CY2406" s="6"/>
      <c r="CZ2406" s="6"/>
      <c r="DA2406" s="6"/>
      <c r="DB2406" s="6"/>
      <c r="DC2406" s="6"/>
      <c r="DD2406" s="6"/>
    </row>
    <row r="2407" spans="1:108" ht="12.75" hidden="1" customHeight="1" outlineLevel="5">
      <c r="A2407" s="104" t="s">
        <v>250</v>
      </c>
      <c r="B2407" s="28">
        <f t="shared" si="131"/>
        <v>0.5</v>
      </c>
      <c r="C2407" s="11"/>
      <c r="D2407" s="18" t="str">
        <f>"&lt;" &amp; A2407 &amp; "&gt;" &amp; TEXT(B2407,"0.000000") &amp; "&lt;/" &amp; A2407 &amp; "&gt;"</f>
        <v>&lt;Inlet_Duct_Shape_Factor&gt;0.500000&lt;/Inlet_Duct_Shape_Factor&gt;</v>
      </c>
      <c r="F2407" s="6"/>
      <c r="G2407" s="6"/>
      <c r="H2407" s="6"/>
      <c r="I2407" s="6"/>
      <c r="J2407" s="6"/>
      <c r="K2407" s="6"/>
      <c r="L2407" s="6"/>
      <c r="M2407" s="6"/>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c r="BU2407" s="6"/>
      <c r="BV2407" s="6"/>
      <c r="BW2407" s="6"/>
      <c r="BX2407" s="6"/>
      <c r="BY2407" s="6"/>
      <c r="BZ2407" s="6"/>
      <c r="CA2407" s="6"/>
      <c r="CB2407" s="6"/>
      <c r="CC2407" s="6"/>
      <c r="CD2407" s="6"/>
      <c r="CE2407" s="6"/>
      <c r="CF2407" s="6"/>
      <c r="CG2407" s="6"/>
      <c r="CH2407" s="6"/>
      <c r="CI2407" s="6"/>
      <c r="CJ2407" s="6"/>
      <c r="CK2407" s="6"/>
      <c r="CL2407" s="6"/>
      <c r="CM2407" s="6"/>
      <c r="CN2407" s="6"/>
      <c r="CO2407" s="6"/>
      <c r="CP2407" s="6"/>
      <c r="CQ2407" s="6"/>
      <c r="CR2407" s="6"/>
      <c r="CS2407" s="6"/>
      <c r="CT2407" s="6"/>
      <c r="CU2407" s="6"/>
      <c r="CV2407" s="6"/>
      <c r="CW2407" s="6"/>
      <c r="CX2407" s="6"/>
      <c r="CY2407" s="6"/>
      <c r="CZ2407" s="6"/>
      <c r="DA2407" s="6"/>
      <c r="DB2407" s="6"/>
      <c r="DC2407" s="6"/>
      <c r="DD2407" s="6"/>
    </row>
    <row r="2408" spans="1:108" ht="12.75" hidden="1" customHeight="1" outlineLevel="5">
      <c r="A2408" s="104" t="s">
        <v>251</v>
      </c>
      <c r="B2408" s="28">
        <f t="shared" si="131"/>
        <v>0</v>
      </c>
      <c r="C2408" s="11"/>
      <c r="D2408" s="18" t="str">
        <f>"&lt;" &amp; A2408 &amp; "&gt;" &amp; TEXT(B2408,0) &amp; "&lt;/" &amp; A2408 &amp; "&gt;"</f>
        <v>&lt;Divertor_On_Off&gt;0&lt;/Divertor_On_Off&gt;</v>
      </c>
      <c r="F2408" s="6"/>
      <c r="G2408" s="6"/>
      <c r="H2408" s="6"/>
      <c r="I2408" s="6"/>
      <c r="J2408" s="6"/>
      <c r="K2408" s="6"/>
      <c r="L2408" s="6"/>
      <c r="M2408" s="6"/>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c r="BU2408" s="6"/>
      <c r="BV2408" s="6"/>
      <c r="BW2408" s="6"/>
      <c r="BX2408" s="6"/>
      <c r="BY2408" s="6"/>
      <c r="BZ2408" s="6"/>
      <c r="CA2408" s="6"/>
      <c r="CB2408" s="6"/>
      <c r="CC2408" s="6"/>
      <c r="CD2408" s="6"/>
      <c r="CE2408" s="6"/>
      <c r="CF2408" s="6"/>
      <c r="CG2408" s="6"/>
      <c r="CH2408" s="6"/>
      <c r="CI2408" s="6"/>
      <c r="CJ2408" s="6"/>
      <c r="CK2408" s="6"/>
      <c r="CL2408" s="6"/>
      <c r="CM2408" s="6"/>
      <c r="CN2408" s="6"/>
      <c r="CO2408" s="6"/>
      <c r="CP2408" s="6"/>
      <c r="CQ2408" s="6"/>
      <c r="CR2408" s="6"/>
      <c r="CS2408" s="6"/>
      <c r="CT2408" s="6"/>
      <c r="CU2408" s="6"/>
      <c r="CV2408" s="6"/>
      <c r="CW2408" s="6"/>
      <c r="CX2408" s="6"/>
      <c r="CY2408" s="6"/>
      <c r="CZ2408" s="6"/>
      <c r="DA2408" s="6"/>
      <c r="DB2408" s="6"/>
      <c r="DC2408" s="6"/>
      <c r="DD2408" s="6"/>
    </row>
    <row r="2409" spans="1:108" ht="12.75" hidden="1" customHeight="1" outlineLevel="5">
      <c r="A2409" s="104" t="s">
        <v>252</v>
      </c>
      <c r="B2409" s="28">
        <f t="shared" si="131"/>
        <v>0.5</v>
      </c>
      <c r="C2409" s="11"/>
      <c r="D2409" s="18" t="str">
        <f>"&lt;" &amp; A2409 &amp; "&gt;" &amp; TEXT(B2409,"0.000000") &amp; "&lt;/" &amp; A2409 &amp; "&gt;"</f>
        <v>&lt;Divertor_Height&gt;0.500000&lt;/Divertor_Height&gt;</v>
      </c>
      <c r="F2409" s="6"/>
      <c r="G2409" s="6"/>
      <c r="H2409" s="6"/>
      <c r="I2409" s="6"/>
      <c r="J2409" s="6"/>
      <c r="K2409" s="6"/>
      <c r="L2409" s="6"/>
      <c r="M2409" s="6"/>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c r="BU2409" s="6"/>
      <c r="BV2409" s="6"/>
      <c r="BW2409" s="6"/>
      <c r="BX2409" s="6"/>
      <c r="BY2409" s="6"/>
      <c r="BZ2409" s="6"/>
      <c r="CA2409" s="6"/>
      <c r="CB2409" s="6"/>
      <c r="CC2409" s="6"/>
      <c r="CD2409" s="6"/>
      <c r="CE2409" s="6"/>
      <c r="CF2409" s="6"/>
      <c r="CG2409" s="6"/>
      <c r="CH2409" s="6"/>
      <c r="CI2409" s="6"/>
      <c r="CJ2409" s="6"/>
      <c r="CK2409" s="6"/>
      <c r="CL2409" s="6"/>
      <c r="CM2409" s="6"/>
      <c r="CN2409" s="6"/>
      <c r="CO2409" s="6"/>
      <c r="CP2409" s="6"/>
      <c r="CQ2409" s="6"/>
      <c r="CR2409" s="6"/>
      <c r="CS2409" s="6"/>
      <c r="CT2409" s="6"/>
      <c r="CU2409" s="6"/>
      <c r="CV2409" s="6"/>
      <c r="CW2409" s="6"/>
      <c r="CX2409" s="6"/>
      <c r="CY2409" s="6"/>
      <c r="CZ2409" s="6"/>
      <c r="DA2409" s="6"/>
      <c r="DB2409" s="6"/>
      <c r="DC2409" s="6"/>
      <c r="DD2409" s="6"/>
    </row>
    <row r="2410" spans="1:108" ht="12.75" hidden="1" customHeight="1" outlineLevel="5">
      <c r="A2410" s="104" t="s">
        <v>253</v>
      </c>
      <c r="B2410" s="28">
        <f t="shared" si="131"/>
        <v>1</v>
      </c>
      <c r="C2410" s="11"/>
      <c r="D2410" s="18" t="str">
        <f>"&lt;" &amp; A2410 &amp; "&gt;" &amp; TEXT(B2410,"0.000000") &amp; "&lt;/" &amp; A2410 &amp; "&gt;"</f>
        <v>&lt;Divertor_Length&gt;1.000000&lt;/Divertor_Length&gt;</v>
      </c>
      <c r="F2410" s="6"/>
      <c r="G2410" s="6"/>
      <c r="H2410" s="6"/>
      <c r="I2410" s="6"/>
      <c r="J2410" s="6"/>
      <c r="K2410" s="6"/>
      <c r="L2410" s="6"/>
      <c r="M2410" s="6"/>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c r="BU2410" s="6"/>
      <c r="BV2410" s="6"/>
      <c r="BW2410" s="6"/>
      <c r="BX2410" s="6"/>
      <c r="BY2410" s="6"/>
      <c r="BZ2410" s="6"/>
      <c r="CA2410" s="6"/>
      <c r="CB2410" s="6"/>
      <c r="CC2410" s="6"/>
      <c r="CD2410" s="6"/>
      <c r="CE2410" s="6"/>
      <c r="CF2410" s="6"/>
      <c r="CG2410" s="6"/>
      <c r="CH2410" s="6"/>
      <c r="CI2410" s="6"/>
      <c r="CJ2410" s="6"/>
      <c r="CK2410" s="6"/>
      <c r="CL2410" s="6"/>
      <c r="CM2410" s="6"/>
      <c r="CN2410" s="6"/>
      <c r="CO2410" s="6"/>
      <c r="CP2410" s="6"/>
      <c r="CQ2410" s="6"/>
      <c r="CR2410" s="6"/>
      <c r="CS2410" s="6"/>
      <c r="CT2410" s="6"/>
      <c r="CU2410" s="6"/>
      <c r="CV2410" s="6"/>
      <c r="CW2410" s="6"/>
      <c r="CX2410" s="6"/>
      <c r="CY2410" s="6"/>
      <c r="CZ2410" s="6"/>
      <c r="DA2410" s="6"/>
      <c r="DB2410" s="6"/>
      <c r="DC2410" s="6"/>
      <c r="DD2410" s="6"/>
    </row>
    <row r="2411" spans="1:108" ht="12.75" hidden="1" customHeight="1" outlineLevel="5">
      <c r="A2411" s="104" t="s">
        <v>254</v>
      </c>
      <c r="B2411" s="28">
        <f t="shared" si="131"/>
        <v>0</v>
      </c>
      <c r="C2411" s="11"/>
      <c r="D2411" s="18" t="str">
        <f>"&lt;" &amp; A2411 &amp; "&gt;" &amp; TEXT(B2411,0) &amp; "&lt;/" &amp; A2411 &amp; "&gt;"</f>
        <v>&lt;Nozzle_Type&gt;0&lt;/Nozzle_Type&gt;</v>
      </c>
      <c r="F2411" s="6"/>
      <c r="G2411" s="6"/>
      <c r="H2411" s="6"/>
      <c r="I2411" s="6"/>
      <c r="J2411" s="6"/>
      <c r="K2411" s="6"/>
      <c r="L2411" s="6"/>
      <c r="M2411" s="6"/>
      <c r="N2411" s="6"/>
      <c r="O2411" s="6"/>
      <c r="P2411" s="6"/>
      <c r="Q2411" s="6"/>
      <c r="R2411" s="6"/>
      <c r="S2411" s="6"/>
      <c r="T2411" s="6"/>
      <c r="U2411" s="6"/>
      <c r="V2411" s="6"/>
      <c r="W2411" s="6"/>
      <c r="X2411" s="6"/>
      <c r="Y2411" s="6"/>
      <c r="Z2411" s="6"/>
      <c r="AA2411" s="6"/>
      <c r="AB2411" s="6"/>
      <c r="AC2411" s="6"/>
      <c r="AD2411" s="6"/>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c r="BU2411" s="6"/>
      <c r="BV2411" s="6"/>
      <c r="BW2411" s="6"/>
      <c r="BX2411" s="6"/>
      <c r="BY2411" s="6"/>
      <c r="BZ2411" s="6"/>
      <c r="CA2411" s="6"/>
      <c r="CB2411" s="6"/>
      <c r="CC2411" s="6"/>
      <c r="CD2411" s="6"/>
      <c r="CE2411" s="6"/>
      <c r="CF2411" s="6"/>
      <c r="CG2411" s="6"/>
      <c r="CH2411" s="6"/>
      <c r="CI2411" s="6"/>
      <c r="CJ2411" s="6"/>
      <c r="CK2411" s="6"/>
      <c r="CL2411" s="6"/>
      <c r="CM2411" s="6"/>
      <c r="CN2411" s="6"/>
      <c r="CO2411" s="6"/>
      <c r="CP2411" s="6"/>
      <c r="CQ2411" s="6"/>
      <c r="CR2411" s="6"/>
      <c r="CS2411" s="6"/>
      <c r="CT2411" s="6"/>
      <c r="CU2411" s="6"/>
      <c r="CV2411" s="6"/>
      <c r="CW2411" s="6"/>
      <c r="CX2411" s="6"/>
      <c r="CY2411" s="6"/>
      <c r="CZ2411" s="6"/>
      <c r="DA2411" s="6"/>
      <c r="DB2411" s="6"/>
      <c r="DC2411" s="6"/>
      <c r="DD2411" s="6"/>
    </row>
    <row r="2412" spans="1:108" ht="12.75" hidden="1" customHeight="1" outlineLevel="5">
      <c r="A2412" s="104" t="s">
        <v>255</v>
      </c>
      <c r="B2412" s="94">
        <f>IF(Type_e="Jet",l_e.j/B2387,l_e.p/B2387)</f>
        <v>7.2987836711348555</v>
      </c>
      <c r="C2412" s="11"/>
      <c r="D2412" s="18" t="str">
        <f>"&lt;" &amp; A2412 &amp; "&gt;" &amp; TEXT(B2412,"0.000000") &amp; "&lt;/" &amp; A2412 &amp; "&gt;"</f>
        <v>&lt;Nozzle_Length&gt;7.298784&lt;/Nozzle_Length&gt;</v>
      </c>
      <c r="F2412" s="6"/>
      <c r="G2412" s="6"/>
      <c r="H2412" s="6"/>
      <c r="I2412" s="6"/>
      <c r="J2412" s="6"/>
      <c r="K2412" s="6"/>
      <c r="L2412" s="6"/>
      <c r="M2412" s="6"/>
      <c r="N2412" s="6"/>
      <c r="O2412" s="6"/>
      <c r="P2412" s="6"/>
      <c r="Q2412" s="6"/>
      <c r="R2412" s="6"/>
      <c r="S2412" s="6"/>
      <c r="T2412" s="6"/>
      <c r="U2412" s="6"/>
      <c r="V2412" s="6"/>
      <c r="W2412" s="6"/>
      <c r="X2412" s="6"/>
      <c r="Y2412" s="6"/>
      <c r="Z2412" s="6"/>
      <c r="AA2412" s="6"/>
      <c r="AB2412" s="6"/>
      <c r="AC2412" s="6"/>
      <c r="AD2412" s="6"/>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c r="BU2412" s="6"/>
      <c r="BV2412" s="6"/>
      <c r="BW2412" s="6"/>
      <c r="BX2412" s="6"/>
      <c r="BY2412" s="6"/>
      <c r="BZ2412" s="6"/>
      <c r="CA2412" s="6"/>
      <c r="CB2412" s="6"/>
      <c r="CC2412" s="6"/>
      <c r="CD2412" s="6"/>
      <c r="CE2412" s="6"/>
      <c r="CF2412" s="6"/>
      <c r="CG2412" s="6"/>
      <c r="CH2412" s="6"/>
      <c r="CI2412" s="6"/>
      <c r="CJ2412" s="6"/>
      <c r="CK2412" s="6"/>
      <c r="CL2412" s="6"/>
      <c r="CM2412" s="6"/>
      <c r="CN2412" s="6"/>
      <c r="CO2412" s="6"/>
      <c r="CP2412" s="6"/>
      <c r="CQ2412" s="6"/>
      <c r="CR2412" s="6"/>
      <c r="CS2412" s="6"/>
      <c r="CT2412" s="6"/>
      <c r="CU2412" s="6"/>
      <c r="CV2412" s="6"/>
      <c r="CW2412" s="6"/>
      <c r="CX2412" s="6"/>
      <c r="CY2412" s="6"/>
      <c r="CZ2412" s="6"/>
      <c r="DA2412" s="6"/>
      <c r="DB2412" s="6"/>
      <c r="DC2412" s="6"/>
      <c r="DD2412" s="6"/>
    </row>
    <row r="2413" spans="1:108" ht="12.75" hidden="1" customHeight="1" outlineLevel="5">
      <c r="A2413" s="104" t="s">
        <v>256</v>
      </c>
      <c r="B2413" s="28">
        <f t="shared" ref="B2413:B2420" si="133">B1880</f>
        <v>3</v>
      </c>
      <c r="C2413" s="11"/>
      <c r="D2413" s="18" t="str">
        <f>"&lt;" &amp; A2413 &amp; "&gt;" &amp; TEXT(B2413,"0.000000") &amp; "&lt;/" &amp; A2413 &amp; "&gt;"</f>
        <v>&lt;Exit_Area_Ratio&gt;3.000000&lt;/Exit_Area_Ratio&gt;</v>
      </c>
      <c r="F2413" s="6"/>
      <c r="G2413" s="6"/>
      <c r="H2413" s="6"/>
      <c r="I2413" s="6"/>
      <c r="J2413" s="6"/>
      <c r="K2413" s="6"/>
      <c r="L2413" s="6"/>
      <c r="M2413" s="6"/>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c r="BU2413" s="6"/>
      <c r="BV2413" s="6"/>
      <c r="BW2413" s="6"/>
      <c r="BX2413" s="6"/>
      <c r="BY2413" s="6"/>
      <c r="BZ2413" s="6"/>
      <c r="CA2413" s="6"/>
      <c r="CB2413" s="6"/>
      <c r="CC2413" s="6"/>
      <c r="CD2413" s="6"/>
      <c r="CE2413" s="6"/>
      <c r="CF2413" s="6"/>
      <c r="CG2413" s="6"/>
      <c r="CH2413" s="6"/>
      <c r="CI2413" s="6"/>
      <c r="CJ2413" s="6"/>
      <c r="CK2413" s="6"/>
      <c r="CL2413" s="6"/>
      <c r="CM2413" s="6"/>
      <c r="CN2413" s="6"/>
      <c r="CO2413" s="6"/>
      <c r="CP2413" s="6"/>
      <c r="CQ2413" s="6"/>
      <c r="CR2413" s="6"/>
      <c r="CS2413" s="6"/>
      <c r="CT2413" s="6"/>
      <c r="CU2413" s="6"/>
      <c r="CV2413" s="6"/>
      <c r="CW2413" s="6"/>
      <c r="CX2413" s="6"/>
      <c r="CY2413" s="6"/>
      <c r="CZ2413" s="6"/>
      <c r="DA2413" s="6"/>
      <c r="DB2413" s="6"/>
      <c r="DC2413" s="6"/>
      <c r="DD2413" s="6"/>
    </row>
    <row r="2414" spans="1:108" ht="12.75" hidden="1" customHeight="1" outlineLevel="5">
      <c r="A2414" s="104" t="s">
        <v>257</v>
      </c>
      <c r="B2414" s="28">
        <f t="shared" si="133"/>
        <v>1</v>
      </c>
      <c r="C2414" s="11"/>
      <c r="D2414" s="18" t="str">
        <f>"&lt;" &amp; A2414 &amp; "&gt;" &amp; TEXT(B2414,"0.000000") &amp; "&lt;/" &amp; A2414 &amp; "&gt;"</f>
        <v>&lt;Nozzle_Height_Width_Ratio&gt;1.000000&lt;/Nozzle_Height_Width_Ratio&gt;</v>
      </c>
      <c r="F2414" s="6"/>
      <c r="G2414" s="6"/>
      <c r="H2414" s="6"/>
      <c r="I2414" s="6"/>
      <c r="J2414" s="6"/>
      <c r="K2414" s="6"/>
      <c r="L2414" s="6"/>
      <c r="M2414" s="6"/>
      <c r="N2414" s="6"/>
      <c r="O2414" s="6"/>
      <c r="P2414" s="6"/>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c r="BU2414" s="6"/>
      <c r="BV2414" s="6"/>
      <c r="BW2414" s="6"/>
      <c r="BX2414" s="6"/>
      <c r="BY2414" s="6"/>
      <c r="BZ2414" s="6"/>
      <c r="CA2414" s="6"/>
      <c r="CB2414" s="6"/>
      <c r="CC2414" s="6"/>
      <c r="CD2414" s="6"/>
      <c r="CE2414" s="6"/>
      <c r="CF2414" s="6"/>
      <c r="CG2414" s="6"/>
      <c r="CH2414" s="6"/>
      <c r="CI2414" s="6"/>
      <c r="CJ2414" s="6"/>
      <c r="CK2414" s="6"/>
      <c r="CL2414" s="6"/>
      <c r="CM2414" s="6"/>
      <c r="CN2414" s="6"/>
      <c r="CO2414" s="6"/>
      <c r="CP2414" s="6"/>
      <c r="CQ2414" s="6"/>
      <c r="CR2414" s="6"/>
      <c r="CS2414" s="6"/>
      <c r="CT2414" s="6"/>
      <c r="CU2414" s="6"/>
      <c r="CV2414" s="6"/>
      <c r="CW2414" s="6"/>
      <c r="CX2414" s="6"/>
      <c r="CY2414" s="6"/>
      <c r="CZ2414" s="6"/>
      <c r="DA2414" s="6"/>
      <c r="DB2414" s="6"/>
      <c r="DC2414" s="6"/>
      <c r="DD2414" s="6"/>
    </row>
    <row r="2415" spans="1:108" ht="12.75" hidden="1" customHeight="1" outlineLevel="5">
      <c r="A2415" s="104" t="s">
        <v>258</v>
      </c>
      <c r="B2415" s="28">
        <f t="shared" si="133"/>
        <v>1.5</v>
      </c>
      <c r="C2415" s="11"/>
      <c r="D2415" s="18" t="str">
        <f>"&lt;" &amp; A2415 &amp; "&gt;" &amp; TEXT(B2415,"0.000000") &amp; "&lt;/" &amp; A2415 &amp; "&gt;"</f>
        <v>&lt;Exit_Throat_Ratio&gt;1.500000&lt;/Exit_Throat_Ratio&gt;</v>
      </c>
      <c r="F2415" s="6"/>
      <c r="G2415" s="6"/>
      <c r="H2415" s="6"/>
      <c r="I2415" s="6"/>
      <c r="J2415" s="6"/>
      <c r="K2415" s="6"/>
      <c r="L2415" s="6"/>
      <c r="M2415" s="6"/>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c r="BU2415" s="6"/>
      <c r="BV2415" s="6"/>
      <c r="BW2415" s="6"/>
      <c r="BX2415" s="6"/>
      <c r="BY2415" s="6"/>
      <c r="BZ2415" s="6"/>
      <c r="CA2415" s="6"/>
      <c r="CB2415" s="6"/>
      <c r="CC2415" s="6"/>
      <c r="CD2415" s="6"/>
      <c r="CE2415" s="6"/>
      <c r="CF2415" s="6"/>
      <c r="CG2415" s="6"/>
      <c r="CH2415" s="6"/>
      <c r="CI2415" s="6"/>
      <c r="CJ2415" s="6"/>
      <c r="CK2415" s="6"/>
      <c r="CL2415" s="6"/>
      <c r="CM2415" s="6"/>
      <c r="CN2415" s="6"/>
      <c r="CO2415" s="6"/>
      <c r="CP2415" s="6"/>
      <c r="CQ2415" s="6"/>
      <c r="CR2415" s="6"/>
      <c r="CS2415" s="6"/>
      <c r="CT2415" s="6"/>
      <c r="CU2415" s="6"/>
      <c r="CV2415" s="6"/>
      <c r="CW2415" s="6"/>
      <c r="CX2415" s="6"/>
      <c r="CY2415" s="6"/>
      <c r="CZ2415" s="6"/>
      <c r="DA2415" s="6"/>
      <c r="DB2415" s="6"/>
      <c r="DC2415" s="6"/>
      <c r="DD2415" s="6"/>
    </row>
    <row r="2416" spans="1:108" ht="12.75" hidden="1" customHeight="1" outlineLevel="5">
      <c r="A2416" s="104" t="s">
        <v>259</v>
      </c>
      <c r="B2416" s="28">
        <f t="shared" si="133"/>
        <v>1</v>
      </c>
      <c r="C2416" s="11"/>
      <c r="D2416" s="18" t="str">
        <f>"&lt;" &amp; A2416 &amp; "&gt;" &amp; TEXT(B2416,"0.000000") &amp; "&lt;/" &amp; A2416 &amp; "&gt;"</f>
        <v>&lt;Dive_Flap_Ratio&gt;1.000000&lt;/Dive_Flap_Ratio&gt;</v>
      </c>
      <c r="F2416" s="6"/>
      <c r="G2416" s="6"/>
      <c r="H2416" s="6"/>
      <c r="I2416" s="6"/>
      <c r="J2416" s="6"/>
      <c r="K2416" s="6"/>
      <c r="L2416" s="6"/>
      <c r="M2416" s="6"/>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c r="BU2416" s="6"/>
      <c r="BV2416" s="6"/>
      <c r="BW2416" s="6"/>
      <c r="BX2416" s="6"/>
      <c r="BY2416" s="6"/>
      <c r="BZ2416" s="6"/>
      <c r="CA2416" s="6"/>
      <c r="CB2416" s="6"/>
      <c r="CC2416" s="6"/>
      <c r="CD2416" s="6"/>
      <c r="CE2416" s="6"/>
      <c r="CF2416" s="6"/>
      <c r="CG2416" s="6"/>
      <c r="CH2416" s="6"/>
      <c r="CI2416" s="6"/>
      <c r="CJ2416" s="6"/>
      <c r="CK2416" s="6"/>
      <c r="CL2416" s="6"/>
      <c r="CM2416" s="6"/>
      <c r="CN2416" s="6"/>
      <c r="CO2416" s="6"/>
      <c r="CP2416" s="6"/>
      <c r="CQ2416" s="6"/>
      <c r="CR2416" s="6"/>
      <c r="CS2416" s="6"/>
      <c r="CT2416" s="6"/>
      <c r="CU2416" s="6"/>
      <c r="CV2416" s="6"/>
      <c r="CW2416" s="6"/>
      <c r="CX2416" s="6"/>
      <c r="CY2416" s="6"/>
      <c r="CZ2416" s="6"/>
      <c r="DA2416" s="6"/>
      <c r="DB2416" s="6"/>
      <c r="DC2416" s="6"/>
      <c r="DD2416" s="6"/>
    </row>
    <row r="2417" spans="1:108" ht="12.75" hidden="1" customHeight="1" outlineLevel="5">
      <c r="A2417" s="104" t="s">
        <v>260</v>
      </c>
      <c r="B2417" s="28">
        <f t="shared" si="133"/>
        <v>0</v>
      </c>
      <c r="C2417" s="11"/>
      <c r="D2417" s="18" t="str">
        <f>"&lt;" &amp; A2417 &amp; "&gt;" &amp; TEXT(B2417,0) &amp; "&lt;/" &amp; A2417 &amp; "&gt;"</f>
        <v>&lt;Nozzle_Duct_On_Off&gt;0&lt;/Nozzle_Duct_On_Off&gt;</v>
      </c>
      <c r="F2417" s="6"/>
      <c r="G2417" s="6"/>
      <c r="H2417" s="6"/>
      <c r="I2417" s="6"/>
      <c r="J2417" s="6"/>
      <c r="K2417" s="6"/>
      <c r="L2417" s="6"/>
      <c r="M2417" s="6"/>
      <c r="N2417" s="6"/>
      <c r="O2417" s="6"/>
      <c r="P2417" s="6"/>
      <c r="Q2417" s="6"/>
      <c r="R2417" s="6"/>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c r="BU2417" s="6"/>
      <c r="BV2417" s="6"/>
      <c r="BW2417" s="6"/>
      <c r="BX2417" s="6"/>
      <c r="BY2417" s="6"/>
      <c r="BZ2417" s="6"/>
      <c r="CA2417" s="6"/>
      <c r="CB2417" s="6"/>
      <c r="CC2417" s="6"/>
      <c r="CD2417" s="6"/>
      <c r="CE2417" s="6"/>
      <c r="CF2417" s="6"/>
      <c r="CG2417" s="6"/>
      <c r="CH2417" s="6"/>
      <c r="CI2417" s="6"/>
      <c r="CJ2417" s="6"/>
      <c r="CK2417" s="6"/>
      <c r="CL2417" s="6"/>
      <c r="CM2417" s="6"/>
      <c r="CN2417" s="6"/>
      <c r="CO2417" s="6"/>
      <c r="CP2417" s="6"/>
      <c r="CQ2417" s="6"/>
      <c r="CR2417" s="6"/>
      <c r="CS2417" s="6"/>
      <c r="CT2417" s="6"/>
      <c r="CU2417" s="6"/>
      <c r="CV2417" s="6"/>
      <c r="CW2417" s="6"/>
      <c r="CX2417" s="6"/>
      <c r="CY2417" s="6"/>
      <c r="CZ2417" s="6"/>
      <c r="DA2417" s="6"/>
      <c r="DB2417" s="6"/>
      <c r="DC2417" s="6"/>
      <c r="DD2417" s="6"/>
    </row>
    <row r="2418" spans="1:108" ht="12.75" hidden="1" customHeight="1" outlineLevel="5">
      <c r="A2418" s="104" t="s">
        <v>261</v>
      </c>
      <c r="B2418" s="28">
        <f t="shared" si="133"/>
        <v>1</v>
      </c>
      <c r="C2418" s="11"/>
      <c r="D2418" s="18" t="str">
        <f>"&lt;" &amp; A2418 &amp; "&gt;" &amp; TEXT(B2418,"0.000000") &amp; "&lt;/" &amp; A2418 &amp; "&gt;"</f>
        <v>&lt;Nozzle_Duct_X_Offset&gt;1.000000&lt;/Nozzle_Duct_X_Offset&gt;</v>
      </c>
      <c r="F2418" s="6"/>
      <c r="G2418" s="6"/>
      <c r="H2418" s="6"/>
      <c r="I2418" s="6"/>
      <c r="J2418" s="6"/>
      <c r="K2418" s="6"/>
      <c r="L2418" s="6"/>
      <c r="M2418" s="6"/>
      <c r="N2418" s="6"/>
      <c r="O2418" s="6"/>
      <c r="P2418" s="6"/>
      <c r="Q2418" s="6"/>
      <c r="R2418" s="6"/>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c r="BU2418" s="6"/>
      <c r="BV2418" s="6"/>
      <c r="BW2418" s="6"/>
      <c r="BX2418" s="6"/>
      <c r="BY2418" s="6"/>
      <c r="BZ2418" s="6"/>
      <c r="CA2418" s="6"/>
      <c r="CB2418" s="6"/>
      <c r="CC2418" s="6"/>
      <c r="CD2418" s="6"/>
      <c r="CE2418" s="6"/>
      <c r="CF2418" s="6"/>
      <c r="CG2418" s="6"/>
      <c r="CH2418" s="6"/>
      <c r="CI2418" s="6"/>
      <c r="CJ2418" s="6"/>
      <c r="CK2418" s="6"/>
      <c r="CL2418" s="6"/>
      <c r="CM2418" s="6"/>
      <c r="CN2418" s="6"/>
      <c r="CO2418" s="6"/>
      <c r="CP2418" s="6"/>
      <c r="CQ2418" s="6"/>
      <c r="CR2418" s="6"/>
      <c r="CS2418" s="6"/>
      <c r="CT2418" s="6"/>
      <c r="CU2418" s="6"/>
      <c r="CV2418" s="6"/>
      <c r="CW2418" s="6"/>
      <c r="CX2418" s="6"/>
      <c r="CY2418" s="6"/>
      <c r="CZ2418" s="6"/>
      <c r="DA2418" s="6"/>
      <c r="DB2418" s="6"/>
      <c r="DC2418" s="6"/>
      <c r="DD2418" s="6"/>
    </row>
    <row r="2419" spans="1:108" ht="12.75" hidden="1" customHeight="1" outlineLevel="5">
      <c r="A2419" s="104" t="s">
        <v>262</v>
      </c>
      <c r="B2419" s="28">
        <f t="shared" si="133"/>
        <v>0</v>
      </c>
      <c r="C2419" s="11"/>
      <c r="D2419" s="18" t="str">
        <f>"&lt;" &amp; A2419 &amp; "&gt;" &amp; TEXT(B2419,"0.000000") &amp; "&lt;/" &amp; A2419 &amp; "&gt;"</f>
        <v>&lt;Nozzle_Duct_Y_Offset&gt;0.000000&lt;/Nozzle_Duct_Y_Offset&gt;</v>
      </c>
      <c r="F2419" s="6"/>
      <c r="G2419" s="6"/>
      <c r="H2419" s="6"/>
      <c r="I2419" s="6"/>
      <c r="J2419" s="6"/>
      <c r="K2419" s="6"/>
      <c r="L2419" s="6"/>
      <c r="M2419" s="6"/>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c r="BU2419" s="6"/>
      <c r="BV2419" s="6"/>
      <c r="BW2419" s="6"/>
      <c r="BX2419" s="6"/>
      <c r="BY2419" s="6"/>
      <c r="BZ2419" s="6"/>
      <c r="CA2419" s="6"/>
      <c r="CB2419" s="6"/>
      <c r="CC2419" s="6"/>
      <c r="CD2419" s="6"/>
      <c r="CE2419" s="6"/>
      <c r="CF2419" s="6"/>
      <c r="CG2419" s="6"/>
      <c r="CH2419" s="6"/>
      <c r="CI2419" s="6"/>
      <c r="CJ2419" s="6"/>
      <c r="CK2419" s="6"/>
      <c r="CL2419" s="6"/>
      <c r="CM2419" s="6"/>
      <c r="CN2419" s="6"/>
      <c r="CO2419" s="6"/>
      <c r="CP2419" s="6"/>
      <c r="CQ2419" s="6"/>
      <c r="CR2419" s="6"/>
      <c r="CS2419" s="6"/>
      <c r="CT2419" s="6"/>
      <c r="CU2419" s="6"/>
      <c r="CV2419" s="6"/>
      <c r="CW2419" s="6"/>
      <c r="CX2419" s="6"/>
      <c r="CY2419" s="6"/>
      <c r="CZ2419" s="6"/>
      <c r="DA2419" s="6"/>
      <c r="DB2419" s="6"/>
      <c r="DC2419" s="6"/>
      <c r="DD2419" s="6"/>
    </row>
    <row r="2420" spans="1:108" ht="12.75" hidden="1" customHeight="1" outlineLevel="5">
      <c r="A2420" s="104" t="s">
        <v>263</v>
      </c>
      <c r="B2420" s="28">
        <f t="shared" si="133"/>
        <v>0</v>
      </c>
      <c r="C2420" s="11"/>
      <c r="D2420" s="18" t="str">
        <f>"&lt;" &amp; A2420 &amp; "&gt;" &amp; TEXT(B2420,"0.000000") &amp; "&lt;/" &amp; A2420 &amp; "&gt;"</f>
        <v>&lt;Nozzle_Duct_Shape_Factor&gt;0.000000&lt;/Nozzle_Duct_Shape_Factor&gt;</v>
      </c>
      <c r="F2420" s="6"/>
      <c r="G2420" s="6"/>
      <c r="H2420" s="6"/>
      <c r="I2420" s="6"/>
      <c r="J2420" s="6"/>
      <c r="K2420" s="6"/>
      <c r="L2420" s="6"/>
      <c r="M2420" s="6"/>
      <c r="N2420" s="6"/>
      <c r="O2420" s="6"/>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c r="BU2420" s="6"/>
      <c r="BV2420" s="6"/>
      <c r="BW2420" s="6"/>
      <c r="BX2420" s="6"/>
      <c r="BY2420" s="6"/>
      <c r="BZ2420" s="6"/>
      <c r="CA2420" s="6"/>
      <c r="CB2420" s="6"/>
      <c r="CC2420" s="6"/>
      <c r="CD2420" s="6"/>
      <c r="CE2420" s="6"/>
      <c r="CF2420" s="6"/>
      <c r="CG2420" s="6"/>
      <c r="CH2420" s="6"/>
      <c r="CI2420" s="6"/>
      <c r="CJ2420" s="6"/>
      <c r="CK2420" s="6"/>
      <c r="CL2420" s="6"/>
      <c r="CM2420" s="6"/>
      <c r="CN2420" s="6"/>
      <c r="CO2420" s="6"/>
      <c r="CP2420" s="6"/>
      <c r="CQ2420" s="6"/>
      <c r="CR2420" s="6"/>
      <c r="CS2420" s="6"/>
      <c r="CT2420" s="6"/>
      <c r="CU2420" s="6"/>
      <c r="CV2420" s="6"/>
      <c r="CW2420" s="6"/>
      <c r="CX2420" s="6"/>
      <c r="CY2420" s="6"/>
      <c r="CZ2420" s="6"/>
      <c r="DA2420" s="6"/>
      <c r="DB2420" s="6"/>
      <c r="DC2420" s="6"/>
      <c r="DD2420" s="6"/>
    </row>
    <row r="2421" spans="1:108" ht="12.75" hidden="1" customHeight="1" outlineLevel="5">
      <c r="A2421" s="104" t="s">
        <v>264</v>
      </c>
      <c r="B2421" s="100"/>
      <c r="C2421" s="11"/>
      <c r="D2421" s="6" t="str">
        <f>"&lt;" &amp; A2421 &amp; "&gt;"</f>
        <v>&lt;/Engine_Parms&gt;</v>
      </c>
      <c r="F2421" s="6"/>
      <c r="G2421" s="6"/>
      <c r="H2421" s="6"/>
      <c r="I2421" s="6"/>
      <c r="J2421" s="6"/>
      <c r="K2421" s="6"/>
      <c r="L2421" s="6"/>
      <c r="M2421" s="6"/>
      <c r="N2421" s="6"/>
      <c r="O2421" s="6"/>
      <c r="P2421" s="6"/>
      <c r="Q2421" s="6"/>
      <c r="R2421" s="6"/>
      <c r="S2421" s="6"/>
      <c r="T2421" s="6"/>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c r="BU2421" s="6"/>
      <c r="BV2421" s="6"/>
      <c r="BW2421" s="6"/>
      <c r="BX2421" s="6"/>
      <c r="BY2421" s="6"/>
      <c r="BZ2421" s="6"/>
      <c r="CA2421" s="6"/>
      <c r="CB2421" s="6"/>
      <c r="CC2421" s="6"/>
      <c r="CD2421" s="6"/>
      <c r="CE2421" s="6"/>
      <c r="CF2421" s="6"/>
      <c r="CG2421" s="6"/>
      <c r="CH2421" s="6"/>
      <c r="CI2421" s="6"/>
      <c r="CJ2421" s="6"/>
      <c r="CK2421" s="6"/>
      <c r="CL2421" s="6"/>
      <c r="CM2421" s="6"/>
      <c r="CN2421" s="6"/>
      <c r="CO2421" s="6"/>
      <c r="CP2421" s="6"/>
      <c r="CQ2421" s="6"/>
      <c r="CR2421" s="6"/>
      <c r="CS2421" s="6"/>
      <c r="CT2421" s="6"/>
      <c r="CU2421" s="6"/>
      <c r="CV2421" s="6"/>
      <c r="CW2421" s="6"/>
      <c r="CX2421" s="6"/>
      <c r="CY2421" s="6"/>
      <c r="CZ2421" s="6"/>
      <c r="DA2421" s="6"/>
      <c r="DB2421" s="6"/>
      <c r="DC2421" s="6"/>
      <c r="DD2421" s="6"/>
    </row>
    <row r="2422" spans="1:108" ht="12.75" hidden="1" customHeight="1" outlineLevel="4">
      <c r="A2422" s="104" t="s">
        <v>138</v>
      </c>
      <c r="B2422" s="100"/>
      <c r="C2422" s="11"/>
      <c r="D2422" s="6" t="str">
        <f>"&lt;" &amp; A2422 &amp; "&gt;"</f>
        <v>&lt;/Component&gt;</v>
      </c>
      <c r="F2422" s="6"/>
      <c r="G2422" s="6"/>
      <c r="H2422" s="6"/>
      <c r="I2422" s="6"/>
      <c r="J2422" s="6"/>
      <c r="K2422" s="6"/>
      <c r="L2422" s="6"/>
      <c r="M2422" s="6"/>
      <c r="N2422" s="6"/>
      <c r="O2422" s="6"/>
      <c r="P2422" s="6"/>
      <c r="Q2422" s="6"/>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c r="BU2422" s="6"/>
      <c r="BV2422" s="6"/>
      <c r="BW2422" s="6"/>
      <c r="BX2422" s="6"/>
      <c r="BY2422" s="6"/>
      <c r="BZ2422" s="6"/>
      <c r="CA2422" s="6"/>
      <c r="CB2422" s="6"/>
      <c r="CC2422" s="6"/>
      <c r="CD2422" s="6"/>
      <c r="CE2422" s="6"/>
      <c r="CF2422" s="6"/>
      <c r="CG2422" s="6"/>
      <c r="CH2422" s="6"/>
      <c r="CI2422" s="6"/>
      <c r="CJ2422" s="6"/>
      <c r="CK2422" s="6"/>
      <c r="CL2422" s="6"/>
      <c r="CM2422" s="6"/>
      <c r="CN2422" s="6"/>
      <c r="CO2422" s="6"/>
      <c r="CP2422" s="6"/>
      <c r="CQ2422" s="6"/>
      <c r="CR2422" s="6"/>
      <c r="CS2422" s="6"/>
      <c r="CT2422" s="6"/>
      <c r="CU2422" s="6"/>
      <c r="CV2422" s="6"/>
      <c r="CW2422" s="6"/>
      <c r="CX2422" s="6"/>
      <c r="CY2422" s="6"/>
      <c r="CZ2422" s="6"/>
      <c r="DA2422" s="6"/>
      <c r="DB2422" s="6"/>
      <c r="DC2422" s="6"/>
      <c r="DD2422" s="6"/>
    </row>
    <row r="2423" spans="1:108" ht="12.75" hidden="1" customHeight="1" outlineLevel="3" collapsed="1">
      <c r="A2423" s="104" t="s">
        <v>40</v>
      </c>
      <c r="B2423" s="110" t="s">
        <v>367</v>
      </c>
      <c r="C2423" s="27" t="str">
        <f>IF(Input!D27&gt;=3,IF(Input!$D$26="Jet","No","Yes"),"Yes")</f>
        <v>Yes</v>
      </c>
      <c r="D2423" s="6" t="str">
        <f>IF(C2423="Yes",("&lt;"&amp;A2423&amp;"&gt;"),("&lt;!--"&amp;A2423&amp;"&gt;"))</f>
        <v>&lt;Component&gt;</v>
      </c>
      <c r="F2423" s="6"/>
      <c r="G2423" s="6"/>
      <c r="H2423" s="6"/>
      <c r="I2423" s="6"/>
      <c r="J2423" s="6"/>
      <c r="K2423" s="6"/>
      <c r="L2423" s="6"/>
      <c r="M2423" s="6"/>
      <c r="N2423" s="6"/>
      <c r="O2423" s="6"/>
      <c r="P2423" s="6"/>
      <c r="Q2423" s="6"/>
      <c r="R2423" s="6"/>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c r="BU2423" s="6"/>
      <c r="BV2423" s="6"/>
      <c r="BW2423" s="6"/>
      <c r="BX2423" s="6"/>
      <c r="BY2423" s="6"/>
      <c r="BZ2423" s="6"/>
      <c r="CA2423" s="6"/>
      <c r="CB2423" s="6"/>
      <c r="CC2423" s="6"/>
      <c r="CD2423" s="6"/>
      <c r="CE2423" s="6"/>
      <c r="CF2423" s="6"/>
      <c r="CG2423" s="6"/>
      <c r="CH2423" s="6"/>
      <c r="CI2423" s="6"/>
      <c r="CJ2423" s="6"/>
      <c r="CK2423" s="6"/>
      <c r="CL2423" s="6"/>
      <c r="CM2423" s="6"/>
      <c r="CN2423" s="6"/>
      <c r="CO2423" s="6"/>
      <c r="CP2423" s="6"/>
      <c r="CQ2423" s="6"/>
      <c r="CR2423" s="6"/>
      <c r="CS2423" s="6"/>
      <c r="CT2423" s="6"/>
      <c r="CU2423" s="6"/>
      <c r="CV2423" s="6"/>
      <c r="CW2423" s="6"/>
      <c r="CX2423" s="6"/>
      <c r="CY2423" s="6"/>
      <c r="CZ2423" s="6"/>
      <c r="DA2423" s="6"/>
      <c r="DB2423" s="6"/>
      <c r="DC2423" s="6"/>
      <c r="DD2423" s="6"/>
    </row>
    <row r="2424" spans="1:108" ht="12.75" hidden="1" customHeight="1" outlineLevel="4">
      <c r="A2424" s="104" t="s">
        <v>14</v>
      </c>
      <c r="B2424" s="100" t="s">
        <v>294</v>
      </c>
      <c r="C2424" s="11"/>
      <c r="D2424" s="18" t="str">
        <f>"&lt;" &amp; A2424 &amp; "&gt;" &amp; TEXT(B2424,"0.000000") &amp; "&lt;/" &amp; A2424 &amp; "&gt;"</f>
        <v>&lt;Type&gt;Prop&lt;/Type&gt;</v>
      </c>
      <c r="F2424" s="6"/>
      <c r="G2424" s="6"/>
      <c r="H2424" s="6"/>
      <c r="I2424" s="6"/>
      <c r="J2424" s="6"/>
      <c r="K2424" s="6"/>
      <c r="L2424" s="6"/>
      <c r="M2424" s="6"/>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c r="BU2424" s="6"/>
      <c r="BV2424" s="6"/>
      <c r="BW2424" s="6"/>
      <c r="BX2424" s="6"/>
      <c r="BY2424" s="6"/>
      <c r="BZ2424" s="6"/>
      <c r="CA2424" s="6"/>
      <c r="CB2424" s="6"/>
      <c r="CC2424" s="6"/>
      <c r="CD2424" s="6"/>
      <c r="CE2424" s="6"/>
      <c r="CF2424" s="6"/>
      <c r="CG2424" s="6"/>
      <c r="CH2424" s="6"/>
      <c r="CI2424" s="6"/>
      <c r="CJ2424" s="6"/>
      <c r="CK2424" s="6"/>
      <c r="CL2424" s="6"/>
      <c r="CM2424" s="6"/>
      <c r="CN2424" s="6"/>
      <c r="CO2424" s="6"/>
      <c r="CP2424" s="6"/>
      <c r="CQ2424" s="6"/>
      <c r="CR2424" s="6"/>
      <c r="CS2424" s="6"/>
      <c r="CT2424" s="6"/>
      <c r="CU2424" s="6"/>
      <c r="CV2424" s="6"/>
      <c r="CW2424" s="6"/>
      <c r="CX2424" s="6"/>
      <c r="CY2424" s="6"/>
      <c r="CZ2424" s="6"/>
      <c r="DA2424" s="6"/>
      <c r="DB2424" s="6"/>
      <c r="DC2424" s="6"/>
      <c r="DD2424" s="6"/>
    </row>
    <row r="2425" spans="1:108" ht="12.75" hidden="1" customHeight="1" outlineLevel="4">
      <c r="A2425" s="104" t="s">
        <v>42</v>
      </c>
      <c r="B2425" s="100"/>
      <c r="C2425" s="11"/>
      <c r="D2425" s="6" t="str">
        <f>"&lt;" &amp; A2425 &amp; "&gt;"</f>
        <v>&lt;General_Parms&gt;</v>
      </c>
      <c r="F2425" s="6"/>
      <c r="G2425" s="6"/>
      <c r="H2425" s="6"/>
      <c r="I2425" s="6"/>
      <c r="J2425" s="6"/>
      <c r="K2425" s="6"/>
      <c r="L2425" s="6"/>
      <c r="M2425" s="6"/>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c r="BU2425" s="6"/>
      <c r="BV2425" s="6"/>
      <c r="BW2425" s="6"/>
      <c r="BX2425" s="6"/>
      <c r="BY2425" s="6"/>
      <c r="BZ2425" s="6"/>
      <c r="CA2425" s="6"/>
      <c r="CB2425" s="6"/>
      <c r="CC2425" s="6"/>
      <c r="CD2425" s="6"/>
      <c r="CE2425" s="6"/>
      <c r="CF2425" s="6"/>
      <c r="CG2425" s="6"/>
      <c r="CH2425" s="6"/>
      <c r="CI2425" s="6"/>
      <c r="CJ2425" s="6"/>
      <c r="CK2425" s="6"/>
      <c r="CL2425" s="6"/>
      <c r="CM2425" s="6"/>
      <c r="CN2425" s="6"/>
      <c r="CO2425" s="6"/>
      <c r="CP2425" s="6"/>
      <c r="CQ2425" s="6"/>
      <c r="CR2425" s="6"/>
      <c r="CS2425" s="6"/>
      <c r="CT2425" s="6"/>
      <c r="CU2425" s="6"/>
      <c r="CV2425" s="6"/>
      <c r="CW2425" s="6"/>
      <c r="CX2425" s="6"/>
      <c r="CY2425" s="6"/>
      <c r="CZ2425" s="6"/>
      <c r="DA2425" s="6"/>
      <c r="DB2425" s="6"/>
      <c r="DC2425" s="6"/>
      <c r="DD2425" s="6"/>
    </row>
    <row r="2426" spans="1:108" ht="12.75" hidden="1" customHeight="1" outlineLevel="5">
      <c r="A2426" s="104" t="s">
        <v>1</v>
      </c>
      <c r="B2426" s="100" t="str">
        <f t="shared" ref="B2426:B2469" si="134">B1893</f>
        <v>Rotor</v>
      </c>
      <c r="C2426" s="11"/>
      <c r="D2426" s="18" t="str">
        <f>"&lt;" &amp; A2426 &amp; "&gt;" &amp; TEXT(B2426,"0.000000") &amp; "&lt;/" &amp; A2426 &amp; "&gt;"</f>
        <v>&lt;Name&gt;Rotor&lt;/Name&gt;</v>
      </c>
      <c r="F2426" s="6"/>
      <c r="G2426" s="6"/>
      <c r="H2426" s="6"/>
      <c r="I2426" s="6"/>
      <c r="J2426" s="6"/>
      <c r="K2426" s="6"/>
      <c r="L2426" s="6"/>
      <c r="M2426" s="6"/>
      <c r="N2426" s="6"/>
      <c r="O2426" s="6"/>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c r="BU2426" s="6"/>
      <c r="BV2426" s="6"/>
      <c r="BW2426" s="6"/>
      <c r="BX2426" s="6"/>
      <c r="BY2426" s="6"/>
      <c r="BZ2426" s="6"/>
      <c r="CA2426" s="6"/>
      <c r="CB2426" s="6"/>
      <c r="CC2426" s="6"/>
      <c r="CD2426" s="6"/>
      <c r="CE2426" s="6"/>
      <c r="CF2426" s="6"/>
      <c r="CG2426" s="6"/>
      <c r="CH2426" s="6"/>
      <c r="CI2426" s="6"/>
      <c r="CJ2426" s="6"/>
      <c r="CK2426" s="6"/>
      <c r="CL2426" s="6"/>
      <c r="CM2426" s="6"/>
      <c r="CN2426" s="6"/>
      <c r="CO2426" s="6"/>
      <c r="CP2426" s="6"/>
      <c r="CQ2426" s="6"/>
      <c r="CR2426" s="6"/>
      <c r="CS2426" s="6"/>
      <c r="CT2426" s="6"/>
      <c r="CU2426" s="6"/>
      <c r="CV2426" s="6"/>
      <c r="CW2426" s="6"/>
      <c r="CX2426" s="6"/>
      <c r="CY2426" s="6"/>
      <c r="CZ2426" s="6"/>
      <c r="DA2426" s="6"/>
      <c r="DB2426" s="6"/>
      <c r="DC2426" s="6"/>
      <c r="DD2426" s="6"/>
    </row>
    <row r="2427" spans="1:108" ht="12.75" hidden="1" customHeight="1" outlineLevel="5">
      <c r="A2427" s="104" t="s">
        <v>43</v>
      </c>
      <c r="B2427" s="28">
        <f t="shared" si="134"/>
        <v>127</v>
      </c>
      <c r="C2427" s="11"/>
      <c r="D2427" s="18" t="str">
        <f>"&lt;" &amp; A2427 &amp; "&gt;" &amp; TEXT(B2427,"0.000000") &amp; "&lt;/" &amp; A2427 &amp; "&gt;"</f>
        <v>&lt;ColorR&gt;127.000000&lt;/ColorR&gt;</v>
      </c>
      <c r="F2427" s="6"/>
      <c r="G2427" s="6"/>
      <c r="H2427" s="6"/>
      <c r="I2427" s="6"/>
      <c r="J2427" s="6"/>
      <c r="K2427" s="6"/>
      <c r="L2427" s="6"/>
      <c r="M2427" s="6"/>
      <c r="N2427" s="6"/>
      <c r="O2427" s="6"/>
      <c r="P2427" s="6"/>
      <c r="Q2427" s="6"/>
      <c r="R2427" s="6"/>
      <c r="S2427" s="6"/>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c r="BU2427" s="6"/>
      <c r="BV2427" s="6"/>
      <c r="BW2427" s="6"/>
      <c r="BX2427" s="6"/>
      <c r="BY2427" s="6"/>
      <c r="BZ2427" s="6"/>
      <c r="CA2427" s="6"/>
      <c r="CB2427" s="6"/>
      <c r="CC2427" s="6"/>
      <c r="CD2427" s="6"/>
      <c r="CE2427" s="6"/>
      <c r="CF2427" s="6"/>
      <c r="CG2427" s="6"/>
      <c r="CH2427" s="6"/>
      <c r="CI2427" s="6"/>
      <c r="CJ2427" s="6"/>
      <c r="CK2427" s="6"/>
      <c r="CL2427" s="6"/>
      <c r="CM2427" s="6"/>
      <c r="CN2427" s="6"/>
      <c r="CO2427" s="6"/>
      <c r="CP2427" s="6"/>
      <c r="CQ2427" s="6"/>
      <c r="CR2427" s="6"/>
      <c r="CS2427" s="6"/>
      <c r="CT2427" s="6"/>
      <c r="CU2427" s="6"/>
      <c r="CV2427" s="6"/>
      <c r="CW2427" s="6"/>
      <c r="CX2427" s="6"/>
      <c r="CY2427" s="6"/>
      <c r="CZ2427" s="6"/>
      <c r="DA2427" s="6"/>
      <c r="DB2427" s="6"/>
      <c r="DC2427" s="6"/>
      <c r="DD2427" s="6"/>
    </row>
    <row r="2428" spans="1:108" ht="12.75" hidden="1" customHeight="1" outlineLevel="5">
      <c r="A2428" s="104" t="s">
        <v>44</v>
      </c>
      <c r="B2428" s="28">
        <f t="shared" si="134"/>
        <v>127</v>
      </c>
      <c r="C2428" s="11"/>
      <c r="D2428" s="18" t="str">
        <f>"&lt;" &amp; A2428 &amp; "&gt;" &amp; TEXT(B2428,"0.000000") &amp; "&lt;/" &amp; A2428 &amp; "&gt;"</f>
        <v>&lt;ColorG&gt;127.000000&lt;/ColorG&gt;</v>
      </c>
      <c r="F2428" s="6"/>
      <c r="G2428" s="6"/>
      <c r="H2428" s="6"/>
      <c r="I2428" s="6"/>
      <c r="J2428" s="6"/>
      <c r="K2428" s="6"/>
      <c r="L2428" s="6"/>
      <c r="M2428" s="6"/>
      <c r="N2428" s="6"/>
      <c r="O2428" s="6"/>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c r="BU2428" s="6"/>
      <c r="BV2428" s="6"/>
      <c r="BW2428" s="6"/>
      <c r="BX2428" s="6"/>
      <c r="BY2428" s="6"/>
      <c r="BZ2428" s="6"/>
      <c r="CA2428" s="6"/>
      <c r="CB2428" s="6"/>
      <c r="CC2428" s="6"/>
      <c r="CD2428" s="6"/>
      <c r="CE2428" s="6"/>
      <c r="CF2428" s="6"/>
      <c r="CG2428" s="6"/>
      <c r="CH2428" s="6"/>
      <c r="CI2428" s="6"/>
      <c r="CJ2428" s="6"/>
      <c r="CK2428" s="6"/>
      <c r="CL2428" s="6"/>
      <c r="CM2428" s="6"/>
      <c r="CN2428" s="6"/>
      <c r="CO2428" s="6"/>
      <c r="CP2428" s="6"/>
      <c r="CQ2428" s="6"/>
      <c r="CR2428" s="6"/>
      <c r="CS2428" s="6"/>
      <c r="CT2428" s="6"/>
      <c r="CU2428" s="6"/>
      <c r="CV2428" s="6"/>
      <c r="CW2428" s="6"/>
      <c r="CX2428" s="6"/>
      <c r="CY2428" s="6"/>
      <c r="CZ2428" s="6"/>
      <c r="DA2428" s="6"/>
      <c r="DB2428" s="6"/>
      <c r="DC2428" s="6"/>
      <c r="DD2428" s="6"/>
    </row>
    <row r="2429" spans="1:108" ht="12.75" hidden="1" customHeight="1" outlineLevel="5">
      <c r="A2429" s="104" t="s">
        <v>45</v>
      </c>
      <c r="B2429" s="28">
        <f t="shared" si="134"/>
        <v>127</v>
      </c>
      <c r="C2429" s="11"/>
      <c r="D2429" s="18" t="str">
        <f>"&lt;" &amp; A2429 &amp; "&gt;" &amp; TEXT(B2429,"0.000000") &amp; "&lt;/" &amp; A2429 &amp; "&gt;"</f>
        <v>&lt;ColorB&gt;127.000000&lt;/ColorB&gt;</v>
      </c>
      <c r="F2429" s="6"/>
      <c r="G2429" s="6"/>
      <c r="H2429" s="6"/>
      <c r="I2429" s="6"/>
      <c r="J2429" s="6"/>
      <c r="K2429" s="6"/>
      <c r="L2429" s="6"/>
      <c r="M2429" s="6"/>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c r="BU2429" s="6"/>
      <c r="BV2429" s="6"/>
      <c r="BW2429" s="6"/>
      <c r="BX2429" s="6"/>
      <c r="BY2429" s="6"/>
      <c r="BZ2429" s="6"/>
      <c r="CA2429" s="6"/>
      <c r="CB2429" s="6"/>
      <c r="CC2429" s="6"/>
      <c r="CD2429" s="6"/>
      <c r="CE2429" s="6"/>
      <c r="CF2429" s="6"/>
      <c r="CG2429" s="6"/>
      <c r="CH2429" s="6"/>
      <c r="CI2429" s="6"/>
      <c r="CJ2429" s="6"/>
      <c r="CK2429" s="6"/>
      <c r="CL2429" s="6"/>
      <c r="CM2429" s="6"/>
      <c r="CN2429" s="6"/>
      <c r="CO2429" s="6"/>
      <c r="CP2429" s="6"/>
      <c r="CQ2429" s="6"/>
      <c r="CR2429" s="6"/>
      <c r="CS2429" s="6"/>
      <c r="CT2429" s="6"/>
      <c r="CU2429" s="6"/>
      <c r="CV2429" s="6"/>
      <c r="CW2429" s="6"/>
      <c r="CX2429" s="6"/>
      <c r="CY2429" s="6"/>
      <c r="CZ2429" s="6"/>
      <c r="DA2429" s="6"/>
      <c r="DB2429" s="6"/>
      <c r="DC2429" s="6"/>
      <c r="DD2429" s="6"/>
    </row>
    <row r="2430" spans="1:108" ht="12.75" hidden="1" customHeight="1" outlineLevel="5">
      <c r="A2430" s="104" t="s">
        <v>46</v>
      </c>
      <c r="B2430" s="28">
        <f t="shared" si="134"/>
        <v>0</v>
      </c>
      <c r="C2430" s="11"/>
      <c r="D2430" s="18" t="str">
        <f t="shared" ref="D2430:D2439" si="135">"&lt;" &amp; A2430 &amp; "&gt;" &amp; TEXT(B2430,0) &amp; "&lt;/" &amp; A2430 &amp; "&gt;"</f>
        <v>&lt;Symmetry&gt;0&lt;/Symmetry&gt;</v>
      </c>
      <c r="F2430" s="6"/>
      <c r="G2430" s="6"/>
      <c r="H2430" s="6"/>
      <c r="I2430" s="6"/>
      <c r="J2430" s="6"/>
      <c r="K2430" s="6"/>
      <c r="L2430" s="6"/>
      <c r="M2430" s="6"/>
      <c r="N2430" s="6"/>
      <c r="O2430" s="6"/>
      <c r="P2430" s="6"/>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c r="BU2430" s="6"/>
      <c r="BV2430" s="6"/>
      <c r="BW2430" s="6"/>
      <c r="BX2430" s="6"/>
      <c r="BY2430" s="6"/>
      <c r="BZ2430" s="6"/>
      <c r="CA2430" s="6"/>
      <c r="CB2430" s="6"/>
      <c r="CC2430" s="6"/>
      <c r="CD2430" s="6"/>
      <c r="CE2430" s="6"/>
      <c r="CF2430" s="6"/>
      <c r="CG2430" s="6"/>
      <c r="CH2430" s="6"/>
      <c r="CI2430" s="6"/>
      <c r="CJ2430" s="6"/>
      <c r="CK2430" s="6"/>
      <c r="CL2430" s="6"/>
      <c r="CM2430" s="6"/>
      <c r="CN2430" s="6"/>
      <c r="CO2430" s="6"/>
      <c r="CP2430" s="6"/>
      <c r="CQ2430" s="6"/>
      <c r="CR2430" s="6"/>
      <c r="CS2430" s="6"/>
      <c r="CT2430" s="6"/>
      <c r="CU2430" s="6"/>
      <c r="CV2430" s="6"/>
      <c r="CW2430" s="6"/>
      <c r="CX2430" s="6"/>
      <c r="CY2430" s="6"/>
      <c r="CZ2430" s="6"/>
      <c r="DA2430" s="6"/>
      <c r="DB2430" s="6"/>
      <c r="DC2430" s="6"/>
      <c r="DD2430" s="6"/>
    </row>
    <row r="2431" spans="1:108" ht="12.75" hidden="1" customHeight="1" outlineLevel="5">
      <c r="A2431" s="104" t="s">
        <v>47</v>
      </c>
      <c r="B2431" s="28">
        <f t="shared" si="134"/>
        <v>0</v>
      </c>
      <c r="C2431" s="11"/>
      <c r="D2431" s="18" t="str">
        <f t="shared" si="135"/>
        <v>&lt;RelXFormFlag&gt;0&lt;/RelXFormFlag&gt;</v>
      </c>
      <c r="F2431" s="6"/>
      <c r="G2431" s="6"/>
      <c r="H2431" s="6"/>
      <c r="I2431" s="6"/>
      <c r="J2431" s="6"/>
      <c r="K2431" s="6"/>
      <c r="L2431" s="6"/>
      <c r="M2431" s="6"/>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c r="BU2431" s="6"/>
      <c r="BV2431" s="6"/>
      <c r="BW2431" s="6"/>
      <c r="BX2431" s="6"/>
      <c r="BY2431" s="6"/>
      <c r="BZ2431" s="6"/>
      <c r="CA2431" s="6"/>
      <c r="CB2431" s="6"/>
      <c r="CC2431" s="6"/>
      <c r="CD2431" s="6"/>
      <c r="CE2431" s="6"/>
      <c r="CF2431" s="6"/>
      <c r="CG2431" s="6"/>
      <c r="CH2431" s="6"/>
      <c r="CI2431" s="6"/>
      <c r="CJ2431" s="6"/>
      <c r="CK2431" s="6"/>
      <c r="CL2431" s="6"/>
      <c r="CM2431" s="6"/>
      <c r="CN2431" s="6"/>
      <c r="CO2431" s="6"/>
      <c r="CP2431" s="6"/>
      <c r="CQ2431" s="6"/>
      <c r="CR2431" s="6"/>
      <c r="CS2431" s="6"/>
      <c r="CT2431" s="6"/>
      <c r="CU2431" s="6"/>
      <c r="CV2431" s="6"/>
      <c r="CW2431" s="6"/>
      <c r="CX2431" s="6"/>
      <c r="CY2431" s="6"/>
      <c r="CZ2431" s="6"/>
      <c r="DA2431" s="6"/>
      <c r="DB2431" s="6"/>
      <c r="DC2431" s="6"/>
      <c r="DD2431" s="6"/>
    </row>
    <row r="2432" spans="1:108" ht="12.75" hidden="1" customHeight="1" outlineLevel="5">
      <c r="A2432" s="104" t="s">
        <v>48</v>
      </c>
      <c r="B2432" s="28">
        <f t="shared" si="134"/>
        <v>0</v>
      </c>
      <c r="C2432" s="11"/>
      <c r="D2432" s="18" t="str">
        <f t="shared" si="135"/>
        <v>&lt;MaterialID&gt;0&lt;/MaterialID&gt;</v>
      </c>
      <c r="F2432" s="6"/>
      <c r="G2432" s="6"/>
      <c r="H2432" s="6"/>
      <c r="I2432" s="6"/>
      <c r="J2432" s="6"/>
      <c r="K2432" s="6"/>
      <c r="L2432" s="6"/>
      <c r="M2432" s="6"/>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c r="BU2432" s="6"/>
      <c r="BV2432" s="6"/>
      <c r="BW2432" s="6"/>
      <c r="BX2432" s="6"/>
      <c r="BY2432" s="6"/>
      <c r="BZ2432" s="6"/>
      <c r="CA2432" s="6"/>
      <c r="CB2432" s="6"/>
      <c r="CC2432" s="6"/>
      <c r="CD2432" s="6"/>
      <c r="CE2432" s="6"/>
      <c r="CF2432" s="6"/>
      <c r="CG2432" s="6"/>
      <c r="CH2432" s="6"/>
      <c r="CI2432" s="6"/>
      <c r="CJ2432" s="6"/>
      <c r="CK2432" s="6"/>
      <c r="CL2432" s="6"/>
      <c r="CM2432" s="6"/>
      <c r="CN2432" s="6"/>
      <c r="CO2432" s="6"/>
      <c r="CP2432" s="6"/>
      <c r="CQ2432" s="6"/>
      <c r="CR2432" s="6"/>
      <c r="CS2432" s="6"/>
      <c r="CT2432" s="6"/>
      <c r="CU2432" s="6"/>
      <c r="CV2432" s="6"/>
      <c r="CW2432" s="6"/>
      <c r="CX2432" s="6"/>
      <c r="CY2432" s="6"/>
      <c r="CZ2432" s="6"/>
      <c r="DA2432" s="6"/>
      <c r="DB2432" s="6"/>
      <c r="DC2432" s="6"/>
      <c r="DD2432" s="6"/>
    </row>
    <row r="2433" spans="1:108" ht="12.75" hidden="1" customHeight="1" outlineLevel="5">
      <c r="A2433" s="104" t="s">
        <v>49</v>
      </c>
      <c r="B2433" s="28">
        <f t="shared" si="134"/>
        <v>1</v>
      </c>
      <c r="C2433" s="11"/>
      <c r="D2433" s="18" t="str">
        <f t="shared" si="135"/>
        <v>&lt;OutputFlag&gt;1&lt;/OutputFlag&gt;</v>
      </c>
      <c r="F2433" s="6"/>
      <c r="G2433" s="6"/>
      <c r="H2433" s="6"/>
      <c r="I2433" s="6"/>
      <c r="J2433" s="6"/>
      <c r="K2433" s="6"/>
      <c r="L2433" s="6"/>
      <c r="M2433" s="6"/>
      <c r="N2433" s="6"/>
      <c r="O2433" s="6"/>
      <c r="P2433" s="6"/>
      <c r="Q2433" s="6"/>
      <c r="R2433" s="6"/>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c r="BU2433" s="6"/>
      <c r="BV2433" s="6"/>
      <c r="BW2433" s="6"/>
      <c r="BX2433" s="6"/>
      <c r="BY2433" s="6"/>
      <c r="BZ2433" s="6"/>
      <c r="CA2433" s="6"/>
      <c r="CB2433" s="6"/>
      <c r="CC2433" s="6"/>
      <c r="CD2433" s="6"/>
      <c r="CE2433" s="6"/>
      <c r="CF2433" s="6"/>
      <c r="CG2433" s="6"/>
      <c r="CH2433" s="6"/>
      <c r="CI2433" s="6"/>
      <c r="CJ2433" s="6"/>
      <c r="CK2433" s="6"/>
      <c r="CL2433" s="6"/>
      <c r="CM2433" s="6"/>
      <c r="CN2433" s="6"/>
      <c r="CO2433" s="6"/>
      <c r="CP2433" s="6"/>
      <c r="CQ2433" s="6"/>
      <c r="CR2433" s="6"/>
      <c r="CS2433" s="6"/>
      <c r="CT2433" s="6"/>
      <c r="CU2433" s="6"/>
      <c r="CV2433" s="6"/>
      <c r="CW2433" s="6"/>
      <c r="CX2433" s="6"/>
      <c r="CY2433" s="6"/>
      <c r="CZ2433" s="6"/>
      <c r="DA2433" s="6"/>
      <c r="DB2433" s="6"/>
      <c r="DC2433" s="6"/>
      <c r="DD2433" s="6"/>
    </row>
    <row r="2434" spans="1:108" ht="12.75" hidden="1" customHeight="1" outlineLevel="5">
      <c r="A2434" s="104" t="s">
        <v>50</v>
      </c>
      <c r="B2434" s="28">
        <f t="shared" si="134"/>
        <v>0</v>
      </c>
      <c r="C2434" s="11"/>
      <c r="D2434" s="18" t="str">
        <f t="shared" si="135"/>
        <v>&lt;OutputNameID&gt;0&lt;/OutputNameID&gt;</v>
      </c>
      <c r="F2434" s="6"/>
      <c r="G2434" s="6"/>
      <c r="H2434" s="6"/>
      <c r="I2434" s="6"/>
      <c r="J2434" s="6"/>
      <c r="K2434" s="6"/>
      <c r="L2434" s="6"/>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c r="BU2434" s="6"/>
      <c r="BV2434" s="6"/>
      <c r="BW2434" s="6"/>
      <c r="BX2434" s="6"/>
      <c r="BY2434" s="6"/>
      <c r="BZ2434" s="6"/>
      <c r="CA2434" s="6"/>
      <c r="CB2434" s="6"/>
      <c r="CC2434" s="6"/>
      <c r="CD2434" s="6"/>
      <c r="CE2434" s="6"/>
      <c r="CF2434" s="6"/>
      <c r="CG2434" s="6"/>
      <c r="CH2434" s="6"/>
      <c r="CI2434" s="6"/>
      <c r="CJ2434" s="6"/>
      <c r="CK2434" s="6"/>
      <c r="CL2434" s="6"/>
      <c r="CM2434" s="6"/>
      <c r="CN2434" s="6"/>
      <c r="CO2434" s="6"/>
      <c r="CP2434" s="6"/>
      <c r="CQ2434" s="6"/>
      <c r="CR2434" s="6"/>
      <c r="CS2434" s="6"/>
      <c r="CT2434" s="6"/>
      <c r="CU2434" s="6"/>
      <c r="CV2434" s="6"/>
      <c r="CW2434" s="6"/>
      <c r="CX2434" s="6"/>
      <c r="CY2434" s="6"/>
      <c r="CZ2434" s="6"/>
      <c r="DA2434" s="6"/>
      <c r="DB2434" s="6"/>
      <c r="DC2434" s="6"/>
      <c r="DD2434" s="6"/>
    </row>
    <row r="2435" spans="1:108" ht="12.75" hidden="1" customHeight="1" outlineLevel="5">
      <c r="A2435" s="104" t="s">
        <v>51</v>
      </c>
      <c r="B2435" s="28">
        <f t="shared" si="134"/>
        <v>1</v>
      </c>
      <c r="C2435" s="11"/>
      <c r="D2435" s="18" t="str">
        <f t="shared" si="135"/>
        <v>&lt;DisplayChildrenFlag&gt;1&lt;/DisplayChildrenFlag&gt;</v>
      </c>
      <c r="F2435" s="6"/>
      <c r="G2435" s="6"/>
      <c r="H2435" s="6"/>
      <c r="I2435" s="6"/>
      <c r="J2435" s="6"/>
      <c r="K2435" s="6"/>
      <c r="L2435" s="6"/>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c r="BU2435" s="6"/>
      <c r="BV2435" s="6"/>
      <c r="BW2435" s="6"/>
      <c r="BX2435" s="6"/>
      <c r="BY2435" s="6"/>
      <c r="BZ2435" s="6"/>
      <c r="CA2435" s="6"/>
      <c r="CB2435" s="6"/>
      <c r="CC2435" s="6"/>
      <c r="CD2435" s="6"/>
      <c r="CE2435" s="6"/>
      <c r="CF2435" s="6"/>
      <c r="CG2435" s="6"/>
      <c r="CH2435" s="6"/>
      <c r="CI2435" s="6"/>
      <c r="CJ2435" s="6"/>
      <c r="CK2435" s="6"/>
      <c r="CL2435" s="6"/>
      <c r="CM2435" s="6"/>
      <c r="CN2435" s="6"/>
      <c r="CO2435" s="6"/>
      <c r="CP2435" s="6"/>
      <c r="CQ2435" s="6"/>
      <c r="CR2435" s="6"/>
      <c r="CS2435" s="6"/>
      <c r="CT2435" s="6"/>
      <c r="CU2435" s="6"/>
      <c r="CV2435" s="6"/>
      <c r="CW2435" s="6"/>
      <c r="CX2435" s="6"/>
      <c r="CY2435" s="6"/>
      <c r="CZ2435" s="6"/>
      <c r="DA2435" s="6"/>
      <c r="DB2435" s="6"/>
      <c r="DC2435" s="6"/>
      <c r="DD2435" s="6"/>
    </row>
    <row r="2436" spans="1:108" ht="12.75" hidden="1" customHeight="1" outlineLevel="5">
      <c r="A2436" s="104" t="s">
        <v>52</v>
      </c>
      <c r="B2436" s="28">
        <f t="shared" si="134"/>
        <v>21</v>
      </c>
      <c r="C2436" s="11"/>
      <c r="D2436" s="18" t="str">
        <f t="shared" si="135"/>
        <v>&lt;NumPnts&gt;21&lt;/NumPnts&gt;</v>
      </c>
      <c r="F2436" s="6"/>
      <c r="G2436" s="6"/>
      <c r="H2436" s="6"/>
      <c r="I2436" s="6"/>
      <c r="J2436" s="6"/>
      <c r="K2436" s="6"/>
      <c r="L2436" s="6"/>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c r="BU2436" s="6"/>
      <c r="BV2436" s="6"/>
      <c r="BW2436" s="6"/>
      <c r="BX2436" s="6"/>
      <c r="BY2436" s="6"/>
      <c r="BZ2436" s="6"/>
      <c r="CA2436" s="6"/>
      <c r="CB2436" s="6"/>
      <c r="CC2436" s="6"/>
      <c r="CD2436" s="6"/>
      <c r="CE2436" s="6"/>
      <c r="CF2436" s="6"/>
      <c r="CG2436" s="6"/>
      <c r="CH2436" s="6"/>
      <c r="CI2436" s="6"/>
      <c r="CJ2436" s="6"/>
      <c r="CK2436" s="6"/>
      <c r="CL2436" s="6"/>
      <c r="CM2436" s="6"/>
      <c r="CN2436" s="6"/>
      <c r="CO2436" s="6"/>
      <c r="CP2436" s="6"/>
      <c r="CQ2436" s="6"/>
      <c r="CR2436" s="6"/>
      <c r="CS2436" s="6"/>
      <c r="CT2436" s="6"/>
      <c r="CU2436" s="6"/>
      <c r="CV2436" s="6"/>
      <c r="CW2436" s="6"/>
      <c r="CX2436" s="6"/>
      <c r="CY2436" s="6"/>
      <c r="CZ2436" s="6"/>
      <c r="DA2436" s="6"/>
      <c r="DB2436" s="6"/>
      <c r="DC2436" s="6"/>
      <c r="DD2436" s="6"/>
    </row>
    <row r="2437" spans="1:108" ht="12.75" hidden="1" customHeight="1" outlineLevel="5">
      <c r="A2437" s="104" t="s">
        <v>53</v>
      </c>
      <c r="B2437" s="28">
        <f t="shared" si="134"/>
        <v>11</v>
      </c>
      <c r="C2437" s="11"/>
      <c r="D2437" s="18" t="str">
        <f t="shared" si="135"/>
        <v>&lt;NumXsecs&gt;11&lt;/NumXsecs&gt;</v>
      </c>
      <c r="F2437" s="6"/>
      <c r="G2437" s="6"/>
      <c r="H2437" s="6"/>
      <c r="I2437" s="6"/>
      <c r="J2437" s="6"/>
      <c r="K2437" s="6"/>
      <c r="L2437" s="6"/>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c r="BU2437" s="6"/>
      <c r="BV2437" s="6"/>
      <c r="BW2437" s="6"/>
      <c r="BX2437" s="6"/>
      <c r="BY2437" s="6"/>
      <c r="BZ2437" s="6"/>
      <c r="CA2437" s="6"/>
      <c r="CB2437" s="6"/>
      <c r="CC2437" s="6"/>
      <c r="CD2437" s="6"/>
      <c r="CE2437" s="6"/>
      <c r="CF2437" s="6"/>
      <c r="CG2437" s="6"/>
      <c r="CH2437" s="6"/>
      <c r="CI2437" s="6"/>
      <c r="CJ2437" s="6"/>
      <c r="CK2437" s="6"/>
      <c r="CL2437" s="6"/>
      <c r="CM2437" s="6"/>
      <c r="CN2437" s="6"/>
      <c r="CO2437" s="6"/>
      <c r="CP2437" s="6"/>
      <c r="CQ2437" s="6"/>
      <c r="CR2437" s="6"/>
      <c r="CS2437" s="6"/>
      <c r="CT2437" s="6"/>
      <c r="CU2437" s="6"/>
      <c r="CV2437" s="6"/>
      <c r="CW2437" s="6"/>
      <c r="CX2437" s="6"/>
      <c r="CY2437" s="6"/>
      <c r="CZ2437" s="6"/>
      <c r="DA2437" s="6"/>
      <c r="DB2437" s="6"/>
      <c r="DC2437" s="6"/>
      <c r="DD2437" s="6"/>
    </row>
    <row r="2438" spans="1:108" ht="12.75" hidden="1" customHeight="1" outlineLevel="5">
      <c r="A2438" s="104" t="s">
        <v>54</v>
      </c>
      <c r="B2438" s="28">
        <f t="shared" si="134"/>
        <v>0</v>
      </c>
      <c r="C2438" s="11"/>
      <c r="D2438" s="18" t="str">
        <f t="shared" si="135"/>
        <v>&lt;MassPrior&gt;0&lt;/MassPrior&gt;</v>
      </c>
      <c r="F2438" s="6"/>
      <c r="G2438" s="6"/>
      <c r="H2438" s="6"/>
      <c r="I2438" s="6"/>
      <c r="J2438" s="6"/>
      <c r="K2438" s="6"/>
      <c r="L2438" s="6"/>
      <c r="M2438" s="6"/>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c r="BU2438" s="6"/>
      <c r="BV2438" s="6"/>
      <c r="BW2438" s="6"/>
      <c r="BX2438" s="6"/>
      <c r="BY2438" s="6"/>
      <c r="BZ2438" s="6"/>
      <c r="CA2438" s="6"/>
      <c r="CB2438" s="6"/>
      <c r="CC2438" s="6"/>
      <c r="CD2438" s="6"/>
      <c r="CE2438" s="6"/>
      <c r="CF2438" s="6"/>
      <c r="CG2438" s="6"/>
      <c r="CH2438" s="6"/>
      <c r="CI2438" s="6"/>
      <c r="CJ2438" s="6"/>
      <c r="CK2438" s="6"/>
      <c r="CL2438" s="6"/>
      <c r="CM2438" s="6"/>
      <c r="CN2438" s="6"/>
      <c r="CO2438" s="6"/>
      <c r="CP2438" s="6"/>
      <c r="CQ2438" s="6"/>
      <c r="CR2438" s="6"/>
      <c r="CS2438" s="6"/>
      <c r="CT2438" s="6"/>
      <c r="CU2438" s="6"/>
      <c r="CV2438" s="6"/>
      <c r="CW2438" s="6"/>
      <c r="CX2438" s="6"/>
      <c r="CY2438" s="6"/>
      <c r="CZ2438" s="6"/>
      <c r="DA2438" s="6"/>
      <c r="DB2438" s="6"/>
      <c r="DC2438" s="6"/>
      <c r="DD2438" s="6"/>
    </row>
    <row r="2439" spans="1:108" ht="12.75" hidden="1" customHeight="1" outlineLevel="5">
      <c r="A2439" s="104" t="s">
        <v>55</v>
      </c>
      <c r="B2439" s="28">
        <f t="shared" si="134"/>
        <v>0</v>
      </c>
      <c r="C2439" s="11"/>
      <c r="D2439" s="18" t="str">
        <f t="shared" si="135"/>
        <v>&lt;ShellFlag&gt;0&lt;/ShellFlag&gt;</v>
      </c>
      <c r="F2439" s="6"/>
      <c r="G2439" s="6"/>
      <c r="H2439" s="6"/>
      <c r="I2439" s="6"/>
      <c r="J2439" s="6"/>
      <c r="K2439" s="6"/>
      <c r="L2439" s="6"/>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c r="BU2439" s="6"/>
      <c r="BV2439" s="6"/>
      <c r="BW2439" s="6"/>
      <c r="BX2439" s="6"/>
      <c r="BY2439" s="6"/>
      <c r="BZ2439" s="6"/>
      <c r="CA2439" s="6"/>
      <c r="CB2439" s="6"/>
      <c r="CC2439" s="6"/>
      <c r="CD2439" s="6"/>
      <c r="CE2439" s="6"/>
      <c r="CF2439" s="6"/>
      <c r="CG2439" s="6"/>
      <c r="CH2439" s="6"/>
      <c r="CI2439" s="6"/>
      <c r="CJ2439" s="6"/>
      <c r="CK2439" s="6"/>
      <c r="CL2439" s="6"/>
      <c r="CM2439" s="6"/>
      <c r="CN2439" s="6"/>
      <c r="CO2439" s="6"/>
      <c r="CP2439" s="6"/>
      <c r="CQ2439" s="6"/>
      <c r="CR2439" s="6"/>
      <c r="CS2439" s="6"/>
      <c r="CT2439" s="6"/>
      <c r="CU2439" s="6"/>
      <c r="CV2439" s="6"/>
      <c r="CW2439" s="6"/>
      <c r="CX2439" s="6"/>
      <c r="CY2439" s="6"/>
      <c r="CZ2439" s="6"/>
      <c r="DA2439" s="6"/>
      <c r="DB2439" s="6"/>
      <c r="DC2439" s="6"/>
      <c r="DD2439" s="6"/>
    </row>
    <row r="2440" spans="1:108" ht="12.75" hidden="1" customHeight="1" outlineLevel="5">
      <c r="A2440" s="104" t="s">
        <v>56</v>
      </c>
      <c r="B2440" s="28">
        <f t="shared" si="134"/>
        <v>0</v>
      </c>
      <c r="C2440" s="11"/>
      <c r="D2440" s="18" t="str">
        <f t="shared" ref="D2440:D2454" si="136">"&lt;" &amp; A2440 &amp; "&gt;" &amp; TEXT(B2440,"0.000000") &amp; "&lt;/" &amp; A2440 &amp; "&gt;"</f>
        <v>&lt;Tran_X&gt;0.000000&lt;/Tran_X&gt;</v>
      </c>
      <c r="F2440" s="6"/>
      <c r="G2440" s="6"/>
      <c r="H2440" s="6"/>
      <c r="I2440" s="6"/>
      <c r="J2440" s="6"/>
      <c r="K2440" s="6"/>
      <c r="L2440" s="6"/>
      <c r="M2440" s="6"/>
      <c r="N2440" s="6"/>
      <c r="O2440" s="6"/>
      <c r="P2440" s="6"/>
      <c r="Q2440" s="6"/>
      <c r="R2440" s="6"/>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c r="BU2440" s="6"/>
      <c r="BV2440" s="6"/>
      <c r="BW2440" s="6"/>
      <c r="BX2440" s="6"/>
      <c r="BY2440" s="6"/>
      <c r="BZ2440" s="6"/>
      <c r="CA2440" s="6"/>
      <c r="CB2440" s="6"/>
      <c r="CC2440" s="6"/>
      <c r="CD2440" s="6"/>
      <c r="CE2440" s="6"/>
      <c r="CF2440" s="6"/>
      <c r="CG2440" s="6"/>
      <c r="CH2440" s="6"/>
      <c r="CI2440" s="6"/>
      <c r="CJ2440" s="6"/>
      <c r="CK2440" s="6"/>
      <c r="CL2440" s="6"/>
      <c r="CM2440" s="6"/>
      <c r="CN2440" s="6"/>
      <c r="CO2440" s="6"/>
      <c r="CP2440" s="6"/>
      <c r="CQ2440" s="6"/>
      <c r="CR2440" s="6"/>
      <c r="CS2440" s="6"/>
      <c r="CT2440" s="6"/>
      <c r="CU2440" s="6"/>
      <c r="CV2440" s="6"/>
      <c r="CW2440" s="6"/>
      <c r="CX2440" s="6"/>
      <c r="CY2440" s="6"/>
      <c r="CZ2440" s="6"/>
      <c r="DA2440" s="6"/>
      <c r="DB2440" s="6"/>
      <c r="DC2440" s="6"/>
      <c r="DD2440" s="6"/>
    </row>
    <row r="2441" spans="1:108" ht="12.75" hidden="1" customHeight="1" outlineLevel="5">
      <c r="A2441" s="104" t="s">
        <v>57</v>
      </c>
      <c r="B2441" s="28">
        <f t="shared" si="134"/>
        <v>0</v>
      </c>
      <c r="C2441" s="11"/>
      <c r="D2441" s="18" t="str">
        <f t="shared" si="136"/>
        <v>&lt;Tran_Y&gt;0.000000&lt;/Tran_Y&gt;</v>
      </c>
      <c r="F2441" s="6"/>
      <c r="G2441" s="6"/>
      <c r="H2441" s="6"/>
      <c r="I2441" s="6"/>
      <c r="J2441" s="6"/>
      <c r="K2441" s="6"/>
      <c r="L2441" s="6"/>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c r="BU2441" s="6"/>
      <c r="BV2441" s="6"/>
      <c r="BW2441" s="6"/>
      <c r="BX2441" s="6"/>
      <c r="BY2441" s="6"/>
      <c r="BZ2441" s="6"/>
      <c r="CA2441" s="6"/>
      <c r="CB2441" s="6"/>
      <c r="CC2441" s="6"/>
      <c r="CD2441" s="6"/>
      <c r="CE2441" s="6"/>
      <c r="CF2441" s="6"/>
      <c r="CG2441" s="6"/>
      <c r="CH2441" s="6"/>
      <c r="CI2441" s="6"/>
      <c r="CJ2441" s="6"/>
      <c r="CK2441" s="6"/>
      <c r="CL2441" s="6"/>
      <c r="CM2441" s="6"/>
      <c r="CN2441" s="6"/>
      <c r="CO2441" s="6"/>
      <c r="CP2441" s="6"/>
      <c r="CQ2441" s="6"/>
      <c r="CR2441" s="6"/>
      <c r="CS2441" s="6"/>
      <c r="CT2441" s="6"/>
      <c r="CU2441" s="6"/>
      <c r="CV2441" s="6"/>
      <c r="CW2441" s="6"/>
      <c r="CX2441" s="6"/>
      <c r="CY2441" s="6"/>
      <c r="CZ2441" s="6"/>
      <c r="DA2441" s="6"/>
      <c r="DB2441" s="6"/>
      <c r="DC2441" s="6"/>
      <c r="DD2441" s="6"/>
    </row>
    <row r="2442" spans="1:108" ht="12.75" hidden="1" customHeight="1" outlineLevel="5">
      <c r="A2442" s="104" t="s">
        <v>58</v>
      </c>
      <c r="B2442" s="28">
        <f t="shared" si="134"/>
        <v>0</v>
      </c>
      <c r="C2442" s="11"/>
      <c r="D2442" s="18" t="str">
        <f t="shared" si="136"/>
        <v>&lt;Tran_Z&gt;0.000000&lt;/Tran_Z&gt;</v>
      </c>
      <c r="F2442" s="6"/>
      <c r="G2442" s="6"/>
      <c r="H2442" s="6"/>
      <c r="I2442" s="6"/>
      <c r="J2442" s="6"/>
      <c r="K2442" s="6"/>
      <c r="L2442" s="6"/>
      <c r="M2442" s="6"/>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c r="BU2442" s="6"/>
      <c r="BV2442" s="6"/>
      <c r="BW2442" s="6"/>
      <c r="BX2442" s="6"/>
      <c r="BY2442" s="6"/>
      <c r="BZ2442" s="6"/>
      <c r="CA2442" s="6"/>
      <c r="CB2442" s="6"/>
      <c r="CC2442" s="6"/>
      <c r="CD2442" s="6"/>
      <c r="CE2442" s="6"/>
      <c r="CF2442" s="6"/>
      <c r="CG2442" s="6"/>
      <c r="CH2442" s="6"/>
      <c r="CI2442" s="6"/>
      <c r="CJ2442" s="6"/>
      <c r="CK2442" s="6"/>
      <c r="CL2442" s="6"/>
      <c r="CM2442" s="6"/>
      <c r="CN2442" s="6"/>
      <c r="CO2442" s="6"/>
      <c r="CP2442" s="6"/>
      <c r="CQ2442" s="6"/>
      <c r="CR2442" s="6"/>
      <c r="CS2442" s="6"/>
      <c r="CT2442" s="6"/>
      <c r="CU2442" s="6"/>
      <c r="CV2442" s="6"/>
      <c r="CW2442" s="6"/>
      <c r="CX2442" s="6"/>
      <c r="CY2442" s="6"/>
      <c r="CZ2442" s="6"/>
      <c r="DA2442" s="6"/>
      <c r="DB2442" s="6"/>
      <c r="DC2442" s="6"/>
      <c r="DD2442" s="6"/>
    </row>
    <row r="2443" spans="1:108" ht="12.75" hidden="1" customHeight="1" outlineLevel="5">
      <c r="A2443" s="104" t="s">
        <v>59</v>
      </c>
      <c r="B2443" s="28">
        <f t="shared" si="134"/>
        <v>0</v>
      </c>
      <c r="C2443" s="11"/>
      <c r="D2443" s="18" t="str">
        <f t="shared" si="136"/>
        <v>&lt;TranRel_X&gt;0.000000&lt;/TranRel_X&gt;</v>
      </c>
      <c r="F2443" s="6"/>
      <c r="G2443" s="6"/>
      <c r="H2443" s="6"/>
      <c r="I2443" s="6"/>
      <c r="J2443" s="6"/>
      <c r="K2443" s="6"/>
      <c r="L2443" s="6"/>
      <c r="M2443" s="6"/>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c r="BU2443" s="6"/>
      <c r="BV2443" s="6"/>
      <c r="BW2443" s="6"/>
      <c r="BX2443" s="6"/>
      <c r="BY2443" s="6"/>
      <c r="BZ2443" s="6"/>
      <c r="CA2443" s="6"/>
      <c r="CB2443" s="6"/>
      <c r="CC2443" s="6"/>
      <c r="CD2443" s="6"/>
      <c r="CE2443" s="6"/>
      <c r="CF2443" s="6"/>
      <c r="CG2443" s="6"/>
      <c r="CH2443" s="6"/>
      <c r="CI2443" s="6"/>
      <c r="CJ2443" s="6"/>
      <c r="CK2443" s="6"/>
      <c r="CL2443" s="6"/>
      <c r="CM2443" s="6"/>
      <c r="CN2443" s="6"/>
      <c r="CO2443" s="6"/>
      <c r="CP2443" s="6"/>
      <c r="CQ2443" s="6"/>
      <c r="CR2443" s="6"/>
      <c r="CS2443" s="6"/>
      <c r="CT2443" s="6"/>
      <c r="CU2443" s="6"/>
      <c r="CV2443" s="6"/>
      <c r="CW2443" s="6"/>
      <c r="CX2443" s="6"/>
      <c r="CY2443" s="6"/>
      <c r="CZ2443" s="6"/>
      <c r="DA2443" s="6"/>
      <c r="DB2443" s="6"/>
      <c r="DC2443" s="6"/>
      <c r="DD2443" s="6"/>
    </row>
    <row r="2444" spans="1:108" ht="12.75" hidden="1" customHeight="1" outlineLevel="5">
      <c r="A2444" s="104" t="s">
        <v>60</v>
      </c>
      <c r="B2444" s="28">
        <f t="shared" si="134"/>
        <v>0</v>
      </c>
      <c r="C2444" s="11"/>
      <c r="D2444" s="18" t="str">
        <f t="shared" si="136"/>
        <v>&lt;TranRel_Y&gt;0.000000&lt;/TranRel_Y&gt;</v>
      </c>
      <c r="F2444" s="6"/>
      <c r="G2444" s="6"/>
      <c r="H2444" s="6"/>
      <c r="I2444" s="6"/>
      <c r="J2444" s="6"/>
      <c r="K2444" s="6"/>
      <c r="L2444" s="6"/>
      <c r="M2444" s="6"/>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c r="BU2444" s="6"/>
      <c r="BV2444" s="6"/>
      <c r="BW2444" s="6"/>
      <c r="BX2444" s="6"/>
      <c r="BY2444" s="6"/>
      <c r="BZ2444" s="6"/>
      <c r="CA2444" s="6"/>
      <c r="CB2444" s="6"/>
      <c r="CC2444" s="6"/>
      <c r="CD2444" s="6"/>
      <c r="CE2444" s="6"/>
      <c r="CF2444" s="6"/>
      <c r="CG2444" s="6"/>
      <c r="CH2444" s="6"/>
      <c r="CI2444" s="6"/>
      <c r="CJ2444" s="6"/>
      <c r="CK2444" s="6"/>
      <c r="CL2444" s="6"/>
      <c r="CM2444" s="6"/>
      <c r="CN2444" s="6"/>
      <c r="CO2444" s="6"/>
      <c r="CP2444" s="6"/>
      <c r="CQ2444" s="6"/>
      <c r="CR2444" s="6"/>
      <c r="CS2444" s="6"/>
      <c r="CT2444" s="6"/>
      <c r="CU2444" s="6"/>
      <c r="CV2444" s="6"/>
      <c r="CW2444" s="6"/>
      <c r="CX2444" s="6"/>
      <c r="CY2444" s="6"/>
      <c r="CZ2444" s="6"/>
      <c r="DA2444" s="6"/>
      <c r="DB2444" s="6"/>
      <c r="DC2444" s="6"/>
      <c r="DD2444" s="6"/>
    </row>
    <row r="2445" spans="1:108" ht="12.75" hidden="1" customHeight="1" outlineLevel="5">
      <c r="A2445" s="104" t="s">
        <v>61</v>
      </c>
      <c r="B2445" s="28">
        <f t="shared" si="134"/>
        <v>0</v>
      </c>
      <c r="C2445" s="11"/>
      <c r="D2445" s="18" t="str">
        <f t="shared" si="136"/>
        <v>&lt;TranRel_Z&gt;0.000000&lt;/TranRel_Z&gt;</v>
      </c>
      <c r="F2445" s="6"/>
      <c r="G2445" s="6"/>
      <c r="H2445" s="6"/>
      <c r="I2445" s="6"/>
      <c r="J2445" s="6"/>
      <c r="K2445" s="6"/>
      <c r="L2445" s="6"/>
      <c r="M2445" s="6"/>
      <c r="N2445" s="6"/>
      <c r="O2445" s="6"/>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c r="BU2445" s="6"/>
      <c r="BV2445" s="6"/>
      <c r="BW2445" s="6"/>
      <c r="BX2445" s="6"/>
      <c r="BY2445" s="6"/>
      <c r="BZ2445" s="6"/>
      <c r="CA2445" s="6"/>
      <c r="CB2445" s="6"/>
      <c r="CC2445" s="6"/>
      <c r="CD2445" s="6"/>
      <c r="CE2445" s="6"/>
      <c r="CF2445" s="6"/>
      <c r="CG2445" s="6"/>
      <c r="CH2445" s="6"/>
      <c r="CI2445" s="6"/>
      <c r="CJ2445" s="6"/>
      <c r="CK2445" s="6"/>
      <c r="CL2445" s="6"/>
      <c r="CM2445" s="6"/>
      <c r="CN2445" s="6"/>
      <c r="CO2445" s="6"/>
      <c r="CP2445" s="6"/>
      <c r="CQ2445" s="6"/>
      <c r="CR2445" s="6"/>
      <c r="CS2445" s="6"/>
      <c r="CT2445" s="6"/>
      <c r="CU2445" s="6"/>
      <c r="CV2445" s="6"/>
      <c r="CW2445" s="6"/>
      <c r="CX2445" s="6"/>
      <c r="CY2445" s="6"/>
      <c r="CZ2445" s="6"/>
      <c r="DA2445" s="6"/>
      <c r="DB2445" s="6"/>
      <c r="DC2445" s="6"/>
      <c r="DD2445" s="6"/>
    </row>
    <row r="2446" spans="1:108" ht="12.75" hidden="1" customHeight="1" outlineLevel="5">
      <c r="A2446" s="104" t="s">
        <v>62</v>
      </c>
      <c r="B2446" s="28">
        <f t="shared" si="134"/>
        <v>0</v>
      </c>
      <c r="C2446" s="11"/>
      <c r="D2446" s="18" t="str">
        <f t="shared" si="136"/>
        <v>&lt;Rot_X&gt;0.000000&lt;/Rot_X&gt;</v>
      </c>
      <c r="F2446" s="6"/>
      <c r="G2446" s="6"/>
      <c r="H2446" s="6"/>
      <c r="I2446" s="6"/>
      <c r="J2446" s="6"/>
      <c r="K2446" s="6"/>
      <c r="L2446" s="6"/>
      <c r="M2446" s="6"/>
      <c r="N2446" s="6"/>
      <c r="O2446" s="6"/>
      <c r="P2446" s="6"/>
      <c r="Q2446" s="6"/>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c r="BU2446" s="6"/>
      <c r="BV2446" s="6"/>
      <c r="BW2446" s="6"/>
      <c r="BX2446" s="6"/>
      <c r="BY2446" s="6"/>
      <c r="BZ2446" s="6"/>
      <c r="CA2446" s="6"/>
      <c r="CB2446" s="6"/>
      <c r="CC2446" s="6"/>
      <c r="CD2446" s="6"/>
      <c r="CE2446" s="6"/>
      <c r="CF2446" s="6"/>
      <c r="CG2446" s="6"/>
      <c r="CH2446" s="6"/>
      <c r="CI2446" s="6"/>
      <c r="CJ2446" s="6"/>
      <c r="CK2446" s="6"/>
      <c r="CL2446" s="6"/>
      <c r="CM2446" s="6"/>
      <c r="CN2446" s="6"/>
      <c r="CO2446" s="6"/>
      <c r="CP2446" s="6"/>
      <c r="CQ2446" s="6"/>
      <c r="CR2446" s="6"/>
      <c r="CS2446" s="6"/>
      <c r="CT2446" s="6"/>
      <c r="CU2446" s="6"/>
      <c r="CV2446" s="6"/>
      <c r="CW2446" s="6"/>
      <c r="CX2446" s="6"/>
      <c r="CY2446" s="6"/>
      <c r="CZ2446" s="6"/>
      <c r="DA2446" s="6"/>
      <c r="DB2446" s="6"/>
      <c r="DC2446" s="6"/>
      <c r="DD2446" s="6"/>
    </row>
    <row r="2447" spans="1:108" ht="12.75" hidden="1" customHeight="1" outlineLevel="5">
      <c r="A2447" s="104" t="s">
        <v>63</v>
      </c>
      <c r="B2447" s="28">
        <f t="shared" si="134"/>
        <v>0</v>
      </c>
      <c r="C2447" s="11"/>
      <c r="D2447" s="18" t="str">
        <f t="shared" si="136"/>
        <v>&lt;Rot_Y&gt;0.000000&lt;/Rot_Y&gt;</v>
      </c>
      <c r="F2447" s="6"/>
      <c r="G2447" s="6"/>
      <c r="H2447" s="6"/>
      <c r="I2447" s="6"/>
      <c r="J2447" s="6"/>
      <c r="K2447" s="6"/>
      <c r="L2447" s="6"/>
      <c r="M2447" s="6"/>
      <c r="N2447" s="6"/>
      <c r="O2447" s="6"/>
      <c r="P2447" s="6"/>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c r="BU2447" s="6"/>
      <c r="BV2447" s="6"/>
      <c r="BW2447" s="6"/>
      <c r="BX2447" s="6"/>
      <c r="BY2447" s="6"/>
      <c r="BZ2447" s="6"/>
      <c r="CA2447" s="6"/>
      <c r="CB2447" s="6"/>
      <c r="CC2447" s="6"/>
      <c r="CD2447" s="6"/>
      <c r="CE2447" s="6"/>
      <c r="CF2447" s="6"/>
      <c r="CG2447" s="6"/>
      <c r="CH2447" s="6"/>
      <c r="CI2447" s="6"/>
      <c r="CJ2447" s="6"/>
      <c r="CK2447" s="6"/>
      <c r="CL2447" s="6"/>
      <c r="CM2447" s="6"/>
      <c r="CN2447" s="6"/>
      <c r="CO2447" s="6"/>
      <c r="CP2447" s="6"/>
      <c r="CQ2447" s="6"/>
      <c r="CR2447" s="6"/>
      <c r="CS2447" s="6"/>
      <c r="CT2447" s="6"/>
      <c r="CU2447" s="6"/>
      <c r="CV2447" s="6"/>
      <c r="CW2447" s="6"/>
      <c r="CX2447" s="6"/>
      <c r="CY2447" s="6"/>
      <c r="CZ2447" s="6"/>
      <c r="DA2447" s="6"/>
      <c r="DB2447" s="6"/>
      <c r="DC2447" s="6"/>
      <c r="DD2447" s="6"/>
    </row>
    <row r="2448" spans="1:108" ht="12.75" hidden="1" customHeight="1" outlineLevel="5">
      <c r="A2448" s="104" t="s">
        <v>64</v>
      </c>
      <c r="B2448" s="28">
        <f t="shared" si="134"/>
        <v>0</v>
      </c>
      <c r="C2448" s="11"/>
      <c r="D2448" s="18" t="str">
        <f t="shared" si="136"/>
        <v>&lt;Rot_Z&gt;0.000000&lt;/Rot_Z&gt;</v>
      </c>
      <c r="F2448" s="6"/>
      <c r="G2448" s="6"/>
      <c r="H2448" s="6"/>
      <c r="I2448" s="6"/>
      <c r="J2448" s="6"/>
      <c r="K2448" s="6"/>
      <c r="L2448" s="6"/>
      <c r="M2448" s="6"/>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c r="BU2448" s="6"/>
      <c r="BV2448" s="6"/>
      <c r="BW2448" s="6"/>
      <c r="BX2448" s="6"/>
      <c r="BY2448" s="6"/>
      <c r="BZ2448" s="6"/>
      <c r="CA2448" s="6"/>
      <c r="CB2448" s="6"/>
      <c r="CC2448" s="6"/>
      <c r="CD2448" s="6"/>
      <c r="CE2448" s="6"/>
      <c r="CF2448" s="6"/>
      <c r="CG2448" s="6"/>
      <c r="CH2448" s="6"/>
      <c r="CI2448" s="6"/>
      <c r="CJ2448" s="6"/>
      <c r="CK2448" s="6"/>
      <c r="CL2448" s="6"/>
      <c r="CM2448" s="6"/>
      <c r="CN2448" s="6"/>
      <c r="CO2448" s="6"/>
      <c r="CP2448" s="6"/>
      <c r="CQ2448" s="6"/>
      <c r="CR2448" s="6"/>
      <c r="CS2448" s="6"/>
      <c r="CT2448" s="6"/>
      <c r="CU2448" s="6"/>
      <c r="CV2448" s="6"/>
      <c r="CW2448" s="6"/>
      <c r="CX2448" s="6"/>
      <c r="CY2448" s="6"/>
      <c r="CZ2448" s="6"/>
      <c r="DA2448" s="6"/>
      <c r="DB2448" s="6"/>
      <c r="DC2448" s="6"/>
      <c r="DD2448" s="6"/>
    </row>
    <row r="2449" spans="1:108" ht="12.75" hidden="1" customHeight="1" outlineLevel="5">
      <c r="A2449" s="104" t="s">
        <v>65</v>
      </c>
      <c r="B2449" s="28">
        <f t="shared" si="134"/>
        <v>0</v>
      </c>
      <c r="C2449" s="11"/>
      <c r="D2449" s="18" t="str">
        <f t="shared" si="136"/>
        <v>&lt;RotRel_X&gt;0.000000&lt;/RotRel_X&gt;</v>
      </c>
      <c r="F2449" s="6"/>
      <c r="G2449" s="6"/>
      <c r="H2449" s="6"/>
      <c r="I2449" s="6"/>
      <c r="J2449" s="6"/>
      <c r="K2449" s="6"/>
      <c r="L2449" s="6"/>
      <c r="M2449" s="6"/>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c r="BU2449" s="6"/>
      <c r="BV2449" s="6"/>
      <c r="BW2449" s="6"/>
      <c r="BX2449" s="6"/>
      <c r="BY2449" s="6"/>
      <c r="BZ2449" s="6"/>
      <c r="CA2449" s="6"/>
      <c r="CB2449" s="6"/>
      <c r="CC2449" s="6"/>
      <c r="CD2449" s="6"/>
      <c r="CE2449" s="6"/>
      <c r="CF2449" s="6"/>
      <c r="CG2449" s="6"/>
      <c r="CH2449" s="6"/>
      <c r="CI2449" s="6"/>
      <c r="CJ2449" s="6"/>
      <c r="CK2449" s="6"/>
      <c r="CL2449" s="6"/>
      <c r="CM2449" s="6"/>
      <c r="CN2449" s="6"/>
      <c r="CO2449" s="6"/>
      <c r="CP2449" s="6"/>
      <c r="CQ2449" s="6"/>
      <c r="CR2449" s="6"/>
      <c r="CS2449" s="6"/>
      <c r="CT2449" s="6"/>
      <c r="CU2449" s="6"/>
      <c r="CV2449" s="6"/>
      <c r="CW2449" s="6"/>
      <c r="CX2449" s="6"/>
      <c r="CY2449" s="6"/>
      <c r="CZ2449" s="6"/>
      <c r="DA2449" s="6"/>
      <c r="DB2449" s="6"/>
      <c r="DC2449" s="6"/>
      <c r="DD2449" s="6"/>
    </row>
    <row r="2450" spans="1:108" ht="12.75" hidden="1" customHeight="1" outlineLevel="5">
      <c r="A2450" s="104" t="s">
        <v>66</v>
      </c>
      <c r="B2450" s="28">
        <f t="shared" si="134"/>
        <v>0</v>
      </c>
      <c r="C2450" s="11"/>
      <c r="D2450" s="18" t="str">
        <f t="shared" si="136"/>
        <v>&lt;RotRel_Y&gt;0.000000&lt;/RotRel_Y&gt;</v>
      </c>
      <c r="F2450" s="6"/>
      <c r="G2450" s="6"/>
      <c r="H2450" s="6"/>
      <c r="I2450" s="6"/>
      <c r="J2450" s="6"/>
      <c r="K2450" s="6"/>
      <c r="L2450" s="6"/>
      <c r="M2450" s="6"/>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c r="BU2450" s="6"/>
      <c r="BV2450" s="6"/>
      <c r="BW2450" s="6"/>
      <c r="BX2450" s="6"/>
      <c r="BY2450" s="6"/>
      <c r="BZ2450" s="6"/>
      <c r="CA2450" s="6"/>
      <c r="CB2450" s="6"/>
      <c r="CC2450" s="6"/>
      <c r="CD2450" s="6"/>
      <c r="CE2450" s="6"/>
      <c r="CF2450" s="6"/>
      <c r="CG2450" s="6"/>
      <c r="CH2450" s="6"/>
      <c r="CI2450" s="6"/>
      <c r="CJ2450" s="6"/>
      <c r="CK2450" s="6"/>
      <c r="CL2450" s="6"/>
      <c r="CM2450" s="6"/>
      <c r="CN2450" s="6"/>
      <c r="CO2450" s="6"/>
      <c r="CP2450" s="6"/>
      <c r="CQ2450" s="6"/>
      <c r="CR2450" s="6"/>
      <c r="CS2450" s="6"/>
      <c r="CT2450" s="6"/>
      <c r="CU2450" s="6"/>
      <c r="CV2450" s="6"/>
      <c r="CW2450" s="6"/>
      <c r="CX2450" s="6"/>
      <c r="CY2450" s="6"/>
      <c r="CZ2450" s="6"/>
      <c r="DA2450" s="6"/>
      <c r="DB2450" s="6"/>
      <c r="DC2450" s="6"/>
      <c r="DD2450" s="6"/>
    </row>
    <row r="2451" spans="1:108" ht="12.75" hidden="1" customHeight="1" outlineLevel="5">
      <c r="A2451" s="104" t="s">
        <v>67</v>
      </c>
      <c r="B2451" s="28">
        <f t="shared" si="134"/>
        <v>0</v>
      </c>
      <c r="C2451" s="11"/>
      <c r="D2451" s="18" t="str">
        <f t="shared" si="136"/>
        <v>&lt;RotRel_Z&gt;0.000000&lt;/RotRel_Z&gt;</v>
      </c>
      <c r="F2451" s="6"/>
      <c r="G2451" s="6"/>
      <c r="H2451" s="6"/>
      <c r="I2451" s="6"/>
      <c r="J2451" s="6"/>
      <c r="K2451" s="6"/>
      <c r="L2451" s="6"/>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c r="BU2451" s="6"/>
      <c r="BV2451" s="6"/>
      <c r="BW2451" s="6"/>
      <c r="BX2451" s="6"/>
      <c r="BY2451" s="6"/>
      <c r="BZ2451" s="6"/>
      <c r="CA2451" s="6"/>
      <c r="CB2451" s="6"/>
      <c r="CC2451" s="6"/>
      <c r="CD2451" s="6"/>
      <c r="CE2451" s="6"/>
      <c r="CF2451" s="6"/>
      <c r="CG2451" s="6"/>
      <c r="CH2451" s="6"/>
      <c r="CI2451" s="6"/>
      <c r="CJ2451" s="6"/>
      <c r="CK2451" s="6"/>
      <c r="CL2451" s="6"/>
      <c r="CM2451" s="6"/>
      <c r="CN2451" s="6"/>
      <c r="CO2451" s="6"/>
      <c r="CP2451" s="6"/>
      <c r="CQ2451" s="6"/>
      <c r="CR2451" s="6"/>
      <c r="CS2451" s="6"/>
      <c r="CT2451" s="6"/>
      <c r="CU2451" s="6"/>
      <c r="CV2451" s="6"/>
      <c r="CW2451" s="6"/>
      <c r="CX2451" s="6"/>
      <c r="CY2451" s="6"/>
      <c r="CZ2451" s="6"/>
      <c r="DA2451" s="6"/>
      <c r="DB2451" s="6"/>
      <c r="DC2451" s="6"/>
      <c r="DD2451" s="6"/>
    </row>
    <row r="2452" spans="1:108" ht="12.75" hidden="1" customHeight="1" outlineLevel="5">
      <c r="A2452" s="104" t="s">
        <v>68</v>
      </c>
      <c r="B2452" s="28">
        <f t="shared" si="134"/>
        <v>0</v>
      </c>
      <c r="C2452" s="11"/>
      <c r="D2452" s="18" t="str">
        <f t="shared" si="136"/>
        <v>&lt;Origin&gt;0.000000&lt;/Origin&gt;</v>
      </c>
      <c r="F2452" s="6"/>
      <c r="G2452" s="6"/>
      <c r="H2452" s="6"/>
      <c r="I2452" s="6"/>
      <c r="J2452" s="6"/>
      <c r="K2452" s="6"/>
      <c r="L2452" s="6"/>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c r="BU2452" s="6"/>
      <c r="BV2452" s="6"/>
      <c r="BW2452" s="6"/>
      <c r="BX2452" s="6"/>
      <c r="BY2452" s="6"/>
      <c r="BZ2452" s="6"/>
      <c r="CA2452" s="6"/>
      <c r="CB2452" s="6"/>
      <c r="CC2452" s="6"/>
      <c r="CD2452" s="6"/>
      <c r="CE2452" s="6"/>
      <c r="CF2452" s="6"/>
      <c r="CG2452" s="6"/>
      <c r="CH2452" s="6"/>
      <c r="CI2452" s="6"/>
      <c r="CJ2452" s="6"/>
      <c r="CK2452" s="6"/>
      <c r="CL2452" s="6"/>
      <c r="CM2452" s="6"/>
      <c r="CN2452" s="6"/>
      <c r="CO2452" s="6"/>
      <c r="CP2452" s="6"/>
      <c r="CQ2452" s="6"/>
      <c r="CR2452" s="6"/>
      <c r="CS2452" s="6"/>
      <c r="CT2452" s="6"/>
      <c r="CU2452" s="6"/>
      <c r="CV2452" s="6"/>
      <c r="CW2452" s="6"/>
      <c r="CX2452" s="6"/>
      <c r="CY2452" s="6"/>
      <c r="CZ2452" s="6"/>
      <c r="DA2452" s="6"/>
      <c r="DB2452" s="6"/>
      <c r="DC2452" s="6"/>
      <c r="DD2452" s="6"/>
    </row>
    <row r="2453" spans="1:108" ht="12.75" hidden="1" customHeight="1" outlineLevel="5">
      <c r="A2453" s="104" t="s">
        <v>69</v>
      </c>
      <c r="B2453" s="28">
        <f t="shared" si="134"/>
        <v>1</v>
      </c>
      <c r="C2453" s="11"/>
      <c r="D2453" s="18" t="str">
        <f t="shared" si="136"/>
        <v>&lt;Density&gt;1.000000&lt;/Density&gt;</v>
      </c>
      <c r="F2453" s="6"/>
      <c r="G2453" s="6"/>
      <c r="H2453" s="6"/>
      <c r="I2453" s="6"/>
      <c r="J2453" s="6"/>
      <c r="K2453" s="6"/>
      <c r="L2453" s="6"/>
      <c r="M2453" s="6"/>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c r="BU2453" s="6"/>
      <c r="BV2453" s="6"/>
      <c r="BW2453" s="6"/>
      <c r="BX2453" s="6"/>
      <c r="BY2453" s="6"/>
      <c r="BZ2453" s="6"/>
      <c r="CA2453" s="6"/>
      <c r="CB2453" s="6"/>
      <c r="CC2453" s="6"/>
      <c r="CD2453" s="6"/>
      <c r="CE2453" s="6"/>
      <c r="CF2453" s="6"/>
      <c r="CG2453" s="6"/>
      <c r="CH2453" s="6"/>
      <c r="CI2453" s="6"/>
      <c r="CJ2453" s="6"/>
      <c r="CK2453" s="6"/>
      <c r="CL2453" s="6"/>
      <c r="CM2453" s="6"/>
      <c r="CN2453" s="6"/>
      <c r="CO2453" s="6"/>
      <c r="CP2453" s="6"/>
      <c r="CQ2453" s="6"/>
      <c r="CR2453" s="6"/>
      <c r="CS2453" s="6"/>
      <c r="CT2453" s="6"/>
      <c r="CU2453" s="6"/>
      <c r="CV2453" s="6"/>
      <c r="CW2453" s="6"/>
      <c r="CX2453" s="6"/>
      <c r="CY2453" s="6"/>
      <c r="CZ2453" s="6"/>
      <c r="DA2453" s="6"/>
      <c r="DB2453" s="6"/>
      <c r="DC2453" s="6"/>
      <c r="DD2453" s="6"/>
    </row>
    <row r="2454" spans="1:108" ht="12.75" hidden="1" customHeight="1" outlineLevel="5">
      <c r="A2454" s="104" t="s">
        <v>70</v>
      </c>
      <c r="B2454" s="28">
        <f t="shared" si="134"/>
        <v>1</v>
      </c>
      <c r="C2454" s="11"/>
      <c r="D2454" s="18" t="str">
        <f t="shared" si="136"/>
        <v>&lt;ShellMassArea&gt;1.000000&lt;/ShellMassArea&gt;</v>
      </c>
      <c r="F2454" s="6"/>
      <c r="G2454" s="6"/>
      <c r="H2454" s="6"/>
      <c r="I2454" s="6"/>
      <c r="J2454" s="6"/>
      <c r="K2454" s="6"/>
      <c r="L2454" s="6"/>
      <c r="M2454" s="6"/>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c r="BU2454" s="6"/>
      <c r="BV2454" s="6"/>
      <c r="BW2454" s="6"/>
      <c r="BX2454" s="6"/>
      <c r="BY2454" s="6"/>
      <c r="BZ2454" s="6"/>
      <c r="CA2454" s="6"/>
      <c r="CB2454" s="6"/>
      <c r="CC2454" s="6"/>
      <c r="CD2454" s="6"/>
      <c r="CE2454" s="6"/>
      <c r="CF2454" s="6"/>
      <c r="CG2454" s="6"/>
      <c r="CH2454" s="6"/>
      <c r="CI2454" s="6"/>
      <c r="CJ2454" s="6"/>
      <c r="CK2454" s="6"/>
      <c r="CL2454" s="6"/>
      <c r="CM2454" s="6"/>
      <c r="CN2454" s="6"/>
      <c r="CO2454" s="6"/>
      <c r="CP2454" s="6"/>
      <c r="CQ2454" s="6"/>
      <c r="CR2454" s="6"/>
      <c r="CS2454" s="6"/>
      <c r="CT2454" s="6"/>
      <c r="CU2454" s="6"/>
      <c r="CV2454" s="6"/>
      <c r="CW2454" s="6"/>
      <c r="CX2454" s="6"/>
      <c r="CY2454" s="6"/>
      <c r="CZ2454" s="6"/>
      <c r="DA2454" s="6"/>
      <c r="DB2454" s="6"/>
      <c r="DC2454" s="6"/>
      <c r="DD2454" s="6"/>
    </row>
    <row r="2455" spans="1:108" ht="12.75" hidden="1" customHeight="1" outlineLevel="5">
      <c r="A2455" s="104" t="s">
        <v>71</v>
      </c>
      <c r="B2455" s="28">
        <f t="shared" si="134"/>
        <v>0</v>
      </c>
      <c r="C2455" s="11"/>
      <c r="D2455" s="18" t="str">
        <f>"&lt;" &amp; A2455 &amp; "&gt;" &amp; TEXT(B2455,0) &amp; "&lt;/" &amp; A2455 &amp; "&gt;"</f>
        <v>&lt;RefFlag&gt;0&lt;/RefFlag&gt;</v>
      </c>
      <c r="F2455" s="6"/>
      <c r="G2455" s="6"/>
      <c r="H2455" s="6"/>
      <c r="I2455" s="6"/>
      <c r="J2455" s="6"/>
      <c r="K2455" s="6"/>
      <c r="L2455" s="6"/>
      <c r="M2455" s="6"/>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c r="BU2455" s="6"/>
      <c r="BV2455" s="6"/>
      <c r="BW2455" s="6"/>
      <c r="BX2455" s="6"/>
      <c r="BY2455" s="6"/>
      <c r="BZ2455" s="6"/>
      <c r="CA2455" s="6"/>
      <c r="CB2455" s="6"/>
      <c r="CC2455" s="6"/>
      <c r="CD2455" s="6"/>
      <c r="CE2455" s="6"/>
      <c r="CF2455" s="6"/>
      <c r="CG2455" s="6"/>
      <c r="CH2455" s="6"/>
      <c r="CI2455" s="6"/>
      <c r="CJ2455" s="6"/>
      <c r="CK2455" s="6"/>
      <c r="CL2455" s="6"/>
      <c r="CM2455" s="6"/>
      <c r="CN2455" s="6"/>
      <c r="CO2455" s="6"/>
      <c r="CP2455" s="6"/>
      <c r="CQ2455" s="6"/>
      <c r="CR2455" s="6"/>
      <c r="CS2455" s="6"/>
      <c r="CT2455" s="6"/>
      <c r="CU2455" s="6"/>
      <c r="CV2455" s="6"/>
      <c r="CW2455" s="6"/>
      <c r="CX2455" s="6"/>
      <c r="CY2455" s="6"/>
      <c r="CZ2455" s="6"/>
      <c r="DA2455" s="6"/>
      <c r="DB2455" s="6"/>
      <c r="DC2455" s="6"/>
      <c r="DD2455" s="6"/>
    </row>
    <row r="2456" spans="1:108" ht="12.75" hidden="1" customHeight="1" outlineLevel="5">
      <c r="A2456" s="104" t="s">
        <v>72</v>
      </c>
      <c r="B2456" s="28">
        <f t="shared" si="134"/>
        <v>100</v>
      </c>
      <c r="C2456" s="11"/>
      <c r="D2456" s="18" t="str">
        <f>"&lt;" &amp; A2456 &amp; "&gt;" &amp; TEXT(B2456,"0.000000") &amp; "&lt;/" &amp; A2456 &amp; "&gt;"</f>
        <v>&lt;RefArea&gt;100.000000&lt;/RefArea&gt;</v>
      </c>
      <c r="F2456" s="6"/>
      <c r="G2456" s="6"/>
      <c r="H2456" s="6"/>
      <c r="I2456" s="6"/>
      <c r="J2456" s="6"/>
      <c r="K2456" s="6"/>
      <c r="L2456" s="6"/>
      <c r="M2456" s="6"/>
      <c r="N2456" s="6"/>
      <c r="O2456" s="6"/>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c r="BU2456" s="6"/>
      <c r="BV2456" s="6"/>
      <c r="BW2456" s="6"/>
      <c r="BX2456" s="6"/>
      <c r="BY2456" s="6"/>
      <c r="BZ2456" s="6"/>
      <c r="CA2456" s="6"/>
      <c r="CB2456" s="6"/>
      <c r="CC2456" s="6"/>
      <c r="CD2456" s="6"/>
      <c r="CE2456" s="6"/>
      <c r="CF2456" s="6"/>
      <c r="CG2456" s="6"/>
      <c r="CH2456" s="6"/>
      <c r="CI2456" s="6"/>
      <c r="CJ2456" s="6"/>
      <c r="CK2456" s="6"/>
      <c r="CL2456" s="6"/>
      <c r="CM2456" s="6"/>
      <c r="CN2456" s="6"/>
      <c r="CO2456" s="6"/>
      <c r="CP2456" s="6"/>
      <c r="CQ2456" s="6"/>
      <c r="CR2456" s="6"/>
      <c r="CS2456" s="6"/>
      <c r="CT2456" s="6"/>
      <c r="CU2456" s="6"/>
      <c r="CV2456" s="6"/>
      <c r="CW2456" s="6"/>
      <c r="CX2456" s="6"/>
      <c r="CY2456" s="6"/>
      <c r="CZ2456" s="6"/>
      <c r="DA2456" s="6"/>
      <c r="DB2456" s="6"/>
      <c r="DC2456" s="6"/>
      <c r="DD2456" s="6"/>
    </row>
    <row r="2457" spans="1:108" ht="12.75" hidden="1" customHeight="1" outlineLevel="5">
      <c r="A2457" s="104" t="s">
        <v>73</v>
      </c>
      <c r="B2457" s="28">
        <f t="shared" si="134"/>
        <v>10</v>
      </c>
      <c r="C2457" s="11"/>
      <c r="D2457" s="18" t="str">
        <f>"&lt;" &amp; A2457 &amp; "&gt;" &amp; TEXT(B2457,"0.000000") &amp; "&lt;/" &amp; A2457 &amp; "&gt;"</f>
        <v>&lt;RefSpan&gt;10.000000&lt;/RefSpan&gt;</v>
      </c>
      <c r="F2457" s="6"/>
      <c r="G2457" s="6"/>
      <c r="H2457" s="6"/>
      <c r="I2457" s="6"/>
      <c r="J2457" s="6"/>
      <c r="K2457" s="6"/>
      <c r="L2457" s="6"/>
      <c r="M2457" s="6"/>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c r="BU2457" s="6"/>
      <c r="BV2457" s="6"/>
      <c r="BW2457" s="6"/>
      <c r="BX2457" s="6"/>
      <c r="BY2457" s="6"/>
      <c r="BZ2457" s="6"/>
      <c r="CA2457" s="6"/>
      <c r="CB2457" s="6"/>
      <c r="CC2457" s="6"/>
      <c r="CD2457" s="6"/>
      <c r="CE2457" s="6"/>
      <c r="CF2457" s="6"/>
      <c r="CG2457" s="6"/>
      <c r="CH2457" s="6"/>
      <c r="CI2457" s="6"/>
      <c r="CJ2457" s="6"/>
      <c r="CK2457" s="6"/>
      <c r="CL2457" s="6"/>
      <c r="CM2457" s="6"/>
      <c r="CN2457" s="6"/>
      <c r="CO2457" s="6"/>
      <c r="CP2457" s="6"/>
      <c r="CQ2457" s="6"/>
      <c r="CR2457" s="6"/>
      <c r="CS2457" s="6"/>
      <c r="CT2457" s="6"/>
      <c r="CU2457" s="6"/>
      <c r="CV2457" s="6"/>
      <c r="CW2457" s="6"/>
      <c r="CX2457" s="6"/>
      <c r="CY2457" s="6"/>
      <c r="CZ2457" s="6"/>
      <c r="DA2457" s="6"/>
      <c r="DB2457" s="6"/>
      <c r="DC2457" s="6"/>
      <c r="DD2457" s="6"/>
    </row>
    <row r="2458" spans="1:108" ht="12.75" hidden="1" customHeight="1" outlineLevel="5">
      <c r="A2458" s="104" t="s">
        <v>74</v>
      </c>
      <c r="B2458" s="28">
        <f t="shared" si="134"/>
        <v>1</v>
      </c>
      <c r="C2458" s="11"/>
      <c r="D2458" s="18" t="str">
        <f>"&lt;" &amp; A2458 &amp; "&gt;" &amp; TEXT(B2458,"0.000000") &amp; "&lt;/" &amp; A2458 &amp; "&gt;"</f>
        <v>&lt;RefCbar&gt;1.000000&lt;/RefCbar&gt;</v>
      </c>
      <c r="F2458" s="6"/>
      <c r="G2458" s="6"/>
      <c r="H2458" s="6"/>
      <c r="I2458" s="6"/>
      <c r="J2458" s="6"/>
      <c r="K2458" s="6"/>
      <c r="L2458" s="6"/>
      <c r="M2458" s="6"/>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c r="BU2458" s="6"/>
      <c r="BV2458" s="6"/>
      <c r="BW2458" s="6"/>
      <c r="BX2458" s="6"/>
      <c r="BY2458" s="6"/>
      <c r="BZ2458" s="6"/>
      <c r="CA2458" s="6"/>
      <c r="CB2458" s="6"/>
      <c r="CC2458" s="6"/>
      <c r="CD2458" s="6"/>
      <c r="CE2458" s="6"/>
      <c r="CF2458" s="6"/>
      <c r="CG2458" s="6"/>
      <c r="CH2458" s="6"/>
      <c r="CI2458" s="6"/>
      <c r="CJ2458" s="6"/>
      <c r="CK2458" s="6"/>
      <c r="CL2458" s="6"/>
      <c r="CM2458" s="6"/>
      <c r="CN2458" s="6"/>
      <c r="CO2458" s="6"/>
      <c r="CP2458" s="6"/>
      <c r="CQ2458" s="6"/>
      <c r="CR2458" s="6"/>
      <c r="CS2458" s="6"/>
      <c r="CT2458" s="6"/>
      <c r="CU2458" s="6"/>
      <c r="CV2458" s="6"/>
      <c r="CW2458" s="6"/>
      <c r="CX2458" s="6"/>
      <c r="CY2458" s="6"/>
      <c r="CZ2458" s="6"/>
      <c r="DA2458" s="6"/>
      <c r="DB2458" s="6"/>
      <c r="DC2458" s="6"/>
      <c r="DD2458" s="6"/>
    </row>
    <row r="2459" spans="1:108" ht="12.75" hidden="1" customHeight="1" outlineLevel="5">
      <c r="A2459" s="104" t="s">
        <v>75</v>
      </c>
      <c r="B2459" s="28">
        <f t="shared" si="134"/>
        <v>1</v>
      </c>
      <c r="C2459" s="11"/>
      <c r="D2459" s="18" t="str">
        <f>"&lt;" &amp; A2459 &amp; "&gt;" &amp; TEXT(B2459,0) &amp; "&lt;/" &amp; A2459 &amp; "&gt;"</f>
        <v>&lt;AutoRefAreaFlag&gt;1&lt;/AutoRefAreaFlag&gt;</v>
      </c>
      <c r="F2459" s="6"/>
      <c r="G2459" s="6"/>
      <c r="H2459" s="6"/>
      <c r="I2459" s="6"/>
      <c r="J2459" s="6"/>
      <c r="K2459" s="6"/>
      <c r="L2459" s="6"/>
      <c r="M2459" s="6"/>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c r="BU2459" s="6"/>
      <c r="BV2459" s="6"/>
      <c r="BW2459" s="6"/>
      <c r="BX2459" s="6"/>
      <c r="BY2459" s="6"/>
      <c r="BZ2459" s="6"/>
      <c r="CA2459" s="6"/>
      <c r="CB2459" s="6"/>
      <c r="CC2459" s="6"/>
      <c r="CD2459" s="6"/>
      <c r="CE2459" s="6"/>
      <c r="CF2459" s="6"/>
      <c r="CG2459" s="6"/>
      <c r="CH2459" s="6"/>
      <c r="CI2459" s="6"/>
      <c r="CJ2459" s="6"/>
      <c r="CK2459" s="6"/>
      <c r="CL2459" s="6"/>
      <c r="CM2459" s="6"/>
      <c r="CN2459" s="6"/>
      <c r="CO2459" s="6"/>
      <c r="CP2459" s="6"/>
      <c r="CQ2459" s="6"/>
      <c r="CR2459" s="6"/>
      <c r="CS2459" s="6"/>
      <c r="CT2459" s="6"/>
      <c r="CU2459" s="6"/>
      <c r="CV2459" s="6"/>
      <c r="CW2459" s="6"/>
      <c r="CX2459" s="6"/>
      <c r="CY2459" s="6"/>
      <c r="CZ2459" s="6"/>
      <c r="DA2459" s="6"/>
      <c r="DB2459" s="6"/>
      <c r="DC2459" s="6"/>
      <c r="DD2459" s="6"/>
    </row>
    <row r="2460" spans="1:108" ht="12.75" hidden="1" customHeight="1" outlineLevel="5">
      <c r="A2460" s="104" t="s">
        <v>76</v>
      </c>
      <c r="B2460" s="28">
        <f t="shared" si="134"/>
        <v>1</v>
      </c>
      <c r="C2460" s="11"/>
      <c r="D2460" s="18" t="str">
        <f>"&lt;" &amp; A2460 &amp; "&gt;" &amp; TEXT(B2460,0) &amp; "&lt;/" &amp; A2460 &amp; "&gt;"</f>
        <v>&lt;AutoRefSpanFlag&gt;1&lt;/AutoRefSpanFlag&gt;</v>
      </c>
      <c r="F2460" s="6"/>
      <c r="G2460" s="6"/>
      <c r="H2460" s="6"/>
      <c r="I2460" s="6"/>
      <c r="J2460" s="6"/>
      <c r="K2460" s="6"/>
      <c r="L2460" s="6"/>
      <c r="M2460" s="6"/>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c r="BU2460" s="6"/>
      <c r="BV2460" s="6"/>
      <c r="BW2460" s="6"/>
      <c r="BX2460" s="6"/>
      <c r="BY2460" s="6"/>
      <c r="BZ2460" s="6"/>
      <c r="CA2460" s="6"/>
      <c r="CB2460" s="6"/>
      <c r="CC2460" s="6"/>
      <c r="CD2460" s="6"/>
      <c r="CE2460" s="6"/>
      <c r="CF2460" s="6"/>
      <c r="CG2460" s="6"/>
      <c r="CH2460" s="6"/>
      <c r="CI2460" s="6"/>
      <c r="CJ2460" s="6"/>
      <c r="CK2460" s="6"/>
      <c r="CL2460" s="6"/>
      <c r="CM2460" s="6"/>
      <c r="CN2460" s="6"/>
      <c r="CO2460" s="6"/>
      <c r="CP2460" s="6"/>
      <c r="CQ2460" s="6"/>
      <c r="CR2460" s="6"/>
      <c r="CS2460" s="6"/>
      <c r="CT2460" s="6"/>
      <c r="CU2460" s="6"/>
      <c r="CV2460" s="6"/>
      <c r="CW2460" s="6"/>
      <c r="CX2460" s="6"/>
      <c r="CY2460" s="6"/>
      <c r="CZ2460" s="6"/>
      <c r="DA2460" s="6"/>
      <c r="DB2460" s="6"/>
      <c r="DC2460" s="6"/>
      <c r="DD2460" s="6"/>
    </row>
    <row r="2461" spans="1:108" ht="12.75" hidden="1" customHeight="1" outlineLevel="5">
      <c r="A2461" s="104" t="s">
        <v>77</v>
      </c>
      <c r="B2461" s="28">
        <f t="shared" si="134"/>
        <v>1</v>
      </c>
      <c r="C2461" s="11"/>
      <c r="D2461" s="18" t="str">
        <f>"&lt;" &amp; A2461 &amp; "&gt;" &amp; TEXT(B2461,0) &amp; "&lt;/" &amp; A2461 &amp; "&gt;"</f>
        <v>&lt;AutoRefCbarFlag&gt;1&lt;/AutoRefCbarFlag&gt;</v>
      </c>
      <c r="F2461" s="6"/>
      <c r="G2461" s="6"/>
      <c r="H2461" s="6"/>
      <c r="I2461" s="6"/>
      <c r="J2461" s="6"/>
      <c r="K2461" s="6"/>
      <c r="L2461" s="6"/>
      <c r="M2461" s="6"/>
      <c r="N2461" s="6"/>
      <c r="O2461" s="6"/>
      <c r="P2461" s="6"/>
      <c r="Q2461" s="6"/>
      <c r="R2461" s="6"/>
      <c r="S2461" s="6"/>
      <c r="T2461" s="6"/>
      <c r="U2461" s="6"/>
      <c r="V2461" s="6"/>
      <c r="W2461" s="6"/>
      <c r="X2461" s="6"/>
      <c r="Y2461" s="6"/>
      <c r="Z2461" s="6"/>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c r="BU2461" s="6"/>
      <c r="BV2461" s="6"/>
      <c r="BW2461" s="6"/>
      <c r="BX2461" s="6"/>
      <c r="BY2461" s="6"/>
      <c r="BZ2461" s="6"/>
      <c r="CA2461" s="6"/>
      <c r="CB2461" s="6"/>
      <c r="CC2461" s="6"/>
      <c r="CD2461" s="6"/>
      <c r="CE2461" s="6"/>
      <c r="CF2461" s="6"/>
      <c r="CG2461" s="6"/>
      <c r="CH2461" s="6"/>
      <c r="CI2461" s="6"/>
      <c r="CJ2461" s="6"/>
      <c r="CK2461" s="6"/>
      <c r="CL2461" s="6"/>
      <c r="CM2461" s="6"/>
      <c r="CN2461" s="6"/>
      <c r="CO2461" s="6"/>
      <c r="CP2461" s="6"/>
      <c r="CQ2461" s="6"/>
      <c r="CR2461" s="6"/>
      <c r="CS2461" s="6"/>
      <c r="CT2461" s="6"/>
      <c r="CU2461" s="6"/>
      <c r="CV2461" s="6"/>
      <c r="CW2461" s="6"/>
      <c r="CX2461" s="6"/>
      <c r="CY2461" s="6"/>
      <c r="CZ2461" s="6"/>
      <c r="DA2461" s="6"/>
      <c r="DB2461" s="6"/>
      <c r="DC2461" s="6"/>
      <c r="DD2461" s="6"/>
    </row>
    <row r="2462" spans="1:108" ht="12.75" hidden="1" customHeight="1" outlineLevel="5">
      <c r="A2462" s="104" t="s">
        <v>78</v>
      </c>
      <c r="B2462" s="28">
        <f t="shared" si="134"/>
        <v>0</v>
      </c>
      <c r="C2462" s="11"/>
      <c r="D2462" s="18" t="str">
        <f>"&lt;" &amp; A2462 &amp; "&gt;" &amp; TEXT(B2462,"0.000000") &amp; "&lt;/" &amp; A2462 &amp; "&gt;"</f>
        <v>&lt;AeroCenter_X&gt;0.000000&lt;/AeroCenter_X&gt;</v>
      </c>
      <c r="F2462" s="6"/>
      <c r="G2462" s="6"/>
      <c r="H2462" s="6"/>
      <c r="I2462" s="6"/>
      <c r="J2462" s="6"/>
      <c r="K2462" s="6"/>
      <c r="L2462" s="6"/>
      <c r="M2462" s="6"/>
      <c r="N2462" s="6"/>
      <c r="O2462" s="6"/>
      <c r="P2462" s="6"/>
      <c r="Q2462" s="6"/>
      <c r="R2462" s="6"/>
      <c r="S2462" s="6"/>
      <c r="T2462" s="6"/>
      <c r="U2462" s="6"/>
      <c r="V2462" s="6"/>
      <c r="W2462" s="6"/>
      <c r="X2462" s="6"/>
      <c r="Y2462" s="6"/>
      <c r="Z2462" s="6"/>
      <c r="AA2462" s="6"/>
      <c r="AB2462" s="6"/>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c r="BU2462" s="6"/>
      <c r="BV2462" s="6"/>
      <c r="BW2462" s="6"/>
      <c r="BX2462" s="6"/>
      <c r="BY2462" s="6"/>
      <c r="BZ2462" s="6"/>
      <c r="CA2462" s="6"/>
      <c r="CB2462" s="6"/>
      <c r="CC2462" s="6"/>
      <c r="CD2462" s="6"/>
      <c r="CE2462" s="6"/>
      <c r="CF2462" s="6"/>
      <c r="CG2462" s="6"/>
      <c r="CH2462" s="6"/>
      <c r="CI2462" s="6"/>
      <c r="CJ2462" s="6"/>
      <c r="CK2462" s="6"/>
      <c r="CL2462" s="6"/>
      <c r="CM2462" s="6"/>
      <c r="CN2462" s="6"/>
      <c r="CO2462" s="6"/>
      <c r="CP2462" s="6"/>
      <c r="CQ2462" s="6"/>
      <c r="CR2462" s="6"/>
      <c r="CS2462" s="6"/>
      <c r="CT2462" s="6"/>
      <c r="CU2462" s="6"/>
      <c r="CV2462" s="6"/>
      <c r="CW2462" s="6"/>
      <c r="CX2462" s="6"/>
      <c r="CY2462" s="6"/>
      <c r="CZ2462" s="6"/>
      <c r="DA2462" s="6"/>
      <c r="DB2462" s="6"/>
      <c r="DC2462" s="6"/>
      <c r="DD2462" s="6"/>
    </row>
    <row r="2463" spans="1:108" ht="12.75" hidden="1" customHeight="1" outlineLevel="5">
      <c r="A2463" s="104" t="s">
        <v>79</v>
      </c>
      <c r="B2463" s="28">
        <f t="shared" si="134"/>
        <v>0</v>
      </c>
      <c r="C2463" s="11"/>
      <c r="D2463" s="18" t="str">
        <f>"&lt;" &amp; A2463 &amp; "&gt;" &amp; TEXT(B2463,"0.000000") &amp; "&lt;/" &amp; A2463 &amp; "&gt;"</f>
        <v>&lt;AeroCenter_Y&gt;0.000000&lt;/AeroCenter_Y&gt;</v>
      </c>
      <c r="F2463" s="6"/>
      <c r="G2463" s="6"/>
      <c r="H2463" s="6"/>
      <c r="I2463" s="6"/>
      <c r="J2463" s="6"/>
      <c r="K2463" s="6"/>
      <c r="L2463" s="6"/>
      <c r="M2463" s="6"/>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c r="BU2463" s="6"/>
      <c r="BV2463" s="6"/>
      <c r="BW2463" s="6"/>
      <c r="BX2463" s="6"/>
      <c r="BY2463" s="6"/>
      <c r="BZ2463" s="6"/>
      <c r="CA2463" s="6"/>
      <c r="CB2463" s="6"/>
      <c r="CC2463" s="6"/>
      <c r="CD2463" s="6"/>
      <c r="CE2463" s="6"/>
      <c r="CF2463" s="6"/>
      <c r="CG2463" s="6"/>
      <c r="CH2463" s="6"/>
      <c r="CI2463" s="6"/>
      <c r="CJ2463" s="6"/>
      <c r="CK2463" s="6"/>
      <c r="CL2463" s="6"/>
      <c r="CM2463" s="6"/>
      <c r="CN2463" s="6"/>
      <c r="CO2463" s="6"/>
      <c r="CP2463" s="6"/>
      <c r="CQ2463" s="6"/>
      <c r="CR2463" s="6"/>
      <c r="CS2463" s="6"/>
      <c r="CT2463" s="6"/>
      <c r="CU2463" s="6"/>
      <c r="CV2463" s="6"/>
      <c r="CW2463" s="6"/>
      <c r="CX2463" s="6"/>
      <c r="CY2463" s="6"/>
      <c r="CZ2463" s="6"/>
      <c r="DA2463" s="6"/>
      <c r="DB2463" s="6"/>
      <c r="DC2463" s="6"/>
      <c r="DD2463" s="6"/>
    </row>
    <row r="2464" spans="1:108" ht="12.75" hidden="1" customHeight="1" outlineLevel="5">
      <c r="A2464" s="104" t="s">
        <v>80</v>
      </c>
      <c r="B2464" s="28">
        <f t="shared" si="134"/>
        <v>0</v>
      </c>
      <c r="C2464" s="11"/>
      <c r="D2464" s="18" t="str">
        <f>"&lt;" &amp; A2464 &amp; "&gt;" &amp; TEXT(B2464,"0.000000") &amp; "&lt;/" &amp; A2464 &amp; "&gt;"</f>
        <v>&lt;AeroCenter_Z&gt;0.000000&lt;/AeroCenter_Z&gt;</v>
      </c>
      <c r="F2464" s="6"/>
      <c r="G2464" s="6"/>
      <c r="H2464" s="6"/>
      <c r="I2464" s="6"/>
      <c r="J2464" s="6"/>
      <c r="K2464" s="6"/>
      <c r="L2464" s="6"/>
      <c r="M2464" s="6"/>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c r="BU2464" s="6"/>
      <c r="BV2464" s="6"/>
      <c r="BW2464" s="6"/>
      <c r="BX2464" s="6"/>
      <c r="BY2464" s="6"/>
      <c r="BZ2464" s="6"/>
      <c r="CA2464" s="6"/>
      <c r="CB2464" s="6"/>
      <c r="CC2464" s="6"/>
      <c r="CD2464" s="6"/>
      <c r="CE2464" s="6"/>
      <c r="CF2464" s="6"/>
      <c r="CG2464" s="6"/>
      <c r="CH2464" s="6"/>
      <c r="CI2464" s="6"/>
      <c r="CJ2464" s="6"/>
      <c r="CK2464" s="6"/>
      <c r="CL2464" s="6"/>
      <c r="CM2464" s="6"/>
      <c r="CN2464" s="6"/>
      <c r="CO2464" s="6"/>
      <c r="CP2464" s="6"/>
      <c r="CQ2464" s="6"/>
      <c r="CR2464" s="6"/>
      <c r="CS2464" s="6"/>
      <c r="CT2464" s="6"/>
      <c r="CU2464" s="6"/>
      <c r="CV2464" s="6"/>
      <c r="CW2464" s="6"/>
      <c r="CX2464" s="6"/>
      <c r="CY2464" s="6"/>
      <c r="CZ2464" s="6"/>
      <c r="DA2464" s="6"/>
      <c r="DB2464" s="6"/>
      <c r="DC2464" s="6"/>
      <c r="DD2464" s="6"/>
    </row>
    <row r="2465" spans="1:108" ht="12.75" hidden="1" customHeight="1" outlineLevel="5">
      <c r="A2465" s="104" t="s">
        <v>81</v>
      </c>
      <c r="B2465" s="28">
        <f t="shared" si="134"/>
        <v>1</v>
      </c>
      <c r="C2465" s="11"/>
      <c r="D2465" s="18" t="str">
        <f>"&lt;" &amp; A2465 &amp; "&gt;" &amp; TEXT(B2465,0) &amp; "&lt;/" &amp; A2465 &amp; "&gt;"</f>
        <v>&lt;AutoAeroCenterFlag&gt;1&lt;/AutoAeroCenterFlag&gt;</v>
      </c>
      <c r="F2465" s="6"/>
      <c r="G2465" s="6"/>
      <c r="H2465" s="6"/>
      <c r="I2465" s="6"/>
      <c r="J2465" s="6"/>
      <c r="K2465" s="6"/>
      <c r="L2465" s="6"/>
      <c r="M2465" s="6"/>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c r="BU2465" s="6"/>
      <c r="BV2465" s="6"/>
      <c r="BW2465" s="6"/>
      <c r="BX2465" s="6"/>
      <c r="BY2465" s="6"/>
      <c r="BZ2465" s="6"/>
      <c r="CA2465" s="6"/>
      <c r="CB2465" s="6"/>
      <c r="CC2465" s="6"/>
      <c r="CD2465" s="6"/>
      <c r="CE2465" s="6"/>
      <c r="CF2465" s="6"/>
      <c r="CG2465" s="6"/>
      <c r="CH2465" s="6"/>
      <c r="CI2465" s="6"/>
      <c r="CJ2465" s="6"/>
      <c r="CK2465" s="6"/>
      <c r="CL2465" s="6"/>
      <c r="CM2465" s="6"/>
      <c r="CN2465" s="6"/>
      <c r="CO2465" s="6"/>
      <c r="CP2465" s="6"/>
      <c r="CQ2465" s="6"/>
      <c r="CR2465" s="6"/>
      <c r="CS2465" s="6"/>
      <c r="CT2465" s="6"/>
      <c r="CU2465" s="6"/>
      <c r="CV2465" s="6"/>
      <c r="CW2465" s="6"/>
      <c r="CX2465" s="6"/>
      <c r="CY2465" s="6"/>
      <c r="CZ2465" s="6"/>
      <c r="DA2465" s="6"/>
      <c r="DB2465" s="6"/>
      <c r="DC2465" s="6"/>
      <c r="DD2465" s="6"/>
    </row>
    <row r="2466" spans="1:108" ht="12.75" hidden="1" customHeight="1" outlineLevel="5">
      <c r="A2466" s="104" t="s">
        <v>82</v>
      </c>
      <c r="B2466" s="28">
        <f t="shared" si="134"/>
        <v>0</v>
      </c>
      <c r="C2466" s="11"/>
      <c r="D2466" s="18" t="str">
        <f>"&lt;" &amp; A2466 &amp; "&gt;" &amp; TEXT(B2466,0) &amp; "&lt;/" &amp; A2466 &amp; "&gt;"</f>
        <v>&lt;WakeActiveFlag&gt;0&lt;/WakeActiveFlag&gt;</v>
      </c>
      <c r="F2466" s="6"/>
      <c r="G2466" s="6"/>
      <c r="H2466" s="6"/>
      <c r="I2466" s="6"/>
      <c r="J2466" s="6"/>
      <c r="K2466" s="6"/>
      <c r="L2466" s="6"/>
      <c r="M2466" s="6"/>
      <c r="N2466" s="6"/>
      <c r="O2466" s="6"/>
      <c r="P2466" s="6"/>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c r="BU2466" s="6"/>
      <c r="BV2466" s="6"/>
      <c r="BW2466" s="6"/>
      <c r="BX2466" s="6"/>
      <c r="BY2466" s="6"/>
      <c r="BZ2466" s="6"/>
      <c r="CA2466" s="6"/>
      <c r="CB2466" s="6"/>
      <c r="CC2466" s="6"/>
      <c r="CD2466" s="6"/>
      <c r="CE2466" s="6"/>
      <c r="CF2466" s="6"/>
      <c r="CG2466" s="6"/>
      <c r="CH2466" s="6"/>
      <c r="CI2466" s="6"/>
      <c r="CJ2466" s="6"/>
      <c r="CK2466" s="6"/>
      <c r="CL2466" s="6"/>
      <c r="CM2466" s="6"/>
      <c r="CN2466" s="6"/>
      <c r="CO2466" s="6"/>
      <c r="CP2466" s="6"/>
      <c r="CQ2466" s="6"/>
      <c r="CR2466" s="6"/>
      <c r="CS2466" s="6"/>
      <c r="CT2466" s="6"/>
      <c r="CU2466" s="6"/>
      <c r="CV2466" s="6"/>
      <c r="CW2466" s="6"/>
      <c r="CX2466" s="6"/>
      <c r="CY2466" s="6"/>
      <c r="CZ2466" s="6"/>
      <c r="DA2466" s="6"/>
      <c r="DB2466" s="6"/>
      <c r="DC2466" s="6"/>
      <c r="DD2466" s="6"/>
    </row>
    <row r="2467" spans="1:108" ht="12.75" hidden="1" customHeight="1" outlineLevel="5">
      <c r="A2467" s="104" t="s">
        <v>83</v>
      </c>
      <c r="B2467" s="28">
        <f t="shared" si="134"/>
        <v>3</v>
      </c>
      <c r="C2467" s="11"/>
      <c r="D2467" s="18" t="str">
        <f>"&lt;" &amp; A2467 &amp; "&gt;" &amp; TEXT(B2467,0) &amp; "&lt;/" &amp; A2467 &amp; "&gt;"</f>
        <v>&lt;PosAttachFlag&gt;3&lt;/PosAttachFlag&gt;</v>
      </c>
      <c r="F2467" s="6"/>
      <c r="G2467" s="6"/>
      <c r="H2467" s="6"/>
      <c r="I2467" s="6"/>
      <c r="J2467" s="6"/>
      <c r="K2467" s="6"/>
      <c r="L2467" s="6"/>
      <c r="M2467" s="6"/>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c r="BU2467" s="6"/>
      <c r="BV2467" s="6"/>
      <c r="BW2467" s="6"/>
      <c r="BX2467" s="6"/>
      <c r="BY2467" s="6"/>
      <c r="BZ2467" s="6"/>
      <c r="CA2467" s="6"/>
      <c r="CB2467" s="6"/>
      <c r="CC2467" s="6"/>
      <c r="CD2467" s="6"/>
      <c r="CE2467" s="6"/>
      <c r="CF2467" s="6"/>
      <c r="CG2467" s="6"/>
      <c r="CH2467" s="6"/>
      <c r="CI2467" s="6"/>
      <c r="CJ2467" s="6"/>
      <c r="CK2467" s="6"/>
      <c r="CL2467" s="6"/>
      <c r="CM2467" s="6"/>
      <c r="CN2467" s="6"/>
      <c r="CO2467" s="6"/>
      <c r="CP2467" s="6"/>
      <c r="CQ2467" s="6"/>
      <c r="CR2467" s="6"/>
      <c r="CS2467" s="6"/>
      <c r="CT2467" s="6"/>
      <c r="CU2467" s="6"/>
      <c r="CV2467" s="6"/>
      <c r="CW2467" s="6"/>
      <c r="CX2467" s="6"/>
      <c r="CY2467" s="6"/>
      <c r="CZ2467" s="6"/>
      <c r="DA2467" s="6"/>
      <c r="DB2467" s="6"/>
      <c r="DC2467" s="6"/>
      <c r="DD2467" s="6"/>
    </row>
    <row r="2468" spans="1:108" ht="12.75" hidden="1" customHeight="1" outlineLevel="5">
      <c r="A2468" s="104" t="s">
        <v>84</v>
      </c>
      <c r="B2468" s="28">
        <f t="shared" si="134"/>
        <v>0</v>
      </c>
      <c r="C2468" s="11"/>
      <c r="D2468" s="18" t="str">
        <f>"&lt;" &amp; A2468 &amp; "&gt;" &amp; TEXT(B2468,"0.000000") &amp; "&lt;/" &amp; A2468 &amp; "&gt;"</f>
        <v>&lt;U_Attach&gt;0.000000&lt;/U_Attach&gt;</v>
      </c>
      <c r="F2468" s="6"/>
      <c r="G2468" s="6"/>
      <c r="H2468" s="6"/>
      <c r="I2468" s="6"/>
      <c r="J2468" s="6"/>
      <c r="K2468" s="6"/>
      <c r="L2468" s="6"/>
      <c r="M2468" s="6"/>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c r="BU2468" s="6"/>
      <c r="BV2468" s="6"/>
      <c r="BW2468" s="6"/>
      <c r="BX2468" s="6"/>
      <c r="BY2468" s="6"/>
      <c r="BZ2468" s="6"/>
      <c r="CA2468" s="6"/>
      <c r="CB2468" s="6"/>
      <c r="CC2468" s="6"/>
      <c r="CD2468" s="6"/>
      <c r="CE2468" s="6"/>
      <c r="CF2468" s="6"/>
      <c r="CG2468" s="6"/>
      <c r="CH2468" s="6"/>
      <c r="CI2468" s="6"/>
      <c r="CJ2468" s="6"/>
      <c r="CK2468" s="6"/>
      <c r="CL2468" s="6"/>
      <c r="CM2468" s="6"/>
      <c r="CN2468" s="6"/>
      <c r="CO2468" s="6"/>
      <c r="CP2468" s="6"/>
      <c r="CQ2468" s="6"/>
      <c r="CR2468" s="6"/>
      <c r="CS2468" s="6"/>
      <c r="CT2468" s="6"/>
      <c r="CU2468" s="6"/>
      <c r="CV2468" s="6"/>
      <c r="CW2468" s="6"/>
      <c r="CX2468" s="6"/>
      <c r="CY2468" s="6"/>
      <c r="CZ2468" s="6"/>
      <c r="DA2468" s="6"/>
      <c r="DB2468" s="6"/>
      <c r="DC2468" s="6"/>
      <c r="DD2468" s="6"/>
    </row>
    <row r="2469" spans="1:108" ht="12.75" hidden="1" customHeight="1" outlineLevel="5">
      <c r="A2469" s="104" t="s">
        <v>85</v>
      </c>
      <c r="B2469" s="28">
        <f t="shared" si="134"/>
        <v>0</v>
      </c>
      <c r="C2469" s="11"/>
      <c r="D2469" s="18" t="str">
        <f>"&lt;" &amp; A2469 &amp; "&gt;" &amp; TEXT(B2469,"0.000000") &amp; "&lt;/" &amp; A2469 &amp; "&gt;"</f>
        <v>&lt;V_Attach&gt;0.000000&lt;/V_Attach&gt;</v>
      </c>
      <c r="F2469" s="6"/>
      <c r="G2469" s="6"/>
      <c r="H2469" s="6"/>
      <c r="I2469" s="6"/>
      <c r="J2469" s="6"/>
      <c r="K2469" s="6"/>
      <c r="L2469" s="6"/>
      <c r="M2469" s="6"/>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c r="BU2469" s="6"/>
      <c r="BV2469" s="6"/>
      <c r="BW2469" s="6"/>
      <c r="BX2469" s="6"/>
      <c r="BY2469" s="6"/>
      <c r="BZ2469" s="6"/>
      <c r="CA2469" s="6"/>
      <c r="CB2469" s="6"/>
      <c r="CC2469" s="6"/>
      <c r="CD2469" s="6"/>
      <c r="CE2469" s="6"/>
      <c r="CF2469" s="6"/>
      <c r="CG2469" s="6"/>
      <c r="CH2469" s="6"/>
      <c r="CI2469" s="6"/>
      <c r="CJ2469" s="6"/>
      <c r="CK2469" s="6"/>
      <c r="CL2469" s="6"/>
      <c r="CM2469" s="6"/>
      <c r="CN2469" s="6"/>
      <c r="CO2469" s="6"/>
      <c r="CP2469" s="6"/>
      <c r="CQ2469" s="6"/>
      <c r="CR2469" s="6"/>
      <c r="CS2469" s="6"/>
      <c r="CT2469" s="6"/>
      <c r="CU2469" s="6"/>
      <c r="CV2469" s="6"/>
      <c r="CW2469" s="6"/>
      <c r="CX2469" s="6"/>
      <c r="CY2469" s="6"/>
      <c r="CZ2469" s="6"/>
      <c r="DA2469" s="6"/>
      <c r="DB2469" s="6"/>
      <c r="DC2469" s="6"/>
      <c r="DD2469" s="6"/>
    </row>
    <row r="2470" spans="1:108" ht="12.75" hidden="1" customHeight="1" outlineLevel="5">
      <c r="A2470" s="104" t="s">
        <v>86</v>
      </c>
      <c r="B2470" s="28">
        <v>74069</v>
      </c>
      <c r="C2470" s="11"/>
      <c r="D2470" s="18" t="str">
        <f>"&lt;" &amp; A2470 &amp; "&gt;" &amp; TEXT(B2470,0) &amp; "&lt;/" &amp; A2470 &amp; "&gt;"</f>
        <v>&lt;PtrID&gt;74069&lt;/PtrID&gt;</v>
      </c>
      <c r="F2470" s="6"/>
      <c r="G2470" s="6"/>
      <c r="H2470" s="6"/>
      <c r="I2470" s="6"/>
      <c r="J2470" s="6"/>
      <c r="K2470" s="6"/>
      <c r="L2470" s="6"/>
      <c r="M2470" s="6"/>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c r="BU2470" s="6"/>
      <c r="BV2470" s="6"/>
      <c r="BW2470" s="6"/>
      <c r="BX2470" s="6"/>
      <c r="BY2470" s="6"/>
      <c r="BZ2470" s="6"/>
      <c r="CA2470" s="6"/>
      <c r="CB2470" s="6"/>
      <c r="CC2470" s="6"/>
      <c r="CD2470" s="6"/>
      <c r="CE2470" s="6"/>
      <c r="CF2470" s="6"/>
      <c r="CG2470" s="6"/>
      <c r="CH2470" s="6"/>
      <c r="CI2470" s="6"/>
      <c r="CJ2470" s="6"/>
      <c r="CK2470" s="6"/>
      <c r="CL2470" s="6"/>
      <c r="CM2470" s="6"/>
      <c r="CN2470" s="6"/>
      <c r="CO2470" s="6"/>
      <c r="CP2470" s="6"/>
      <c r="CQ2470" s="6"/>
      <c r="CR2470" s="6"/>
      <c r="CS2470" s="6"/>
      <c r="CT2470" s="6"/>
      <c r="CU2470" s="6"/>
      <c r="CV2470" s="6"/>
      <c r="CW2470" s="6"/>
      <c r="CX2470" s="6"/>
      <c r="CY2470" s="6"/>
      <c r="CZ2470" s="6"/>
      <c r="DA2470" s="6"/>
      <c r="DB2470" s="6"/>
      <c r="DC2470" s="6"/>
      <c r="DD2470" s="6"/>
    </row>
    <row r="2471" spans="1:108" ht="12.75" hidden="1" customHeight="1" outlineLevel="5">
      <c r="A2471" s="104" t="s">
        <v>87</v>
      </c>
      <c r="B2471" s="28">
        <v>149096552</v>
      </c>
      <c r="C2471" s="11"/>
      <c r="D2471" s="18" t="str">
        <f>"&lt;" &amp; A2471 &amp; "&gt;" &amp; TEXT(B2471,0) &amp; "&lt;/" &amp; A2471 &amp; "&gt;"</f>
        <v>&lt;Parent_PtrID&gt;149096552&lt;/Parent_PtrID&gt;</v>
      </c>
      <c r="F2471" s="6"/>
      <c r="G2471" s="6"/>
      <c r="H2471" s="6"/>
      <c r="I2471" s="6"/>
      <c r="J2471" s="6"/>
      <c r="K2471" s="6"/>
      <c r="L2471" s="6"/>
      <c r="M2471" s="6"/>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c r="BU2471" s="6"/>
      <c r="BV2471" s="6"/>
      <c r="BW2471" s="6"/>
      <c r="BX2471" s="6"/>
      <c r="BY2471" s="6"/>
      <c r="BZ2471" s="6"/>
      <c r="CA2471" s="6"/>
      <c r="CB2471" s="6"/>
      <c r="CC2471" s="6"/>
      <c r="CD2471" s="6"/>
      <c r="CE2471" s="6"/>
      <c r="CF2471" s="6"/>
      <c r="CG2471" s="6"/>
      <c r="CH2471" s="6"/>
      <c r="CI2471" s="6"/>
      <c r="CJ2471" s="6"/>
      <c r="CK2471" s="6"/>
      <c r="CL2471" s="6"/>
      <c r="CM2471" s="6"/>
      <c r="CN2471" s="6"/>
      <c r="CO2471" s="6"/>
      <c r="CP2471" s="6"/>
      <c r="CQ2471" s="6"/>
      <c r="CR2471" s="6"/>
      <c r="CS2471" s="6"/>
      <c r="CT2471" s="6"/>
      <c r="CU2471" s="6"/>
      <c r="CV2471" s="6"/>
      <c r="CW2471" s="6"/>
      <c r="CX2471" s="6"/>
      <c r="CY2471" s="6"/>
      <c r="CZ2471" s="6"/>
      <c r="DA2471" s="6"/>
      <c r="DB2471" s="6"/>
      <c r="DC2471" s="6"/>
      <c r="DD2471" s="6"/>
    </row>
    <row r="2472" spans="1:108" ht="12.75" hidden="1" customHeight="1" outlineLevel="5">
      <c r="A2472" s="104" t="s">
        <v>88</v>
      </c>
      <c r="B2472" s="104"/>
      <c r="C2472" s="11"/>
      <c r="D2472" s="6" t="str">
        <f>"&lt;" &amp; A2472 &amp; "&gt;"</f>
        <v>&lt;/General_Parms&gt;</v>
      </c>
      <c r="F2472" s="6"/>
      <c r="G2472" s="6"/>
      <c r="H2472" s="6"/>
      <c r="I2472" s="6"/>
      <c r="J2472" s="6"/>
      <c r="K2472" s="6"/>
      <c r="L2472" s="6"/>
      <c r="M2472" s="6"/>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c r="BU2472" s="6"/>
      <c r="BV2472" s="6"/>
      <c r="BW2472" s="6"/>
      <c r="BX2472" s="6"/>
      <c r="BY2472" s="6"/>
      <c r="BZ2472" s="6"/>
      <c r="CA2472" s="6"/>
      <c r="CB2472" s="6"/>
      <c r="CC2472" s="6"/>
      <c r="CD2472" s="6"/>
      <c r="CE2472" s="6"/>
      <c r="CF2472" s="6"/>
      <c r="CG2472" s="6"/>
      <c r="CH2472" s="6"/>
      <c r="CI2472" s="6"/>
      <c r="CJ2472" s="6"/>
      <c r="CK2472" s="6"/>
      <c r="CL2472" s="6"/>
      <c r="CM2472" s="6"/>
      <c r="CN2472" s="6"/>
      <c r="CO2472" s="6"/>
      <c r="CP2472" s="6"/>
      <c r="CQ2472" s="6"/>
      <c r="CR2472" s="6"/>
      <c r="CS2472" s="6"/>
      <c r="CT2472" s="6"/>
      <c r="CU2472" s="6"/>
      <c r="CV2472" s="6"/>
      <c r="CW2472" s="6"/>
      <c r="CX2472" s="6"/>
      <c r="CY2472" s="6"/>
      <c r="CZ2472" s="6"/>
      <c r="DA2472" s="6"/>
      <c r="DB2472" s="6"/>
      <c r="DC2472" s="6"/>
      <c r="DD2472" s="6"/>
    </row>
    <row r="2473" spans="1:108" ht="12.75" hidden="1" customHeight="1" outlineLevel="4">
      <c r="A2473" s="104" t="s">
        <v>297</v>
      </c>
      <c r="B2473" s="104"/>
      <c r="C2473" s="11"/>
      <c r="D2473" s="6" t="str">
        <f>"&lt;" &amp; A2473 &amp; "&gt;"</f>
        <v>&lt;Prop_Parms&gt;</v>
      </c>
      <c r="F2473" s="6"/>
      <c r="G2473" s="6"/>
      <c r="H2473" s="6"/>
      <c r="I2473" s="6"/>
      <c r="J2473" s="6"/>
      <c r="K2473" s="6"/>
      <c r="L2473" s="6"/>
      <c r="M2473" s="6"/>
      <c r="N2473" s="6"/>
      <c r="O2473" s="6"/>
      <c r="P2473" s="6"/>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c r="BU2473" s="6"/>
      <c r="BV2473" s="6"/>
      <c r="BW2473" s="6"/>
      <c r="BX2473" s="6"/>
      <c r="BY2473" s="6"/>
      <c r="BZ2473" s="6"/>
      <c r="CA2473" s="6"/>
      <c r="CB2473" s="6"/>
      <c r="CC2473" s="6"/>
      <c r="CD2473" s="6"/>
      <c r="CE2473" s="6"/>
      <c r="CF2473" s="6"/>
      <c r="CG2473" s="6"/>
      <c r="CH2473" s="6"/>
      <c r="CI2473" s="6"/>
      <c r="CJ2473" s="6"/>
      <c r="CK2473" s="6"/>
      <c r="CL2473" s="6"/>
      <c r="CM2473" s="6"/>
      <c r="CN2473" s="6"/>
      <c r="CO2473" s="6"/>
      <c r="CP2473" s="6"/>
      <c r="CQ2473" s="6"/>
      <c r="CR2473" s="6"/>
      <c r="CS2473" s="6"/>
      <c r="CT2473" s="6"/>
      <c r="CU2473" s="6"/>
      <c r="CV2473" s="6"/>
      <c r="CW2473" s="6"/>
      <c r="CX2473" s="6"/>
      <c r="CY2473" s="6"/>
      <c r="CZ2473" s="6"/>
      <c r="DA2473" s="6"/>
      <c r="DB2473" s="6"/>
      <c r="DC2473" s="6"/>
      <c r="DD2473" s="6"/>
    </row>
    <row r="2474" spans="1:108" ht="12.75" hidden="1" customHeight="1" outlineLevel="5">
      <c r="A2474" s="104" t="s">
        <v>298</v>
      </c>
      <c r="B2474" s="117">
        <f t="shared" ref="B2474:B2485" si="137">B1941</f>
        <v>6</v>
      </c>
      <c r="C2474" s="11"/>
      <c r="D2474" s="18" t="str">
        <f>"&lt;" &amp; A2474 &amp; "&gt;" &amp; TEXT(B2474,0) &amp; "&lt;/" &amp; A2474 &amp; "&gt;"</f>
        <v>&lt;NumBlades&gt;6&lt;/NumBlades&gt;</v>
      </c>
      <c r="F2474" s="6"/>
      <c r="G2474" s="6"/>
      <c r="H2474" s="6"/>
      <c r="I2474" s="6"/>
      <c r="J2474" s="6"/>
      <c r="K2474" s="6"/>
      <c r="L2474" s="6"/>
      <c r="M2474" s="6"/>
      <c r="N2474" s="6"/>
      <c r="O2474" s="6"/>
      <c r="P2474" s="6"/>
      <c r="Q2474" s="6"/>
      <c r="R2474" s="6"/>
      <c r="S2474" s="6"/>
      <c r="T2474" s="6"/>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c r="BU2474" s="6"/>
      <c r="BV2474" s="6"/>
      <c r="BW2474" s="6"/>
      <c r="BX2474" s="6"/>
      <c r="BY2474" s="6"/>
      <c r="BZ2474" s="6"/>
      <c r="CA2474" s="6"/>
      <c r="CB2474" s="6"/>
      <c r="CC2474" s="6"/>
      <c r="CD2474" s="6"/>
      <c r="CE2474" s="6"/>
      <c r="CF2474" s="6"/>
      <c r="CG2474" s="6"/>
      <c r="CH2474" s="6"/>
      <c r="CI2474" s="6"/>
      <c r="CJ2474" s="6"/>
      <c r="CK2474" s="6"/>
      <c r="CL2474" s="6"/>
      <c r="CM2474" s="6"/>
      <c r="CN2474" s="6"/>
      <c r="CO2474" s="6"/>
      <c r="CP2474" s="6"/>
      <c r="CQ2474" s="6"/>
      <c r="CR2474" s="6"/>
      <c r="CS2474" s="6"/>
      <c r="CT2474" s="6"/>
      <c r="CU2474" s="6"/>
      <c r="CV2474" s="6"/>
      <c r="CW2474" s="6"/>
      <c r="CX2474" s="6"/>
      <c r="CY2474" s="6"/>
      <c r="CZ2474" s="6"/>
      <c r="DA2474" s="6"/>
      <c r="DB2474" s="6"/>
      <c r="DC2474" s="6"/>
      <c r="DD2474" s="6"/>
    </row>
    <row r="2475" spans="1:108" ht="12.75" hidden="1" customHeight="1" outlineLevel="5">
      <c r="A2475" s="104" t="s">
        <v>299</v>
      </c>
      <c r="B2475" s="28">
        <f t="shared" si="137"/>
        <v>1</v>
      </c>
      <c r="C2475" s="11"/>
      <c r="D2475" s="18" t="str">
        <f>"&lt;" &amp; A2475 &amp; "&gt;" &amp; TEXT(B2475,0) &amp; "&lt;/" &amp; A2475 &amp; "&gt;"</f>
        <v>&lt;SmoothFlag&gt;1&lt;/SmoothFlag&gt;</v>
      </c>
      <c r="F2475" s="6"/>
      <c r="G2475" s="6"/>
      <c r="H2475" s="6"/>
      <c r="I2475" s="6"/>
      <c r="J2475" s="6"/>
      <c r="K2475" s="6"/>
      <c r="L2475" s="6"/>
      <c r="M2475" s="6"/>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c r="BU2475" s="6"/>
      <c r="BV2475" s="6"/>
      <c r="BW2475" s="6"/>
      <c r="BX2475" s="6"/>
      <c r="BY2475" s="6"/>
      <c r="BZ2475" s="6"/>
      <c r="CA2475" s="6"/>
      <c r="CB2475" s="6"/>
      <c r="CC2475" s="6"/>
      <c r="CD2475" s="6"/>
      <c r="CE2475" s="6"/>
      <c r="CF2475" s="6"/>
      <c r="CG2475" s="6"/>
      <c r="CH2475" s="6"/>
      <c r="CI2475" s="6"/>
      <c r="CJ2475" s="6"/>
      <c r="CK2475" s="6"/>
      <c r="CL2475" s="6"/>
      <c r="CM2475" s="6"/>
      <c r="CN2475" s="6"/>
      <c r="CO2475" s="6"/>
      <c r="CP2475" s="6"/>
      <c r="CQ2475" s="6"/>
      <c r="CR2475" s="6"/>
      <c r="CS2475" s="6"/>
      <c r="CT2475" s="6"/>
      <c r="CU2475" s="6"/>
      <c r="CV2475" s="6"/>
      <c r="CW2475" s="6"/>
      <c r="CX2475" s="6"/>
      <c r="CY2475" s="6"/>
      <c r="CZ2475" s="6"/>
      <c r="DA2475" s="6"/>
      <c r="DB2475" s="6"/>
      <c r="DC2475" s="6"/>
      <c r="DD2475" s="6"/>
    </row>
    <row r="2476" spans="1:108" ht="12.75" hidden="1" customHeight="1" outlineLevel="5">
      <c r="A2476" s="104" t="s">
        <v>300</v>
      </c>
      <c r="B2476" s="28">
        <f t="shared" si="137"/>
        <v>3</v>
      </c>
      <c r="C2476" s="11"/>
      <c r="D2476" s="18" t="str">
        <f>"&lt;" &amp; A2476 &amp; "&gt;" &amp; TEXT(B2476,0) &amp; "&lt;/" &amp; A2476 &amp; "&gt;"</f>
        <v>&lt;NumU&gt;3&lt;/NumU&gt;</v>
      </c>
      <c r="F2476" s="6"/>
      <c r="G2476" s="6"/>
      <c r="H2476" s="6"/>
      <c r="I2476" s="6"/>
      <c r="J2476" s="6"/>
      <c r="K2476" s="6"/>
      <c r="L2476" s="6"/>
      <c r="M2476" s="6"/>
      <c r="N2476" s="6"/>
      <c r="O2476" s="6"/>
      <c r="P2476" s="6"/>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c r="BU2476" s="6"/>
      <c r="BV2476" s="6"/>
      <c r="BW2476" s="6"/>
      <c r="BX2476" s="6"/>
      <c r="BY2476" s="6"/>
      <c r="BZ2476" s="6"/>
      <c r="CA2476" s="6"/>
      <c r="CB2476" s="6"/>
      <c r="CC2476" s="6"/>
      <c r="CD2476" s="6"/>
      <c r="CE2476" s="6"/>
      <c r="CF2476" s="6"/>
      <c r="CG2476" s="6"/>
      <c r="CH2476" s="6"/>
      <c r="CI2476" s="6"/>
      <c r="CJ2476" s="6"/>
      <c r="CK2476" s="6"/>
      <c r="CL2476" s="6"/>
      <c r="CM2476" s="6"/>
      <c r="CN2476" s="6"/>
      <c r="CO2476" s="6"/>
      <c r="CP2476" s="6"/>
      <c r="CQ2476" s="6"/>
      <c r="CR2476" s="6"/>
      <c r="CS2476" s="6"/>
      <c r="CT2476" s="6"/>
      <c r="CU2476" s="6"/>
      <c r="CV2476" s="6"/>
      <c r="CW2476" s="6"/>
      <c r="CX2476" s="6"/>
      <c r="CY2476" s="6"/>
      <c r="CZ2476" s="6"/>
      <c r="DA2476" s="6"/>
      <c r="DB2476" s="6"/>
      <c r="DC2476" s="6"/>
      <c r="DD2476" s="6"/>
    </row>
    <row r="2477" spans="1:108" ht="12.75" hidden="1" customHeight="1" outlineLevel="5">
      <c r="A2477" s="104" t="s">
        <v>301</v>
      </c>
      <c r="B2477" s="28">
        <f t="shared" si="137"/>
        <v>1</v>
      </c>
      <c r="C2477" s="11"/>
      <c r="D2477" s="18" t="str">
        <f>"&lt;" &amp; A2477 &amp; "&gt;" &amp; TEXT(B2477,0) &amp; "&lt;/" &amp; A2477 &amp; "&gt;"</f>
        <v>&lt;NumW&gt;1&lt;/NumW&gt;</v>
      </c>
      <c r="F2477" s="6"/>
      <c r="G2477" s="6"/>
      <c r="H2477" s="6"/>
      <c r="I2477" s="6"/>
      <c r="J2477" s="6"/>
      <c r="K2477" s="6"/>
      <c r="L2477" s="6"/>
      <c r="M2477" s="6"/>
      <c r="N2477" s="6"/>
      <c r="O2477" s="6"/>
      <c r="P2477" s="6"/>
      <c r="Q2477" s="6"/>
      <c r="R2477" s="6"/>
      <c r="S2477" s="6"/>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c r="BU2477" s="6"/>
      <c r="BV2477" s="6"/>
      <c r="BW2477" s="6"/>
      <c r="BX2477" s="6"/>
      <c r="BY2477" s="6"/>
      <c r="BZ2477" s="6"/>
      <c r="CA2477" s="6"/>
      <c r="CB2477" s="6"/>
      <c r="CC2477" s="6"/>
      <c r="CD2477" s="6"/>
      <c r="CE2477" s="6"/>
      <c r="CF2477" s="6"/>
      <c r="CG2477" s="6"/>
      <c r="CH2477" s="6"/>
      <c r="CI2477" s="6"/>
      <c r="CJ2477" s="6"/>
      <c r="CK2477" s="6"/>
      <c r="CL2477" s="6"/>
      <c r="CM2477" s="6"/>
      <c r="CN2477" s="6"/>
      <c r="CO2477" s="6"/>
      <c r="CP2477" s="6"/>
      <c r="CQ2477" s="6"/>
      <c r="CR2477" s="6"/>
      <c r="CS2477" s="6"/>
      <c r="CT2477" s="6"/>
      <c r="CU2477" s="6"/>
      <c r="CV2477" s="6"/>
      <c r="CW2477" s="6"/>
      <c r="CX2477" s="6"/>
      <c r="CY2477" s="6"/>
      <c r="CZ2477" s="6"/>
      <c r="DA2477" s="6"/>
      <c r="DB2477" s="6"/>
      <c r="DC2477" s="6"/>
      <c r="DD2477" s="6"/>
    </row>
    <row r="2478" spans="1:108" ht="12.75" hidden="1" customHeight="1" outlineLevel="5">
      <c r="A2478" s="104" t="s">
        <v>302</v>
      </c>
      <c r="B2478" s="94">
        <f t="shared" si="137"/>
        <v>3.1715565509235231</v>
      </c>
      <c r="C2478" s="11"/>
      <c r="D2478" s="18" t="str">
        <f>"&lt;" &amp; A2478 &amp; "&gt;" &amp; TEXT(B2478,"0.000000") &amp; "&lt;/" &amp; A2478 &amp; "&gt;"</f>
        <v>&lt;Diameter&gt;3.171557&lt;/Diameter&gt;</v>
      </c>
      <c r="F2478" s="6"/>
      <c r="G2478" s="6"/>
      <c r="H2478" s="6"/>
      <c r="I2478" s="6"/>
      <c r="J2478" s="6"/>
      <c r="K2478" s="6"/>
      <c r="L2478" s="6"/>
      <c r="M2478" s="6"/>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c r="BU2478" s="6"/>
      <c r="BV2478" s="6"/>
      <c r="BW2478" s="6"/>
      <c r="BX2478" s="6"/>
      <c r="BY2478" s="6"/>
      <c r="BZ2478" s="6"/>
      <c r="CA2478" s="6"/>
      <c r="CB2478" s="6"/>
      <c r="CC2478" s="6"/>
      <c r="CD2478" s="6"/>
      <c r="CE2478" s="6"/>
      <c r="CF2478" s="6"/>
      <c r="CG2478" s="6"/>
      <c r="CH2478" s="6"/>
      <c r="CI2478" s="6"/>
      <c r="CJ2478" s="6"/>
      <c r="CK2478" s="6"/>
      <c r="CL2478" s="6"/>
      <c r="CM2478" s="6"/>
      <c r="CN2478" s="6"/>
      <c r="CO2478" s="6"/>
      <c r="CP2478" s="6"/>
      <c r="CQ2478" s="6"/>
      <c r="CR2478" s="6"/>
      <c r="CS2478" s="6"/>
      <c r="CT2478" s="6"/>
      <c r="CU2478" s="6"/>
      <c r="CV2478" s="6"/>
      <c r="CW2478" s="6"/>
      <c r="CX2478" s="6"/>
      <c r="CY2478" s="6"/>
      <c r="CZ2478" s="6"/>
      <c r="DA2478" s="6"/>
      <c r="DB2478" s="6"/>
      <c r="DC2478" s="6"/>
      <c r="DD2478" s="6"/>
    </row>
    <row r="2479" spans="1:108" ht="12.75" hidden="1" customHeight="1" outlineLevel="5">
      <c r="A2479" s="104" t="s">
        <v>303</v>
      </c>
      <c r="B2479" s="28">
        <f t="shared" si="137"/>
        <v>0</v>
      </c>
      <c r="C2479" s="11"/>
      <c r="D2479" s="18" t="str">
        <f>"&lt;" &amp; A2479 &amp; "&gt;" &amp; TEXT(B2479,"0.000000") &amp; "&lt;/" &amp; A2479 &amp; "&gt;"</f>
        <v>&lt;ConeAngle&gt;0.000000&lt;/ConeAngle&gt;</v>
      </c>
      <c r="F2479" s="6"/>
      <c r="G2479" s="6"/>
      <c r="H2479" s="6"/>
      <c r="I2479" s="6"/>
      <c r="J2479" s="6"/>
      <c r="K2479" s="6"/>
      <c r="L2479" s="6"/>
      <c r="M2479" s="6"/>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c r="BU2479" s="6"/>
      <c r="BV2479" s="6"/>
      <c r="BW2479" s="6"/>
      <c r="BX2479" s="6"/>
      <c r="BY2479" s="6"/>
      <c r="BZ2479" s="6"/>
      <c r="CA2479" s="6"/>
      <c r="CB2479" s="6"/>
      <c r="CC2479" s="6"/>
      <c r="CD2479" s="6"/>
      <c r="CE2479" s="6"/>
      <c r="CF2479" s="6"/>
      <c r="CG2479" s="6"/>
      <c r="CH2479" s="6"/>
      <c r="CI2479" s="6"/>
      <c r="CJ2479" s="6"/>
      <c r="CK2479" s="6"/>
      <c r="CL2479" s="6"/>
      <c r="CM2479" s="6"/>
      <c r="CN2479" s="6"/>
      <c r="CO2479" s="6"/>
      <c r="CP2479" s="6"/>
      <c r="CQ2479" s="6"/>
      <c r="CR2479" s="6"/>
      <c r="CS2479" s="6"/>
      <c r="CT2479" s="6"/>
      <c r="CU2479" s="6"/>
      <c r="CV2479" s="6"/>
      <c r="CW2479" s="6"/>
      <c r="CX2479" s="6"/>
      <c r="CY2479" s="6"/>
      <c r="CZ2479" s="6"/>
      <c r="DA2479" s="6"/>
      <c r="DB2479" s="6"/>
      <c r="DC2479" s="6"/>
      <c r="DD2479" s="6"/>
    </row>
    <row r="2480" spans="1:108" ht="12.75" hidden="1" customHeight="1" outlineLevel="5">
      <c r="A2480" s="104" t="s">
        <v>304</v>
      </c>
      <c r="B2480" s="28">
        <f t="shared" si="137"/>
        <v>0</v>
      </c>
      <c r="C2480" s="11"/>
      <c r="D2480" s="18" t="str">
        <f>"&lt;" &amp; A2480 &amp; "&gt;" &amp; TEXT(B2480,"0.000000") &amp; "&lt;/" &amp; A2480 &amp; "&gt;"</f>
        <v>&lt;Pitch&gt;0.000000&lt;/Pitch&gt;</v>
      </c>
      <c r="F2480" s="6"/>
      <c r="G2480" s="6"/>
      <c r="H2480" s="6"/>
      <c r="I2480" s="6"/>
      <c r="J2480" s="6"/>
      <c r="K2480" s="6"/>
      <c r="L2480" s="6"/>
      <c r="M2480" s="6"/>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c r="BU2480" s="6"/>
      <c r="BV2480" s="6"/>
      <c r="BW2480" s="6"/>
      <c r="BX2480" s="6"/>
      <c r="BY2480" s="6"/>
      <c r="BZ2480" s="6"/>
      <c r="CA2480" s="6"/>
      <c r="CB2480" s="6"/>
      <c r="CC2480" s="6"/>
      <c r="CD2480" s="6"/>
      <c r="CE2480" s="6"/>
      <c r="CF2480" s="6"/>
      <c r="CG2480" s="6"/>
      <c r="CH2480" s="6"/>
      <c r="CI2480" s="6"/>
      <c r="CJ2480" s="6"/>
      <c r="CK2480" s="6"/>
      <c r="CL2480" s="6"/>
      <c r="CM2480" s="6"/>
      <c r="CN2480" s="6"/>
      <c r="CO2480" s="6"/>
      <c r="CP2480" s="6"/>
      <c r="CQ2480" s="6"/>
      <c r="CR2480" s="6"/>
      <c r="CS2480" s="6"/>
      <c r="CT2480" s="6"/>
      <c r="CU2480" s="6"/>
      <c r="CV2480" s="6"/>
      <c r="CW2480" s="6"/>
      <c r="CX2480" s="6"/>
      <c r="CY2480" s="6"/>
      <c r="CZ2480" s="6"/>
      <c r="DA2480" s="6"/>
      <c r="DB2480" s="6"/>
      <c r="DC2480" s="6"/>
      <c r="DD2480" s="6"/>
    </row>
    <row r="2481" spans="1:108" ht="12.75" hidden="1" customHeight="1" outlineLevel="5">
      <c r="A2481" s="104" t="s">
        <v>305</v>
      </c>
      <c r="B2481" s="110" t="str">
        <f t="shared" si="137"/>
        <v>Section0</v>
      </c>
      <c r="C2481" s="11"/>
      <c r="D2481" s="6" t="str">
        <f>"&lt;" &amp; A2481 &amp; "&gt;"</f>
        <v>&lt;Sect_Parms&gt;</v>
      </c>
      <c r="F2481" s="6"/>
      <c r="G2481" s="6"/>
      <c r="H2481" s="6"/>
      <c r="I2481" s="6"/>
      <c r="J2481" s="6"/>
      <c r="K2481" s="6"/>
      <c r="L2481" s="6"/>
      <c r="M2481" s="6"/>
      <c r="N2481" s="6"/>
      <c r="O2481" s="6"/>
      <c r="P2481" s="6"/>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c r="BU2481" s="6"/>
      <c r="BV2481" s="6"/>
      <c r="BW2481" s="6"/>
      <c r="BX2481" s="6"/>
      <c r="BY2481" s="6"/>
      <c r="BZ2481" s="6"/>
      <c r="CA2481" s="6"/>
      <c r="CB2481" s="6"/>
      <c r="CC2481" s="6"/>
      <c r="CD2481" s="6"/>
      <c r="CE2481" s="6"/>
      <c r="CF2481" s="6"/>
      <c r="CG2481" s="6"/>
      <c r="CH2481" s="6"/>
      <c r="CI2481" s="6"/>
      <c r="CJ2481" s="6"/>
      <c r="CK2481" s="6"/>
      <c r="CL2481" s="6"/>
      <c r="CM2481" s="6"/>
      <c r="CN2481" s="6"/>
      <c r="CO2481" s="6"/>
      <c r="CP2481" s="6"/>
      <c r="CQ2481" s="6"/>
      <c r="CR2481" s="6"/>
      <c r="CS2481" s="6"/>
      <c r="CT2481" s="6"/>
      <c r="CU2481" s="6"/>
      <c r="CV2481" s="6"/>
      <c r="CW2481" s="6"/>
      <c r="CX2481" s="6"/>
      <c r="CY2481" s="6"/>
      <c r="CZ2481" s="6"/>
      <c r="DA2481" s="6"/>
      <c r="DB2481" s="6"/>
      <c r="DC2481" s="6"/>
      <c r="DD2481" s="6"/>
    </row>
    <row r="2482" spans="1:108" ht="12.75" hidden="1" customHeight="1" outlineLevel="6">
      <c r="A2482" s="104" t="s">
        <v>306</v>
      </c>
      <c r="B2482" s="28">
        <f t="shared" si="137"/>
        <v>0.05</v>
      </c>
      <c r="C2482" s="11"/>
      <c r="D2482" s="18" t="str">
        <f>"&lt;" &amp; A2482 &amp; "&gt;" &amp; TEXT(B2482,"0.000000") &amp; "&lt;/" &amp; A2482 &amp; "&gt;"</f>
        <v>&lt;X_Off&gt;0.050000&lt;/X_Off&gt;</v>
      </c>
      <c r="F2482" s="6"/>
      <c r="G2482" s="6"/>
      <c r="H2482" s="6"/>
      <c r="I2482" s="6"/>
      <c r="J2482" s="6"/>
      <c r="K2482" s="6"/>
      <c r="L2482" s="6"/>
      <c r="M2482" s="6"/>
      <c r="N2482" s="6"/>
      <c r="O2482" s="6"/>
      <c r="P2482" s="6"/>
      <c r="Q2482" s="6"/>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c r="BU2482" s="6"/>
      <c r="BV2482" s="6"/>
      <c r="BW2482" s="6"/>
      <c r="BX2482" s="6"/>
      <c r="BY2482" s="6"/>
      <c r="BZ2482" s="6"/>
      <c r="CA2482" s="6"/>
      <c r="CB2482" s="6"/>
      <c r="CC2482" s="6"/>
      <c r="CD2482" s="6"/>
      <c r="CE2482" s="6"/>
      <c r="CF2482" s="6"/>
      <c r="CG2482" s="6"/>
      <c r="CH2482" s="6"/>
      <c r="CI2482" s="6"/>
      <c r="CJ2482" s="6"/>
      <c r="CK2482" s="6"/>
      <c r="CL2482" s="6"/>
      <c r="CM2482" s="6"/>
      <c r="CN2482" s="6"/>
      <c r="CO2482" s="6"/>
      <c r="CP2482" s="6"/>
      <c r="CQ2482" s="6"/>
      <c r="CR2482" s="6"/>
      <c r="CS2482" s="6"/>
      <c r="CT2482" s="6"/>
      <c r="CU2482" s="6"/>
      <c r="CV2482" s="6"/>
      <c r="CW2482" s="6"/>
      <c r="CX2482" s="6"/>
      <c r="CY2482" s="6"/>
      <c r="CZ2482" s="6"/>
      <c r="DA2482" s="6"/>
      <c r="DB2482" s="6"/>
      <c r="DC2482" s="6"/>
      <c r="DD2482" s="6"/>
    </row>
    <row r="2483" spans="1:108" ht="12.75" hidden="1" customHeight="1" outlineLevel="6">
      <c r="A2483" s="104" t="s">
        <v>307</v>
      </c>
      <c r="B2483" s="28">
        <f t="shared" si="137"/>
        <v>0</v>
      </c>
      <c r="C2483" s="11"/>
      <c r="D2483" s="18" t="str">
        <f>"&lt;" &amp; A2483 &amp; "&gt;" &amp; TEXT(B2483,"0.000000") &amp; "&lt;/" &amp; A2483 &amp; "&gt;"</f>
        <v>&lt;Y_Off&gt;0.000000&lt;/Y_Off&gt;</v>
      </c>
      <c r="F2483" s="6"/>
      <c r="G2483" s="6"/>
      <c r="H2483" s="6"/>
      <c r="I2483" s="6"/>
      <c r="J2483" s="6"/>
      <c r="K2483" s="6"/>
      <c r="L2483" s="6"/>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c r="BU2483" s="6"/>
      <c r="BV2483" s="6"/>
      <c r="BW2483" s="6"/>
      <c r="BX2483" s="6"/>
      <c r="BY2483" s="6"/>
      <c r="BZ2483" s="6"/>
      <c r="CA2483" s="6"/>
      <c r="CB2483" s="6"/>
      <c r="CC2483" s="6"/>
      <c r="CD2483" s="6"/>
      <c r="CE2483" s="6"/>
      <c r="CF2483" s="6"/>
      <c r="CG2483" s="6"/>
      <c r="CH2483" s="6"/>
      <c r="CI2483" s="6"/>
      <c r="CJ2483" s="6"/>
      <c r="CK2483" s="6"/>
      <c r="CL2483" s="6"/>
      <c r="CM2483" s="6"/>
      <c r="CN2483" s="6"/>
      <c r="CO2483" s="6"/>
      <c r="CP2483" s="6"/>
      <c r="CQ2483" s="6"/>
      <c r="CR2483" s="6"/>
      <c r="CS2483" s="6"/>
      <c r="CT2483" s="6"/>
      <c r="CU2483" s="6"/>
      <c r="CV2483" s="6"/>
      <c r="CW2483" s="6"/>
      <c r="CX2483" s="6"/>
      <c r="CY2483" s="6"/>
      <c r="CZ2483" s="6"/>
      <c r="DA2483" s="6"/>
      <c r="DB2483" s="6"/>
      <c r="DC2483" s="6"/>
      <c r="DD2483" s="6"/>
    </row>
    <row r="2484" spans="1:108" ht="12.75" hidden="1" customHeight="1" outlineLevel="6">
      <c r="A2484" s="104" t="s">
        <v>287</v>
      </c>
      <c r="B2484" s="28">
        <f t="shared" si="137"/>
        <v>0.08</v>
      </c>
      <c r="C2484" s="11"/>
      <c r="D2484" s="18" t="str">
        <f>"&lt;" &amp; A2484 &amp; "&gt;" &amp; TEXT(B2484,"0.000000") &amp; "&lt;/" &amp; A2484 &amp; "&gt;"</f>
        <v>&lt;Chord&gt;0.080000&lt;/Chord&gt;</v>
      </c>
      <c r="F2484" s="6"/>
      <c r="G2484" s="6"/>
      <c r="H2484" s="6"/>
      <c r="I2484" s="6"/>
      <c r="J2484" s="6"/>
      <c r="K2484" s="6"/>
      <c r="L2484" s="6"/>
      <c r="M2484" s="6"/>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c r="BU2484" s="6"/>
      <c r="BV2484" s="6"/>
      <c r="BW2484" s="6"/>
      <c r="BX2484" s="6"/>
      <c r="BY2484" s="6"/>
      <c r="BZ2484" s="6"/>
      <c r="CA2484" s="6"/>
      <c r="CB2484" s="6"/>
      <c r="CC2484" s="6"/>
      <c r="CD2484" s="6"/>
      <c r="CE2484" s="6"/>
      <c r="CF2484" s="6"/>
      <c r="CG2484" s="6"/>
      <c r="CH2484" s="6"/>
      <c r="CI2484" s="6"/>
      <c r="CJ2484" s="6"/>
      <c r="CK2484" s="6"/>
      <c r="CL2484" s="6"/>
      <c r="CM2484" s="6"/>
      <c r="CN2484" s="6"/>
      <c r="CO2484" s="6"/>
      <c r="CP2484" s="6"/>
      <c r="CQ2484" s="6"/>
      <c r="CR2484" s="6"/>
      <c r="CS2484" s="6"/>
      <c r="CT2484" s="6"/>
      <c r="CU2484" s="6"/>
      <c r="CV2484" s="6"/>
      <c r="CW2484" s="6"/>
      <c r="CX2484" s="6"/>
      <c r="CY2484" s="6"/>
      <c r="CZ2484" s="6"/>
      <c r="DA2484" s="6"/>
      <c r="DB2484" s="6"/>
      <c r="DC2484" s="6"/>
      <c r="DD2484" s="6"/>
    </row>
    <row r="2485" spans="1:108" ht="12.75" hidden="1" customHeight="1" outlineLevel="6">
      <c r="A2485" s="104" t="s">
        <v>9</v>
      </c>
      <c r="B2485" s="28">
        <f t="shared" si="137"/>
        <v>45</v>
      </c>
      <c r="C2485" s="11"/>
      <c r="D2485" s="18" t="str">
        <f>"&lt;" &amp; A2485 &amp; "&gt;" &amp; TEXT(B2485,"0.000000") &amp; "&lt;/" &amp; A2485 &amp; "&gt;"</f>
        <v>&lt;Twist&gt;45.000000&lt;/Twist&gt;</v>
      </c>
      <c r="F2485" s="6"/>
      <c r="G2485" s="6"/>
      <c r="H2485" s="6"/>
      <c r="I2485" s="6"/>
      <c r="J2485" s="6"/>
      <c r="K2485" s="6"/>
      <c r="L2485" s="6"/>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c r="BU2485" s="6"/>
      <c r="BV2485" s="6"/>
      <c r="BW2485" s="6"/>
      <c r="BX2485" s="6"/>
      <c r="BY2485" s="6"/>
      <c r="BZ2485" s="6"/>
      <c r="CA2485" s="6"/>
      <c r="CB2485" s="6"/>
      <c r="CC2485" s="6"/>
      <c r="CD2485" s="6"/>
      <c r="CE2485" s="6"/>
      <c r="CF2485" s="6"/>
      <c r="CG2485" s="6"/>
      <c r="CH2485" s="6"/>
      <c r="CI2485" s="6"/>
      <c r="CJ2485" s="6"/>
      <c r="CK2485" s="6"/>
      <c r="CL2485" s="6"/>
      <c r="CM2485" s="6"/>
      <c r="CN2485" s="6"/>
      <c r="CO2485" s="6"/>
      <c r="CP2485" s="6"/>
      <c r="CQ2485" s="6"/>
      <c r="CR2485" s="6"/>
      <c r="CS2485" s="6"/>
      <c r="CT2485" s="6"/>
      <c r="CU2485" s="6"/>
      <c r="CV2485" s="6"/>
      <c r="CW2485" s="6"/>
      <c r="CX2485" s="6"/>
      <c r="CY2485" s="6"/>
      <c r="CZ2485" s="6"/>
      <c r="DA2485" s="6"/>
      <c r="DB2485" s="6"/>
      <c r="DC2485" s="6"/>
      <c r="DD2485" s="6"/>
    </row>
    <row r="2486" spans="1:108" ht="12.75" hidden="1" customHeight="1" outlineLevel="6">
      <c r="A2486" s="104" t="s">
        <v>2</v>
      </c>
      <c r="B2486" s="100"/>
      <c r="C2486" s="11"/>
      <c r="D2486" s="6" t="str">
        <f>"&lt;" &amp; A2486 &amp; "&gt;"</f>
        <v>&lt;Airfoil&gt;</v>
      </c>
      <c r="F2486" s="6"/>
      <c r="G2486" s="6"/>
      <c r="H2486" s="6"/>
      <c r="I2486" s="6"/>
      <c r="J2486" s="6"/>
      <c r="K2486" s="6"/>
      <c r="L2486" s="6"/>
      <c r="M2486" s="6"/>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c r="BU2486" s="6"/>
      <c r="BV2486" s="6"/>
      <c r="BW2486" s="6"/>
      <c r="BX2486" s="6"/>
      <c r="BY2486" s="6"/>
      <c r="BZ2486" s="6"/>
      <c r="CA2486" s="6"/>
      <c r="CB2486" s="6"/>
      <c r="CC2486" s="6"/>
      <c r="CD2486" s="6"/>
      <c r="CE2486" s="6"/>
      <c r="CF2486" s="6"/>
      <c r="CG2486" s="6"/>
      <c r="CH2486" s="6"/>
      <c r="CI2486" s="6"/>
      <c r="CJ2486" s="6"/>
      <c r="CK2486" s="6"/>
      <c r="CL2486" s="6"/>
      <c r="CM2486" s="6"/>
      <c r="CN2486" s="6"/>
      <c r="CO2486" s="6"/>
      <c r="CP2486" s="6"/>
      <c r="CQ2486" s="6"/>
      <c r="CR2486" s="6"/>
      <c r="CS2486" s="6"/>
      <c r="CT2486" s="6"/>
      <c r="CU2486" s="6"/>
      <c r="CV2486" s="6"/>
      <c r="CW2486" s="6"/>
      <c r="CX2486" s="6"/>
      <c r="CY2486" s="6"/>
      <c r="CZ2486" s="6"/>
      <c r="DA2486" s="6"/>
      <c r="DB2486" s="6"/>
      <c r="DC2486" s="6"/>
      <c r="DD2486" s="6"/>
    </row>
    <row r="2487" spans="1:108" ht="12.75" hidden="1" customHeight="1" outlineLevel="7">
      <c r="A2487" s="104" t="s">
        <v>14</v>
      </c>
      <c r="B2487" s="28">
        <f t="shared" ref="B2487:B2505" si="138">B1954</f>
        <v>1</v>
      </c>
      <c r="C2487" s="11"/>
      <c r="D2487" s="18" t="str">
        <f>"&lt;" &amp; A2487 &amp; "&gt;" &amp; TEXT(B2487,0) &amp; "&lt;/" &amp; A2487 &amp; "&gt;"</f>
        <v>&lt;Type&gt;1&lt;/Type&gt;</v>
      </c>
      <c r="F2487" s="6"/>
      <c r="G2487" s="6"/>
      <c r="H2487" s="6"/>
      <c r="I2487" s="6"/>
      <c r="J2487" s="6"/>
      <c r="K2487" s="6"/>
      <c r="L2487" s="6"/>
      <c r="M2487" s="6"/>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c r="BU2487" s="6"/>
      <c r="BV2487" s="6"/>
      <c r="BW2487" s="6"/>
      <c r="BX2487" s="6"/>
      <c r="BY2487" s="6"/>
      <c r="BZ2487" s="6"/>
      <c r="CA2487" s="6"/>
      <c r="CB2487" s="6"/>
      <c r="CC2487" s="6"/>
      <c r="CD2487" s="6"/>
      <c r="CE2487" s="6"/>
      <c r="CF2487" s="6"/>
      <c r="CG2487" s="6"/>
      <c r="CH2487" s="6"/>
      <c r="CI2487" s="6"/>
      <c r="CJ2487" s="6"/>
      <c r="CK2487" s="6"/>
      <c r="CL2487" s="6"/>
      <c r="CM2487" s="6"/>
      <c r="CN2487" s="6"/>
      <c r="CO2487" s="6"/>
      <c r="CP2487" s="6"/>
      <c r="CQ2487" s="6"/>
      <c r="CR2487" s="6"/>
      <c r="CS2487" s="6"/>
      <c r="CT2487" s="6"/>
      <c r="CU2487" s="6"/>
      <c r="CV2487" s="6"/>
      <c r="CW2487" s="6"/>
      <c r="CX2487" s="6"/>
      <c r="CY2487" s="6"/>
      <c r="CZ2487" s="6"/>
      <c r="DA2487" s="6"/>
      <c r="DB2487" s="6"/>
      <c r="DC2487" s="6"/>
      <c r="DD2487" s="6"/>
    </row>
    <row r="2488" spans="1:108" ht="12.75" hidden="1" customHeight="1" outlineLevel="7">
      <c r="A2488" s="104" t="s">
        <v>102</v>
      </c>
      <c r="B2488" s="28">
        <f t="shared" si="138"/>
        <v>0</v>
      </c>
      <c r="C2488" s="11"/>
      <c r="D2488" s="18" t="str">
        <f>"&lt;" &amp; A2488 &amp; "&gt;" &amp; TEXT(B2488,0) &amp; "&lt;/" &amp; A2488 &amp; "&gt;"</f>
        <v>&lt;Inverted_Flag&gt;0&lt;/Inverted_Flag&gt;</v>
      </c>
      <c r="F2488" s="6"/>
      <c r="G2488" s="6"/>
      <c r="H2488" s="6"/>
      <c r="I2488" s="6"/>
      <c r="J2488" s="6"/>
      <c r="K2488" s="6"/>
      <c r="L2488" s="6"/>
      <c r="M2488" s="6"/>
      <c r="N2488" s="6"/>
      <c r="O2488" s="6"/>
      <c r="P2488" s="6"/>
      <c r="Q2488" s="6"/>
      <c r="R2488" s="6"/>
      <c r="S2488" s="6"/>
      <c r="T2488" s="6"/>
      <c r="U2488" s="6"/>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c r="BU2488" s="6"/>
      <c r="BV2488" s="6"/>
      <c r="BW2488" s="6"/>
      <c r="BX2488" s="6"/>
      <c r="BY2488" s="6"/>
      <c r="BZ2488" s="6"/>
      <c r="CA2488" s="6"/>
      <c r="CB2488" s="6"/>
      <c r="CC2488" s="6"/>
      <c r="CD2488" s="6"/>
      <c r="CE2488" s="6"/>
      <c r="CF2488" s="6"/>
      <c r="CG2488" s="6"/>
      <c r="CH2488" s="6"/>
      <c r="CI2488" s="6"/>
      <c r="CJ2488" s="6"/>
      <c r="CK2488" s="6"/>
      <c r="CL2488" s="6"/>
      <c r="CM2488" s="6"/>
      <c r="CN2488" s="6"/>
      <c r="CO2488" s="6"/>
      <c r="CP2488" s="6"/>
      <c r="CQ2488" s="6"/>
      <c r="CR2488" s="6"/>
      <c r="CS2488" s="6"/>
      <c r="CT2488" s="6"/>
      <c r="CU2488" s="6"/>
      <c r="CV2488" s="6"/>
      <c r="CW2488" s="6"/>
      <c r="CX2488" s="6"/>
      <c r="CY2488" s="6"/>
      <c r="CZ2488" s="6"/>
      <c r="DA2488" s="6"/>
      <c r="DB2488" s="6"/>
      <c r="DC2488" s="6"/>
      <c r="DD2488" s="6"/>
    </row>
    <row r="2489" spans="1:108" ht="12.75" hidden="1" customHeight="1" outlineLevel="7">
      <c r="A2489" s="104" t="s">
        <v>4</v>
      </c>
      <c r="B2489" s="28">
        <f t="shared" si="138"/>
        <v>0</v>
      </c>
      <c r="C2489" s="11"/>
      <c r="D2489" s="18" t="str">
        <f t="shared" ref="D2489:D2494" si="139">"&lt;" &amp; A2489 &amp; "&gt;" &amp; TEXT(B2489,"0.000000") &amp; "&lt;/" &amp; A2489 &amp; "&gt;"</f>
        <v>&lt;Camber&gt;0.000000&lt;/Camber&gt;</v>
      </c>
      <c r="F2489" s="6"/>
      <c r="G2489" s="6"/>
      <c r="H2489" s="6"/>
      <c r="I2489" s="6"/>
      <c r="J2489" s="6"/>
      <c r="K2489" s="6"/>
      <c r="L2489" s="6"/>
      <c r="M2489" s="6"/>
      <c r="N2489" s="6"/>
      <c r="O2489" s="6"/>
      <c r="P2489" s="6"/>
      <c r="Q2489" s="6"/>
      <c r="R2489" s="6"/>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c r="BU2489" s="6"/>
      <c r="BV2489" s="6"/>
      <c r="BW2489" s="6"/>
      <c r="BX2489" s="6"/>
      <c r="BY2489" s="6"/>
      <c r="BZ2489" s="6"/>
      <c r="CA2489" s="6"/>
      <c r="CB2489" s="6"/>
      <c r="CC2489" s="6"/>
      <c r="CD2489" s="6"/>
      <c r="CE2489" s="6"/>
      <c r="CF2489" s="6"/>
      <c r="CG2489" s="6"/>
      <c r="CH2489" s="6"/>
      <c r="CI2489" s="6"/>
      <c r="CJ2489" s="6"/>
      <c r="CK2489" s="6"/>
      <c r="CL2489" s="6"/>
      <c r="CM2489" s="6"/>
      <c r="CN2489" s="6"/>
      <c r="CO2489" s="6"/>
      <c r="CP2489" s="6"/>
      <c r="CQ2489" s="6"/>
      <c r="CR2489" s="6"/>
      <c r="CS2489" s="6"/>
      <c r="CT2489" s="6"/>
      <c r="CU2489" s="6"/>
      <c r="CV2489" s="6"/>
      <c r="CW2489" s="6"/>
      <c r="CX2489" s="6"/>
      <c r="CY2489" s="6"/>
      <c r="CZ2489" s="6"/>
      <c r="DA2489" s="6"/>
      <c r="DB2489" s="6"/>
      <c r="DC2489" s="6"/>
      <c r="DD2489" s="6"/>
    </row>
    <row r="2490" spans="1:108" ht="12.75" hidden="1" customHeight="1" outlineLevel="7">
      <c r="A2490" s="104" t="s">
        <v>103</v>
      </c>
      <c r="B2490" s="28">
        <f t="shared" si="138"/>
        <v>0.5</v>
      </c>
      <c r="C2490" s="11"/>
      <c r="D2490" s="18" t="str">
        <f t="shared" si="139"/>
        <v>&lt;Camber_Loc&gt;0.500000&lt;/Camber_Loc&gt;</v>
      </c>
      <c r="F2490" s="6"/>
      <c r="G2490" s="6"/>
      <c r="H2490" s="6"/>
      <c r="I2490" s="6"/>
      <c r="J2490" s="6"/>
      <c r="K2490" s="6"/>
      <c r="L2490" s="6"/>
      <c r="M2490" s="6"/>
      <c r="N2490" s="6"/>
      <c r="O2490" s="6"/>
      <c r="P2490" s="6"/>
      <c r="Q2490" s="6"/>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c r="BU2490" s="6"/>
      <c r="BV2490" s="6"/>
      <c r="BW2490" s="6"/>
      <c r="BX2490" s="6"/>
      <c r="BY2490" s="6"/>
      <c r="BZ2490" s="6"/>
      <c r="CA2490" s="6"/>
      <c r="CB2490" s="6"/>
      <c r="CC2490" s="6"/>
      <c r="CD2490" s="6"/>
      <c r="CE2490" s="6"/>
      <c r="CF2490" s="6"/>
      <c r="CG2490" s="6"/>
      <c r="CH2490" s="6"/>
      <c r="CI2490" s="6"/>
      <c r="CJ2490" s="6"/>
      <c r="CK2490" s="6"/>
      <c r="CL2490" s="6"/>
      <c r="CM2490" s="6"/>
      <c r="CN2490" s="6"/>
      <c r="CO2490" s="6"/>
      <c r="CP2490" s="6"/>
      <c r="CQ2490" s="6"/>
      <c r="CR2490" s="6"/>
      <c r="CS2490" s="6"/>
      <c r="CT2490" s="6"/>
      <c r="CU2490" s="6"/>
      <c r="CV2490" s="6"/>
      <c r="CW2490" s="6"/>
      <c r="CX2490" s="6"/>
      <c r="CY2490" s="6"/>
      <c r="CZ2490" s="6"/>
      <c r="DA2490" s="6"/>
      <c r="DB2490" s="6"/>
      <c r="DC2490" s="6"/>
      <c r="DD2490" s="6"/>
    </row>
    <row r="2491" spans="1:108" ht="12.75" hidden="1" customHeight="1" outlineLevel="7">
      <c r="A2491" s="104" t="s">
        <v>5</v>
      </c>
      <c r="B2491" s="28">
        <f t="shared" si="138"/>
        <v>0.2</v>
      </c>
      <c r="C2491" s="11"/>
      <c r="D2491" s="18" t="str">
        <f t="shared" si="139"/>
        <v>&lt;Thickness&gt;0.200000&lt;/Thickness&gt;</v>
      </c>
      <c r="F2491" s="6"/>
      <c r="G2491" s="6"/>
      <c r="H2491" s="6"/>
      <c r="I2491" s="6"/>
      <c r="J2491" s="6"/>
      <c r="K2491" s="6"/>
      <c r="L2491" s="6"/>
      <c r="M2491" s="6"/>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c r="BU2491" s="6"/>
      <c r="BV2491" s="6"/>
      <c r="BW2491" s="6"/>
      <c r="BX2491" s="6"/>
      <c r="BY2491" s="6"/>
      <c r="BZ2491" s="6"/>
      <c r="CA2491" s="6"/>
      <c r="CB2491" s="6"/>
      <c r="CC2491" s="6"/>
      <c r="CD2491" s="6"/>
      <c r="CE2491" s="6"/>
      <c r="CF2491" s="6"/>
      <c r="CG2491" s="6"/>
      <c r="CH2491" s="6"/>
      <c r="CI2491" s="6"/>
      <c r="CJ2491" s="6"/>
      <c r="CK2491" s="6"/>
      <c r="CL2491" s="6"/>
      <c r="CM2491" s="6"/>
      <c r="CN2491" s="6"/>
      <c r="CO2491" s="6"/>
      <c r="CP2491" s="6"/>
      <c r="CQ2491" s="6"/>
      <c r="CR2491" s="6"/>
      <c r="CS2491" s="6"/>
      <c r="CT2491" s="6"/>
      <c r="CU2491" s="6"/>
      <c r="CV2491" s="6"/>
      <c r="CW2491" s="6"/>
      <c r="CX2491" s="6"/>
      <c r="CY2491" s="6"/>
      <c r="CZ2491" s="6"/>
      <c r="DA2491" s="6"/>
      <c r="DB2491" s="6"/>
      <c r="DC2491" s="6"/>
      <c r="DD2491" s="6"/>
    </row>
    <row r="2492" spans="1:108" ht="12.75" hidden="1" customHeight="1" outlineLevel="7">
      <c r="A2492" s="104" t="s">
        <v>104</v>
      </c>
      <c r="B2492" s="28">
        <f t="shared" si="138"/>
        <v>0.3</v>
      </c>
      <c r="C2492" s="11"/>
      <c r="D2492" s="18" t="str">
        <f t="shared" si="139"/>
        <v>&lt;Thickness_Loc&gt;0.300000&lt;/Thickness_Loc&gt;</v>
      </c>
      <c r="F2492" s="6"/>
      <c r="G2492" s="6"/>
      <c r="H2492" s="6"/>
      <c r="I2492" s="6"/>
      <c r="J2492" s="6"/>
      <c r="K2492" s="6"/>
      <c r="L2492" s="6"/>
      <c r="M2492" s="6"/>
      <c r="N2492" s="6"/>
      <c r="O2492" s="6"/>
      <c r="P2492" s="6"/>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c r="BU2492" s="6"/>
      <c r="BV2492" s="6"/>
      <c r="BW2492" s="6"/>
      <c r="BX2492" s="6"/>
      <c r="BY2492" s="6"/>
      <c r="BZ2492" s="6"/>
      <c r="CA2492" s="6"/>
      <c r="CB2492" s="6"/>
      <c r="CC2492" s="6"/>
      <c r="CD2492" s="6"/>
      <c r="CE2492" s="6"/>
      <c r="CF2492" s="6"/>
      <c r="CG2492" s="6"/>
      <c r="CH2492" s="6"/>
      <c r="CI2492" s="6"/>
      <c r="CJ2492" s="6"/>
      <c r="CK2492" s="6"/>
      <c r="CL2492" s="6"/>
      <c r="CM2492" s="6"/>
      <c r="CN2492" s="6"/>
      <c r="CO2492" s="6"/>
      <c r="CP2492" s="6"/>
      <c r="CQ2492" s="6"/>
      <c r="CR2492" s="6"/>
      <c r="CS2492" s="6"/>
      <c r="CT2492" s="6"/>
      <c r="CU2492" s="6"/>
      <c r="CV2492" s="6"/>
      <c r="CW2492" s="6"/>
      <c r="CX2492" s="6"/>
      <c r="CY2492" s="6"/>
      <c r="CZ2492" s="6"/>
      <c r="DA2492" s="6"/>
      <c r="DB2492" s="6"/>
      <c r="DC2492" s="6"/>
      <c r="DD2492" s="6"/>
    </row>
    <row r="2493" spans="1:108" ht="12.75" hidden="1" customHeight="1" outlineLevel="7">
      <c r="A2493" s="104" t="s">
        <v>105</v>
      </c>
      <c r="B2493" s="28">
        <f t="shared" si="138"/>
        <v>4.4075999999999997E-2</v>
      </c>
      <c r="C2493" s="11"/>
      <c r="D2493" s="18" t="str">
        <f t="shared" si="139"/>
        <v>&lt;Radius_Le&gt;0.044076&lt;/Radius_Le&gt;</v>
      </c>
      <c r="F2493" s="6"/>
      <c r="G2493" s="6"/>
      <c r="H2493" s="6"/>
      <c r="I2493" s="6"/>
      <c r="J2493" s="6"/>
      <c r="K2493" s="6"/>
      <c r="L2493" s="6"/>
      <c r="M2493" s="6"/>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c r="BU2493" s="6"/>
      <c r="BV2493" s="6"/>
      <c r="BW2493" s="6"/>
      <c r="BX2493" s="6"/>
      <c r="BY2493" s="6"/>
      <c r="BZ2493" s="6"/>
      <c r="CA2493" s="6"/>
      <c r="CB2493" s="6"/>
      <c r="CC2493" s="6"/>
      <c r="CD2493" s="6"/>
      <c r="CE2493" s="6"/>
      <c r="CF2493" s="6"/>
      <c r="CG2493" s="6"/>
      <c r="CH2493" s="6"/>
      <c r="CI2493" s="6"/>
      <c r="CJ2493" s="6"/>
      <c r="CK2493" s="6"/>
      <c r="CL2493" s="6"/>
      <c r="CM2493" s="6"/>
      <c r="CN2493" s="6"/>
      <c r="CO2493" s="6"/>
      <c r="CP2493" s="6"/>
      <c r="CQ2493" s="6"/>
      <c r="CR2493" s="6"/>
      <c r="CS2493" s="6"/>
      <c r="CT2493" s="6"/>
      <c r="CU2493" s="6"/>
      <c r="CV2493" s="6"/>
      <c r="CW2493" s="6"/>
      <c r="CX2493" s="6"/>
      <c r="CY2493" s="6"/>
      <c r="CZ2493" s="6"/>
      <c r="DA2493" s="6"/>
      <c r="DB2493" s="6"/>
      <c r="DC2493" s="6"/>
      <c r="DD2493" s="6"/>
    </row>
    <row r="2494" spans="1:108" ht="12.75" hidden="1" customHeight="1" outlineLevel="7">
      <c r="A2494" s="104" t="s">
        <v>106</v>
      </c>
      <c r="B2494" s="28">
        <f t="shared" si="138"/>
        <v>0</v>
      </c>
      <c r="C2494" s="11"/>
      <c r="D2494" s="18" t="str">
        <f t="shared" si="139"/>
        <v>&lt;Radius_Te&gt;0.000000&lt;/Radius_Te&gt;</v>
      </c>
      <c r="F2494" s="6"/>
      <c r="G2494" s="6"/>
      <c r="H2494" s="6"/>
      <c r="I2494" s="6"/>
      <c r="J2494" s="6"/>
      <c r="K2494" s="6"/>
      <c r="L2494" s="6"/>
      <c r="M2494" s="6"/>
      <c r="N2494" s="6"/>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c r="BU2494" s="6"/>
      <c r="BV2494" s="6"/>
      <c r="BW2494" s="6"/>
      <c r="BX2494" s="6"/>
      <c r="BY2494" s="6"/>
      <c r="BZ2494" s="6"/>
      <c r="CA2494" s="6"/>
      <c r="CB2494" s="6"/>
      <c r="CC2494" s="6"/>
      <c r="CD2494" s="6"/>
      <c r="CE2494" s="6"/>
      <c r="CF2494" s="6"/>
      <c r="CG2494" s="6"/>
      <c r="CH2494" s="6"/>
      <c r="CI2494" s="6"/>
      <c r="CJ2494" s="6"/>
      <c r="CK2494" s="6"/>
      <c r="CL2494" s="6"/>
      <c r="CM2494" s="6"/>
      <c r="CN2494" s="6"/>
      <c r="CO2494" s="6"/>
      <c r="CP2494" s="6"/>
      <c r="CQ2494" s="6"/>
      <c r="CR2494" s="6"/>
      <c r="CS2494" s="6"/>
      <c r="CT2494" s="6"/>
      <c r="CU2494" s="6"/>
      <c r="CV2494" s="6"/>
      <c r="CW2494" s="6"/>
      <c r="CX2494" s="6"/>
      <c r="CY2494" s="6"/>
      <c r="CZ2494" s="6"/>
      <c r="DA2494" s="6"/>
      <c r="DB2494" s="6"/>
      <c r="DC2494" s="6"/>
      <c r="DD2494" s="6"/>
    </row>
    <row r="2495" spans="1:108" ht="12.75" hidden="1" customHeight="1" outlineLevel="7">
      <c r="A2495" s="104" t="s">
        <v>107</v>
      </c>
      <c r="B2495" s="28">
        <f t="shared" si="138"/>
        <v>63</v>
      </c>
      <c r="C2495" s="11"/>
      <c r="D2495" s="18" t="str">
        <f>"&lt;" &amp; A2495 &amp; "&gt;" &amp; TEXT(B2495,0) &amp; "&lt;/" &amp; A2495 &amp; "&gt;"</f>
        <v>&lt;Six_Series&gt;63&lt;/Six_Series&gt;</v>
      </c>
      <c r="F2495" s="6"/>
      <c r="G2495" s="6"/>
      <c r="H2495" s="6"/>
      <c r="I2495" s="6"/>
      <c r="J2495" s="6"/>
      <c r="K2495" s="6"/>
      <c r="L2495" s="6"/>
      <c r="M2495" s="6"/>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c r="BU2495" s="6"/>
      <c r="BV2495" s="6"/>
      <c r="BW2495" s="6"/>
      <c r="BX2495" s="6"/>
      <c r="BY2495" s="6"/>
      <c r="BZ2495" s="6"/>
      <c r="CA2495" s="6"/>
      <c r="CB2495" s="6"/>
      <c r="CC2495" s="6"/>
      <c r="CD2495" s="6"/>
      <c r="CE2495" s="6"/>
      <c r="CF2495" s="6"/>
      <c r="CG2495" s="6"/>
      <c r="CH2495" s="6"/>
      <c r="CI2495" s="6"/>
      <c r="CJ2495" s="6"/>
      <c r="CK2495" s="6"/>
      <c r="CL2495" s="6"/>
      <c r="CM2495" s="6"/>
      <c r="CN2495" s="6"/>
      <c r="CO2495" s="6"/>
      <c r="CP2495" s="6"/>
      <c r="CQ2495" s="6"/>
      <c r="CR2495" s="6"/>
      <c r="CS2495" s="6"/>
      <c r="CT2495" s="6"/>
      <c r="CU2495" s="6"/>
      <c r="CV2495" s="6"/>
      <c r="CW2495" s="6"/>
      <c r="CX2495" s="6"/>
      <c r="CY2495" s="6"/>
      <c r="CZ2495" s="6"/>
      <c r="DA2495" s="6"/>
      <c r="DB2495" s="6"/>
      <c r="DC2495" s="6"/>
      <c r="DD2495" s="6"/>
    </row>
    <row r="2496" spans="1:108" ht="12.75" hidden="1" customHeight="1" outlineLevel="7">
      <c r="A2496" s="104" t="s">
        <v>108</v>
      </c>
      <c r="B2496" s="28">
        <f t="shared" si="138"/>
        <v>0</v>
      </c>
      <c r="C2496" s="11"/>
      <c r="D2496" s="18" t="str">
        <f>"&lt;" &amp; A2496 &amp; "&gt;" &amp; TEXT(B2496,"0.000000") &amp; "&lt;/" &amp; A2496 &amp; "&gt;"</f>
        <v>&lt;Ideal_Cl&gt;0.000000&lt;/Ideal_Cl&gt;</v>
      </c>
      <c r="F2496" s="6"/>
      <c r="G2496" s="6"/>
      <c r="H2496" s="6"/>
      <c r="I2496" s="6"/>
      <c r="J2496" s="6"/>
      <c r="K2496" s="6"/>
      <c r="L2496" s="6"/>
      <c r="M2496" s="6"/>
      <c r="N2496" s="6"/>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c r="BU2496" s="6"/>
      <c r="BV2496" s="6"/>
      <c r="BW2496" s="6"/>
      <c r="BX2496" s="6"/>
      <c r="BY2496" s="6"/>
      <c r="BZ2496" s="6"/>
      <c r="CA2496" s="6"/>
      <c r="CB2496" s="6"/>
      <c r="CC2496" s="6"/>
      <c r="CD2496" s="6"/>
      <c r="CE2496" s="6"/>
      <c r="CF2496" s="6"/>
      <c r="CG2496" s="6"/>
      <c r="CH2496" s="6"/>
      <c r="CI2496" s="6"/>
      <c r="CJ2496" s="6"/>
      <c r="CK2496" s="6"/>
      <c r="CL2496" s="6"/>
      <c r="CM2496" s="6"/>
      <c r="CN2496" s="6"/>
      <c r="CO2496" s="6"/>
      <c r="CP2496" s="6"/>
      <c r="CQ2496" s="6"/>
      <c r="CR2496" s="6"/>
      <c r="CS2496" s="6"/>
      <c r="CT2496" s="6"/>
      <c r="CU2496" s="6"/>
      <c r="CV2496" s="6"/>
      <c r="CW2496" s="6"/>
      <c r="CX2496" s="6"/>
      <c r="CY2496" s="6"/>
      <c r="CZ2496" s="6"/>
      <c r="DA2496" s="6"/>
      <c r="DB2496" s="6"/>
      <c r="DC2496" s="6"/>
      <c r="DD2496" s="6"/>
    </row>
    <row r="2497" spans="1:108" ht="12.75" hidden="1" customHeight="1" outlineLevel="7">
      <c r="A2497" s="104" t="s">
        <v>109</v>
      </c>
      <c r="B2497" s="28">
        <f t="shared" si="138"/>
        <v>0</v>
      </c>
      <c r="C2497" s="11"/>
      <c r="D2497" s="18" t="str">
        <f>"&lt;" &amp; A2497 &amp; "&gt;" &amp; TEXT(B2497,"0.000000") &amp; "&lt;/" &amp; A2497 &amp; "&gt;"</f>
        <v>&lt;A&gt;0.000000&lt;/A&gt;</v>
      </c>
      <c r="F2497" s="6"/>
      <c r="G2497" s="6"/>
      <c r="H2497" s="6"/>
      <c r="I2497" s="6"/>
      <c r="J2497" s="6"/>
      <c r="K2497" s="6"/>
      <c r="L2497" s="6"/>
      <c r="M2497" s="6"/>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c r="BU2497" s="6"/>
      <c r="BV2497" s="6"/>
      <c r="BW2497" s="6"/>
      <c r="BX2497" s="6"/>
      <c r="BY2497" s="6"/>
      <c r="BZ2497" s="6"/>
      <c r="CA2497" s="6"/>
      <c r="CB2497" s="6"/>
      <c r="CC2497" s="6"/>
      <c r="CD2497" s="6"/>
      <c r="CE2497" s="6"/>
      <c r="CF2497" s="6"/>
      <c r="CG2497" s="6"/>
      <c r="CH2497" s="6"/>
      <c r="CI2497" s="6"/>
      <c r="CJ2497" s="6"/>
      <c r="CK2497" s="6"/>
      <c r="CL2497" s="6"/>
      <c r="CM2497" s="6"/>
      <c r="CN2497" s="6"/>
      <c r="CO2497" s="6"/>
      <c r="CP2497" s="6"/>
      <c r="CQ2497" s="6"/>
      <c r="CR2497" s="6"/>
      <c r="CS2497" s="6"/>
      <c r="CT2497" s="6"/>
      <c r="CU2497" s="6"/>
      <c r="CV2497" s="6"/>
      <c r="CW2497" s="6"/>
      <c r="CX2497" s="6"/>
      <c r="CY2497" s="6"/>
      <c r="CZ2497" s="6"/>
      <c r="DA2497" s="6"/>
      <c r="DB2497" s="6"/>
      <c r="DC2497" s="6"/>
      <c r="DD2497" s="6"/>
    </row>
    <row r="2498" spans="1:108" ht="12.75" hidden="1" customHeight="1" outlineLevel="7">
      <c r="A2498" s="104" t="s">
        <v>110</v>
      </c>
      <c r="B2498" s="28">
        <f t="shared" si="138"/>
        <v>0</v>
      </c>
      <c r="C2498" s="11"/>
      <c r="D2498" s="18" t="str">
        <f>"&lt;" &amp; A2498 &amp; "&gt;" &amp; TEXT(B2498,0) &amp; "&lt;/" &amp; A2498 &amp; "&gt;"</f>
        <v>&lt;Slat_Flag&gt;0&lt;/Slat_Flag&gt;</v>
      </c>
      <c r="F2498" s="6"/>
      <c r="G2498" s="6"/>
      <c r="H2498" s="6"/>
      <c r="I2498" s="6"/>
      <c r="J2498" s="6"/>
      <c r="K2498" s="6"/>
      <c r="L2498" s="6"/>
      <c r="M2498" s="6"/>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c r="BU2498" s="6"/>
      <c r="BV2498" s="6"/>
      <c r="BW2498" s="6"/>
      <c r="BX2498" s="6"/>
      <c r="BY2498" s="6"/>
      <c r="BZ2498" s="6"/>
      <c r="CA2498" s="6"/>
      <c r="CB2498" s="6"/>
      <c r="CC2498" s="6"/>
      <c r="CD2498" s="6"/>
      <c r="CE2498" s="6"/>
      <c r="CF2498" s="6"/>
      <c r="CG2498" s="6"/>
      <c r="CH2498" s="6"/>
      <c r="CI2498" s="6"/>
      <c r="CJ2498" s="6"/>
      <c r="CK2498" s="6"/>
      <c r="CL2498" s="6"/>
      <c r="CM2498" s="6"/>
      <c r="CN2498" s="6"/>
      <c r="CO2498" s="6"/>
      <c r="CP2498" s="6"/>
      <c r="CQ2498" s="6"/>
      <c r="CR2498" s="6"/>
      <c r="CS2498" s="6"/>
      <c r="CT2498" s="6"/>
      <c r="CU2498" s="6"/>
      <c r="CV2498" s="6"/>
      <c r="CW2498" s="6"/>
      <c r="CX2498" s="6"/>
      <c r="CY2498" s="6"/>
      <c r="CZ2498" s="6"/>
      <c r="DA2498" s="6"/>
      <c r="DB2498" s="6"/>
      <c r="DC2498" s="6"/>
      <c r="DD2498" s="6"/>
    </row>
    <row r="2499" spans="1:108" ht="12.75" hidden="1" customHeight="1" outlineLevel="7">
      <c r="A2499" s="104" t="s">
        <v>111</v>
      </c>
      <c r="B2499" s="28">
        <f t="shared" si="138"/>
        <v>0</v>
      </c>
      <c r="C2499" s="11"/>
      <c r="D2499" s="18" t="str">
        <f>"&lt;" &amp; A2499 &amp; "&gt;" &amp; TEXT(B2499,0) &amp; "&lt;/" &amp; A2499 &amp; "&gt;"</f>
        <v>&lt;Slat_Shear_Flag&gt;0&lt;/Slat_Shear_Flag&gt;</v>
      </c>
      <c r="F2499" s="6"/>
      <c r="G2499" s="6"/>
      <c r="H2499" s="6"/>
      <c r="I2499" s="6"/>
      <c r="J2499" s="6"/>
      <c r="K2499" s="6"/>
      <c r="L2499" s="6"/>
      <c r="M2499" s="6"/>
      <c r="N2499" s="6"/>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c r="BU2499" s="6"/>
      <c r="BV2499" s="6"/>
      <c r="BW2499" s="6"/>
      <c r="BX2499" s="6"/>
      <c r="BY2499" s="6"/>
      <c r="BZ2499" s="6"/>
      <c r="CA2499" s="6"/>
      <c r="CB2499" s="6"/>
      <c r="CC2499" s="6"/>
      <c r="CD2499" s="6"/>
      <c r="CE2499" s="6"/>
      <c r="CF2499" s="6"/>
      <c r="CG2499" s="6"/>
      <c r="CH2499" s="6"/>
      <c r="CI2499" s="6"/>
      <c r="CJ2499" s="6"/>
      <c r="CK2499" s="6"/>
      <c r="CL2499" s="6"/>
      <c r="CM2499" s="6"/>
      <c r="CN2499" s="6"/>
      <c r="CO2499" s="6"/>
      <c r="CP2499" s="6"/>
      <c r="CQ2499" s="6"/>
      <c r="CR2499" s="6"/>
      <c r="CS2499" s="6"/>
      <c r="CT2499" s="6"/>
      <c r="CU2499" s="6"/>
      <c r="CV2499" s="6"/>
      <c r="CW2499" s="6"/>
      <c r="CX2499" s="6"/>
      <c r="CY2499" s="6"/>
      <c r="CZ2499" s="6"/>
      <c r="DA2499" s="6"/>
      <c r="DB2499" s="6"/>
      <c r="DC2499" s="6"/>
      <c r="DD2499" s="6"/>
    </row>
    <row r="2500" spans="1:108" ht="12.75" hidden="1" customHeight="1" outlineLevel="7">
      <c r="A2500" s="104" t="s">
        <v>112</v>
      </c>
      <c r="B2500" s="28">
        <f t="shared" si="138"/>
        <v>0.25</v>
      </c>
      <c r="C2500" s="11"/>
      <c r="D2500" s="18" t="str">
        <f>"&lt;" &amp; A2500 &amp; "&gt;" &amp; TEXT(B2500,"0.000000") &amp; "&lt;/" &amp; A2500 &amp; "&gt;"</f>
        <v>&lt;Slat_Chord&gt;0.250000&lt;/Slat_Chord&gt;</v>
      </c>
      <c r="F2500" s="6"/>
      <c r="G2500" s="6"/>
      <c r="H2500" s="6"/>
      <c r="I2500" s="6"/>
      <c r="J2500" s="6"/>
      <c r="K2500" s="6"/>
      <c r="L2500" s="6"/>
      <c r="M2500" s="6"/>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c r="BU2500" s="6"/>
      <c r="BV2500" s="6"/>
      <c r="BW2500" s="6"/>
      <c r="BX2500" s="6"/>
      <c r="BY2500" s="6"/>
      <c r="BZ2500" s="6"/>
      <c r="CA2500" s="6"/>
      <c r="CB2500" s="6"/>
      <c r="CC2500" s="6"/>
      <c r="CD2500" s="6"/>
      <c r="CE2500" s="6"/>
      <c r="CF2500" s="6"/>
      <c r="CG2500" s="6"/>
      <c r="CH2500" s="6"/>
      <c r="CI2500" s="6"/>
      <c r="CJ2500" s="6"/>
      <c r="CK2500" s="6"/>
      <c r="CL2500" s="6"/>
      <c r="CM2500" s="6"/>
      <c r="CN2500" s="6"/>
      <c r="CO2500" s="6"/>
      <c r="CP2500" s="6"/>
      <c r="CQ2500" s="6"/>
      <c r="CR2500" s="6"/>
      <c r="CS2500" s="6"/>
      <c r="CT2500" s="6"/>
      <c r="CU2500" s="6"/>
      <c r="CV2500" s="6"/>
      <c r="CW2500" s="6"/>
      <c r="CX2500" s="6"/>
      <c r="CY2500" s="6"/>
      <c r="CZ2500" s="6"/>
      <c r="DA2500" s="6"/>
      <c r="DB2500" s="6"/>
      <c r="DC2500" s="6"/>
      <c r="DD2500" s="6"/>
    </row>
    <row r="2501" spans="1:108" ht="12.75" hidden="1" customHeight="1" outlineLevel="7">
      <c r="A2501" s="104" t="s">
        <v>113</v>
      </c>
      <c r="B2501" s="28">
        <f t="shared" si="138"/>
        <v>10</v>
      </c>
      <c r="C2501" s="11"/>
      <c r="D2501" s="18" t="str">
        <f>"&lt;" &amp; A2501 &amp; "&gt;" &amp; TEXT(B2501,"0.000000") &amp; "&lt;/" &amp; A2501 &amp; "&gt;"</f>
        <v>&lt;Slat_Angle&gt;10.000000&lt;/Slat_Angle&gt;</v>
      </c>
      <c r="F2501" s="6"/>
      <c r="G2501" s="6"/>
      <c r="H2501" s="6"/>
      <c r="I2501" s="6"/>
      <c r="J2501" s="6"/>
      <c r="K2501" s="6"/>
      <c r="L2501" s="6"/>
      <c r="M2501" s="6"/>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c r="BU2501" s="6"/>
      <c r="BV2501" s="6"/>
      <c r="BW2501" s="6"/>
      <c r="BX2501" s="6"/>
      <c r="BY2501" s="6"/>
      <c r="BZ2501" s="6"/>
      <c r="CA2501" s="6"/>
      <c r="CB2501" s="6"/>
      <c r="CC2501" s="6"/>
      <c r="CD2501" s="6"/>
      <c r="CE2501" s="6"/>
      <c r="CF2501" s="6"/>
      <c r="CG2501" s="6"/>
      <c r="CH2501" s="6"/>
      <c r="CI2501" s="6"/>
      <c r="CJ2501" s="6"/>
      <c r="CK2501" s="6"/>
      <c r="CL2501" s="6"/>
      <c r="CM2501" s="6"/>
      <c r="CN2501" s="6"/>
      <c r="CO2501" s="6"/>
      <c r="CP2501" s="6"/>
      <c r="CQ2501" s="6"/>
      <c r="CR2501" s="6"/>
      <c r="CS2501" s="6"/>
      <c r="CT2501" s="6"/>
      <c r="CU2501" s="6"/>
      <c r="CV2501" s="6"/>
      <c r="CW2501" s="6"/>
      <c r="CX2501" s="6"/>
      <c r="CY2501" s="6"/>
      <c r="CZ2501" s="6"/>
      <c r="DA2501" s="6"/>
      <c r="DB2501" s="6"/>
      <c r="DC2501" s="6"/>
      <c r="DD2501" s="6"/>
    </row>
    <row r="2502" spans="1:108" ht="12.75" hidden="1" customHeight="1" outlineLevel="7">
      <c r="A2502" s="104" t="s">
        <v>114</v>
      </c>
      <c r="B2502" s="28">
        <f t="shared" si="138"/>
        <v>0</v>
      </c>
      <c r="C2502" s="11"/>
      <c r="D2502" s="18" t="str">
        <f>"&lt;" &amp; A2502 &amp; "&gt;" &amp; TEXT(B2502,0) &amp; "&lt;/" &amp; A2502 &amp; "&gt;"</f>
        <v>&lt;Flap_Flag&gt;0&lt;/Flap_Flag&gt;</v>
      </c>
      <c r="F2502" s="6"/>
      <c r="G2502" s="6"/>
      <c r="H2502" s="6"/>
      <c r="I2502" s="6"/>
      <c r="J2502" s="6"/>
      <c r="K2502" s="6"/>
      <c r="L2502" s="6"/>
      <c r="M2502" s="6"/>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c r="BU2502" s="6"/>
      <c r="BV2502" s="6"/>
      <c r="BW2502" s="6"/>
      <c r="BX2502" s="6"/>
      <c r="BY2502" s="6"/>
      <c r="BZ2502" s="6"/>
      <c r="CA2502" s="6"/>
      <c r="CB2502" s="6"/>
      <c r="CC2502" s="6"/>
      <c r="CD2502" s="6"/>
      <c r="CE2502" s="6"/>
      <c r="CF2502" s="6"/>
      <c r="CG2502" s="6"/>
      <c r="CH2502" s="6"/>
      <c r="CI2502" s="6"/>
      <c r="CJ2502" s="6"/>
      <c r="CK2502" s="6"/>
      <c r="CL2502" s="6"/>
      <c r="CM2502" s="6"/>
      <c r="CN2502" s="6"/>
      <c r="CO2502" s="6"/>
      <c r="CP2502" s="6"/>
      <c r="CQ2502" s="6"/>
      <c r="CR2502" s="6"/>
      <c r="CS2502" s="6"/>
      <c r="CT2502" s="6"/>
      <c r="CU2502" s="6"/>
      <c r="CV2502" s="6"/>
      <c r="CW2502" s="6"/>
      <c r="CX2502" s="6"/>
      <c r="CY2502" s="6"/>
      <c r="CZ2502" s="6"/>
      <c r="DA2502" s="6"/>
      <c r="DB2502" s="6"/>
      <c r="DC2502" s="6"/>
      <c r="DD2502" s="6"/>
    </row>
    <row r="2503" spans="1:108" ht="12.75" hidden="1" customHeight="1" outlineLevel="7">
      <c r="A2503" s="104" t="s">
        <v>115</v>
      </c>
      <c r="B2503" s="28">
        <f t="shared" si="138"/>
        <v>0</v>
      </c>
      <c r="C2503" s="11"/>
      <c r="D2503" s="18" t="str">
        <f>"&lt;" &amp; A2503 &amp; "&gt;" &amp; TEXT(B2503,0) &amp; "&lt;/" &amp; A2503 &amp; "&gt;"</f>
        <v>&lt;Flap_Shear_Flag&gt;0&lt;/Flap_Shear_Flag&gt;</v>
      </c>
      <c r="F2503" s="6"/>
      <c r="G2503" s="6"/>
      <c r="H2503" s="6"/>
      <c r="I2503" s="6"/>
      <c r="J2503" s="6"/>
      <c r="K2503" s="6"/>
      <c r="L2503" s="6"/>
      <c r="M2503" s="6"/>
      <c r="N2503" s="6"/>
      <c r="O2503" s="6"/>
      <c r="P2503" s="6"/>
      <c r="Q2503" s="6"/>
      <c r="R2503" s="6"/>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c r="BU2503" s="6"/>
      <c r="BV2503" s="6"/>
      <c r="BW2503" s="6"/>
      <c r="BX2503" s="6"/>
      <c r="BY2503" s="6"/>
      <c r="BZ2503" s="6"/>
      <c r="CA2503" s="6"/>
      <c r="CB2503" s="6"/>
      <c r="CC2503" s="6"/>
      <c r="CD2503" s="6"/>
      <c r="CE2503" s="6"/>
      <c r="CF2503" s="6"/>
      <c r="CG2503" s="6"/>
      <c r="CH2503" s="6"/>
      <c r="CI2503" s="6"/>
      <c r="CJ2503" s="6"/>
      <c r="CK2503" s="6"/>
      <c r="CL2503" s="6"/>
      <c r="CM2503" s="6"/>
      <c r="CN2503" s="6"/>
      <c r="CO2503" s="6"/>
      <c r="CP2503" s="6"/>
      <c r="CQ2503" s="6"/>
      <c r="CR2503" s="6"/>
      <c r="CS2503" s="6"/>
      <c r="CT2503" s="6"/>
      <c r="CU2503" s="6"/>
      <c r="CV2503" s="6"/>
      <c r="CW2503" s="6"/>
      <c r="CX2503" s="6"/>
      <c r="CY2503" s="6"/>
      <c r="CZ2503" s="6"/>
      <c r="DA2503" s="6"/>
      <c r="DB2503" s="6"/>
      <c r="DC2503" s="6"/>
      <c r="DD2503" s="6"/>
    </row>
    <row r="2504" spans="1:108" ht="12.75" hidden="1" customHeight="1" outlineLevel="7">
      <c r="A2504" s="104" t="s">
        <v>116</v>
      </c>
      <c r="B2504" s="28">
        <f t="shared" si="138"/>
        <v>0.25</v>
      </c>
      <c r="C2504" s="11"/>
      <c r="D2504" s="18" t="str">
        <f>"&lt;" &amp; A2504 &amp; "&gt;" &amp; TEXT(B2504,"0.000000") &amp; "&lt;/" &amp; A2504 &amp; "&gt;"</f>
        <v>&lt;Flap_Chord&gt;0.250000&lt;/Flap_Chord&gt;</v>
      </c>
      <c r="F2504" s="6"/>
      <c r="G2504" s="6"/>
      <c r="H2504" s="6"/>
      <c r="I2504" s="6"/>
      <c r="J2504" s="6"/>
      <c r="K2504" s="6"/>
      <c r="L2504" s="6"/>
      <c r="M2504" s="6"/>
      <c r="N2504" s="6"/>
      <c r="O2504" s="6"/>
      <c r="P2504" s="6"/>
      <c r="Q2504" s="6"/>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c r="BU2504" s="6"/>
      <c r="BV2504" s="6"/>
      <c r="BW2504" s="6"/>
      <c r="BX2504" s="6"/>
      <c r="BY2504" s="6"/>
      <c r="BZ2504" s="6"/>
      <c r="CA2504" s="6"/>
      <c r="CB2504" s="6"/>
      <c r="CC2504" s="6"/>
      <c r="CD2504" s="6"/>
      <c r="CE2504" s="6"/>
      <c r="CF2504" s="6"/>
      <c r="CG2504" s="6"/>
      <c r="CH2504" s="6"/>
      <c r="CI2504" s="6"/>
      <c r="CJ2504" s="6"/>
      <c r="CK2504" s="6"/>
      <c r="CL2504" s="6"/>
      <c r="CM2504" s="6"/>
      <c r="CN2504" s="6"/>
      <c r="CO2504" s="6"/>
      <c r="CP2504" s="6"/>
      <c r="CQ2504" s="6"/>
      <c r="CR2504" s="6"/>
      <c r="CS2504" s="6"/>
      <c r="CT2504" s="6"/>
      <c r="CU2504" s="6"/>
      <c r="CV2504" s="6"/>
      <c r="CW2504" s="6"/>
      <c r="CX2504" s="6"/>
      <c r="CY2504" s="6"/>
      <c r="CZ2504" s="6"/>
      <c r="DA2504" s="6"/>
      <c r="DB2504" s="6"/>
      <c r="DC2504" s="6"/>
      <c r="DD2504" s="6"/>
    </row>
    <row r="2505" spans="1:108" ht="12.75" hidden="1" customHeight="1" outlineLevel="7">
      <c r="A2505" s="104" t="s">
        <v>117</v>
      </c>
      <c r="B2505" s="28">
        <f t="shared" si="138"/>
        <v>10</v>
      </c>
      <c r="C2505" s="11"/>
      <c r="D2505" s="18" t="str">
        <f>"&lt;" &amp; A2505 &amp; "&gt;" &amp; TEXT(B2505,"0.000000") &amp; "&lt;/" &amp; A2505 &amp; "&gt;"</f>
        <v>&lt;Flap_Angle&gt;10.000000&lt;/Flap_Angle&gt;</v>
      </c>
      <c r="F2505" s="6"/>
      <c r="G2505" s="6"/>
      <c r="H2505" s="6"/>
      <c r="I2505" s="6"/>
      <c r="J2505" s="6"/>
      <c r="K2505" s="6"/>
      <c r="L2505" s="6"/>
      <c r="M2505" s="6"/>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c r="BU2505" s="6"/>
      <c r="BV2505" s="6"/>
      <c r="BW2505" s="6"/>
      <c r="BX2505" s="6"/>
      <c r="BY2505" s="6"/>
      <c r="BZ2505" s="6"/>
      <c r="CA2505" s="6"/>
      <c r="CB2505" s="6"/>
      <c r="CC2505" s="6"/>
      <c r="CD2505" s="6"/>
      <c r="CE2505" s="6"/>
      <c r="CF2505" s="6"/>
      <c r="CG2505" s="6"/>
      <c r="CH2505" s="6"/>
      <c r="CI2505" s="6"/>
      <c r="CJ2505" s="6"/>
      <c r="CK2505" s="6"/>
      <c r="CL2505" s="6"/>
      <c r="CM2505" s="6"/>
      <c r="CN2505" s="6"/>
      <c r="CO2505" s="6"/>
      <c r="CP2505" s="6"/>
      <c r="CQ2505" s="6"/>
      <c r="CR2505" s="6"/>
      <c r="CS2505" s="6"/>
      <c r="CT2505" s="6"/>
      <c r="CU2505" s="6"/>
      <c r="CV2505" s="6"/>
      <c r="CW2505" s="6"/>
      <c r="CX2505" s="6"/>
      <c r="CY2505" s="6"/>
      <c r="CZ2505" s="6"/>
      <c r="DA2505" s="6"/>
      <c r="DB2505" s="6"/>
      <c r="DC2505" s="6"/>
      <c r="DD2505" s="6"/>
    </row>
    <row r="2506" spans="1:108" ht="12.75" hidden="1" customHeight="1" outlineLevel="7">
      <c r="A2506" s="104" t="s">
        <v>118</v>
      </c>
      <c r="B2506" s="100"/>
      <c r="C2506" s="11"/>
      <c r="D2506" s="6" t="str">
        <f>"&lt;" &amp; A2506 &amp; "&gt;"</f>
        <v>&lt;/Airfoil&gt;</v>
      </c>
      <c r="F2506" s="6"/>
      <c r="G2506" s="6"/>
      <c r="H2506" s="6"/>
      <c r="I2506" s="6"/>
      <c r="J2506" s="6"/>
      <c r="K2506" s="6"/>
      <c r="L2506" s="6"/>
      <c r="M2506" s="6"/>
      <c r="N2506" s="6"/>
      <c r="O2506" s="6"/>
      <c r="P2506" s="6"/>
      <c r="Q2506" s="6"/>
      <c r="R2506" s="6"/>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c r="BU2506" s="6"/>
      <c r="BV2506" s="6"/>
      <c r="BW2506" s="6"/>
      <c r="BX2506" s="6"/>
      <c r="BY2506" s="6"/>
      <c r="BZ2506" s="6"/>
      <c r="CA2506" s="6"/>
      <c r="CB2506" s="6"/>
      <c r="CC2506" s="6"/>
      <c r="CD2506" s="6"/>
      <c r="CE2506" s="6"/>
      <c r="CF2506" s="6"/>
      <c r="CG2506" s="6"/>
      <c r="CH2506" s="6"/>
      <c r="CI2506" s="6"/>
      <c r="CJ2506" s="6"/>
      <c r="CK2506" s="6"/>
      <c r="CL2506" s="6"/>
      <c r="CM2506" s="6"/>
      <c r="CN2506" s="6"/>
      <c r="CO2506" s="6"/>
      <c r="CP2506" s="6"/>
      <c r="CQ2506" s="6"/>
      <c r="CR2506" s="6"/>
      <c r="CS2506" s="6"/>
      <c r="CT2506" s="6"/>
      <c r="CU2506" s="6"/>
      <c r="CV2506" s="6"/>
      <c r="CW2506" s="6"/>
      <c r="CX2506" s="6"/>
      <c r="CY2506" s="6"/>
      <c r="CZ2506" s="6"/>
      <c r="DA2506" s="6"/>
      <c r="DB2506" s="6"/>
      <c r="DC2506" s="6"/>
      <c r="DD2506" s="6"/>
    </row>
    <row r="2507" spans="1:108" ht="12.75" hidden="1" customHeight="1" outlineLevel="6">
      <c r="A2507" s="104" t="s">
        <v>308</v>
      </c>
      <c r="B2507" s="100"/>
      <c r="C2507" s="11"/>
      <c r="D2507" s="6" t="str">
        <f>"&lt;" &amp; A2507 &amp; "&gt;"</f>
        <v>&lt;/Sect_Parms&gt;</v>
      </c>
      <c r="F2507" s="6"/>
      <c r="G2507" s="6"/>
      <c r="H2507" s="6"/>
      <c r="I2507" s="6"/>
      <c r="J2507" s="6"/>
      <c r="K2507" s="6"/>
      <c r="L2507" s="6"/>
      <c r="M2507" s="6"/>
      <c r="N2507" s="6"/>
      <c r="O2507" s="6"/>
      <c r="P2507" s="6"/>
      <c r="Q2507" s="6"/>
      <c r="R2507" s="6"/>
      <c r="S2507" s="6"/>
      <c r="T2507" s="6"/>
      <c r="U2507" s="6"/>
      <c r="V2507" s="6"/>
      <c r="W2507" s="6"/>
      <c r="X2507" s="6"/>
      <c r="Y2507" s="6"/>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c r="BU2507" s="6"/>
      <c r="BV2507" s="6"/>
      <c r="BW2507" s="6"/>
      <c r="BX2507" s="6"/>
      <c r="BY2507" s="6"/>
      <c r="BZ2507" s="6"/>
      <c r="CA2507" s="6"/>
      <c r="CB2507" s="6"/>
      <c r="CC2507" s="6"/>
      <c r="CD2507" s="6"/>
      <c r="CE2507" s="6"/>
      <c r="CF2507" s="6"/>
      <c r="CG2507" s="6"/>
      <c r="CH2507" s="6"/>
      <c r="CI2507" s="6"/>
      <c r="CJ2507" s="6"/>
      <c r="CK2507" s="6"/>
      <c r="CL2507" s="6"/>
      <c r="CM2507" s="6"/>
      <c r="CN2507" s="6"/>
      <c r="CO2507" s="6"/>
      <c r="CP2507" s="6"/>
      <c r="CQ2507" s="6"/>
      <c r="CR2507" s="6"/>
      <c r="CS2507" s="6"/>
      <c r="CT2507" s="6"/>
      <c r="CU2507" s="6"/>
      <c r="CV2507" s="6"/>
      <c r="CW2507" s="6"/>
      <c r="CX2507" s="6"/>
      <c r="CY2507" s="6"/>
      <c r="CZ2507" s="6"/>
      <c r="DA2507" s="6"/>
      <c r="DB2507" s="6"/>
      <c r="DC2507" s="6"/>
      <c r="DD2507" s="6"/>
    </row>
    <row r="2508" spans="1:108" ht="12.75" hidden="1" customHeight="1" outlineLevel="5">
      <c r="A2508" s="104" t="s">
        <v>305</v>
      </c>
      <c r="B2508" s="110" t="s">
        <v>387</v>
      </c>
      <c r="C2508" s="11"/>
      <c r="D2508" s="6" t="str">
        <f>"&lt;" &amp; A2508 &amp; "&gt;"</f>
        <v>&lt;Sect_Parms&gt;</v>
      </c>
      <c r="F2508" s="6"/>
      <c r="G2508" s="6"/>
      <c r="H2508" s="6"/>
      <c r="I2508" s="6"/>
      <c r="J2508" s="6"/>
      <c r="K2508" s="6"/>
      <c r="L2508" s="6"/>
      <c r="M2508" s="6"/>
      <c r="N2508" s="6"/>
      <c r="O2508" s="6"/>
      <c r="P2508" s="6"/>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c r="BU2508" s="6"/>
      <c r="BV2508" s="6"/>
      <c r="BW2508" s="6"/>
      <c r="BX2508" s="6"/>
      <c r="BY2508" s="6"/>
      <c r="BZ2508" s="6"/>
      <c r="CA2508" s="6"/>
      <c r="CB2508" s="6"/>
      <c r="CC2508" s="6"/>
      <c r="CD2508" s="6"/>
      <c r="CE2508" s="6"/>
      <c r="CF2508" s="6"/>
      <c r="CG2508" s="6"/>
      <c r="CH2508" s="6"/>
      <c r="CI2508" s="6"/>
      <c r="CJ2508" s="6"/>
      <c r="CK2508" s="6"/>
      <c r="CL2508" s="6"/>
      <c r="CM2508" s="6"/>
      <c r="CN2508" s="6"/>
      <c r="CO2508" s="6"/>
      <c r="CP2508" s="6"/>
      <c r="CQ2508" s="6"/>
      <c r="CR2508" s="6"/>
      <c r="CS2508" s="6"/>
      <c r="CT2508" s="6"/>
      <c r="CU2508" s="6"/>
      <c r="CV2508" s="6"/>
      <c r="CW2508" s="6"/>
      <c r="CX2508" s="6"/>
      <c r="CY2508" s="6"/>
      <c r="CZ2508" s="6"/>
      <c r="DA2508" s="6"/>
      <c r="DB2508" s="6"/>
      <c r="DC2508" s="6"/>
      <c r="DD2508" s="6"/>
    </row>
    <row r="2509" spans="1:108" ht="12.75" hidden="1" customHeight="1" outlineLevel="6">
      <c r="A2509" s="104" t="s">
        <v>306</v>
      </c>
      <c r="B2509" s="28">
        <f>B1976</f>
        <v>0.5</v>
      </c>
      <c r="C2509" s="11"/>
      <c r="D2509" s="18" t="str">
        <f>"&lt;" &amp; A2509 &amp; "&gt;" &amp; TEXT(B2509,"0.000000") &amp; "&lt;/" &amp; A2509 &amp; "&gt;"</f>
        <v>&lt;X_Off&gt;0.500000&lt;/X_Off&gt;</v>
      </c>
      <c r="F2509" s="6"/>
      <c r="G2509" s="6"/>
      <c r="H2509" s="6"/>
      <c r="I2509" s="6"/>
      <c r="J2509" s="6"/>
      <c r="K2509" s="6"/>
      <c r="L2509" s="6"/>
      <c r="M2509" s="6"/>
      <c r="N2509" s="6"/>
      <c r="O2509" s="6"/>
      <c r="P2509" s="6"/>
      <c r="Q2509" s="6"/>
      <c r="R2509" s="6"/>
      <c r="S2509" s="6"/>
      <c r="T2509" s="6"/>
      <c r="U2509" s="6"/>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c r="BU2509" s="6"/>
      <c r="BV2509" s="6"/>
      <c r="BW2509" s="6"/>
      <c r="BX2509" s="6"/>
      <c r="BY2509" s="6"/>
      <c r="BZ2509" s="6"/>
      <c r="CA2509" s="6"/>
      <c r="CB2509" s="6"/>
      <c r="CC2509" s="6"/>
      <c r="CD2509" s="6"/>
      <c r="CE2509" s="6"/>
      <c r="CF2509" s="6"/>
      <c r="CG2509" s="6"/>
      <c r="CH2509" s="6"/>
      <c r="CI2509" s="6"/>
      <c r="CJ2509" s="6"/>
      <c r="CK2509" s="6"/>
      <c r="CL2509" s="6"/>
      <c r="CM2509" s="6"/>
      <c r="CN2509" s="6"/>
      <c r="CO2509" s="6"/>
      <c r="CP2509" s="6"/>
      <c r="CQ2509" s="6"/>
      <c r="CR2509" s="6"/>
      <c r="CS2509" s="6"/>
      <c r="CT2509" s="6"/>
      <c r="CU2509" s="6"/>
      <c r="CV2509" s="6"/>
      <c r="CW2509" s="6"/>
      <c r="CX2509" s="6"/>
      <c r="CY2509" s="6"/>
      <c r="CZ2509" s="6"/>
      <c r="DA2509" s="6"/>
      <c r="DB2509" s="6"/>
      <c r="DC2509" s="6"/>
      <c r="DD2509" s="6"/>
    </row>
    <row r="2510" spans="1:108" ht="12.75" hidden="1" customHeight="1" outlineLevel="6">
      <c r="A2510" s="104" t="s">
        <v>307</v>
      </c>
      <c r="B2510" s="28">
        <f>B1977</f>
        <v>0</v>
      </c>
      <c r="C2510" s="11"/>
      <c r="D2510" s="18" t="str">
        <f>"&lt;" &amp; A2510 &amp; "&gt;" &amp; TEXT(B2510,"0.000000") &amp; "&lt;/" &amp; A2510 &amp; "&gt;"</f>
        <v>&lt;Y_Off&gt;0.000000&lt;/Y_Off&gt;</v>
      </c>
      <c r="F2510" s="6"/>
      <c r="G2510" s="6"/>
      <c r="H2510" s="6"/>
      <c r="I2510" s="6"/>
      <c r="J2510" s="6"/>
      <c r="K2510" s="6"/>
      <c r="L2510" s="6"/>
      <c r="M2510" s="6"/>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c r="BU2510" s="6"/>
      <c r="BV2510" s="6"/>
      <c r="BW2510" s="6"/>
      <c r="BX2510" s="6"/>
      <c r="BY2510" s="6"/>
      <c r="BZ2510" s="6"/>
      <c r="CA2510" s="6"/>
      <c r="CB2510" s="6"/>
      <c r="CC2510" s="6"/>
      <c r="CD2510" s="6"/>
      <c r="CE2510" s="6"/>
      <c r="CF2510" s="6"/>
      <c r="CG2510" s="6"/>
      <c r="CH2510" s="6"/>
      <c r="CI2510" s="6"/>
      <c r="CJ2510" s="6"/>
      <c r="CK2510" s="6"/>
      <c r="CL2510" s="6"/>
      <c r="CM2510" s="6"/>
      <c r="CN2510" s="6"/>
      <c r="CO2510" s="6"/>
      <c r="CP2510" s="6"/>
      <c r="CQ2510" s="6"/>
      <c r="CR2510" s="6"/>
      <c r="CS2510" s="6"/>
      <c r="CT2510" s="6"/>
      <c r="CU2510" s="6"/>
      <c r="CV2510" s="6"/>
      <c r="CW2510" s="6"/>
      <c r="CX2510" s="6"/>
      <c r="CY2510" s="6"/>
      <c r="CZ2510" s="6"/>
      <c r="DA2510" s="6"/>
      <c r="DB2510" s="6"/>
      <c r="DC2510" s="6"/>
      <c r="DD2510" s="6"/>
    </row>
    <row r="2511" spans="1:108" ht="12.75" hidden="1" customHeight="1" outlineLevel="6">
      <c r="A2511" s="104" t="s">
        <v>287</v>
      </c>
      <c r="B2511" s="28">
        <f>B1978</f>
        <v>0.12</v>
      </c>
      <c r="C2511" s="11"/>
      <c r="D2511" s="18" t="str">
        <f>"&lt;" &amp; A2511 &amp; "&gt;" &amp; TEXT(B2511,"0.000000") &amp; "&lt;/" &amp; A2511 &amp; "&gt;"</f>
        <v>&lt;Chord&gt;0.120000&lt;/Chord&gt;</v>
      </c>
      <c r="F2511" s="6"/>
      <c r="G2511" s="6"/>
      <c r="H2511" s="6"/>
      <c r="I2511" s="6"/>
      <c r="J2511" s="6"/>
      <c r="K2511" s="6"/>
      <c r="L2511" s="6"/>
      <c r="M2511" s="6"/>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c r="BU2511" s="6"/>
      <c r="BV2511" s="6"/>
      <c r="BW2511" s="6"/>
      <c r="BX2511" s="6"/>
      <c r="BY2511" s="6"/>
      <c r="BZ2511" s="6"/>
      <c r="CA2511" s="6"/>
      <c r="CB2511" s="6"/>
      <c r="CC2511" s="6"/>
      <c r="CD2511" s="6"/>
      <c r="CE2511" s="6"/>
      <c r="CF2511" s="6"/>
      <c r="CG2511" s="6"/>
      <c r="CH2511" s="6"/>
      <c r="CI2511" s="6"/>
      <c r="CJ2511" s="6"/>
      <c r="CK2511" s="6"/>
      <c r="CL2511" s="6"/>
      <c r="CM2511" s="6"/>
      <c r="CN2511" s="6"/>
      <c r="CO2511" s="6"/>
      <c r="CP2511" s="6"/>
      <c r="CQ2511" s="6"/>
      <c r="CR2511" s="6"/>
      <c r="CS2511" s="6"/>
      <c r="CT2511" s="6"/>
      <c r="CU2511" s="6"/>
      <c r="CV2511" s="6"/>
      <c r="CW2511" s="6"/>
      <c r="CX2511" s="6"/>
      <c r="CY2511" s="6"/>
      <c r="CZ2511" s="6"/>
      <c r="DA2511" s="6"/>
      <c r="DB2511" s="6"/>
      <c r="DC2511" s="6"/>
      <c r="DD2511" s="6"/>
    </row>
    <row r="2512" spans="1:108" ht="12.75" hidden="1" customHeight="1" outlineLevel="6">
      <c r="A2512" s="104" t="s">
        <v>9</v>
      </c>
      <c r="B2512" s="28">
        <f>B1979</f>
        <v>15</v>
      </c>
      <c r="C2512" s="11"/>
      <c r="D2512" s="18" t="str">
        <f>"&lt;" &amp; A2512 &amp; "&gt;" &amp; TEXT(B2512,"0.000000") &amp; "&lt;/" &amp; A2512 &amp; "&gt;"</f>
        <v>&lt;Twist&gt;15.000000&lt;/Twist&gt;</v>
      </c>
      <c r="F2512" s="6"/>
      <c r="G2512" s="6"/>
      <c r="H2512" s="6"/>
      <c r="I2512" s="6"/>
      <c r="J2512" s="6"/>
      <c r="K2512" s="6"/>
      <c r="L2512" s="6"/>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c r="BU2512" s="6"/>
      <c r="BV2512" s="6"/>
      <c r="BW2512" s="6"/>
      <c r="BX2512" s="6"/>
      <c r="BY2512" s="6"/>
      <c r="BZ2512" s="6"/>
      <c r="CA2512" s="6"/>
      <c r="CB2512" s="6"/>
      <c r="CC2512" s="6"/>
      <c r="CD2512" s="6"/>
      <c r="CE2512" s="6"/>
      <c r="CF2512" s="6"/>
      <c r="CG2512" s="6"/>
      <c r="CH2512" s="6"/>
      <c r="CI2512" s="6"/>
      <c r="CJ2512" s="6"/>
      <c r="CK2512" s="6"/>
      <c r="CL2512" s="6"/>
      <c r="CM2512" s="6"/>
      <c r="CN2512" s="6"/>
      <c r="CO2512" s="6"/>
      <c r="CP2512" s="6"/>
      <c r="CQ2512" s="6"/>
      <c r="CR2512" s="6"/>
      <c r="CS2512" s="6"/>
      <c r="CT2512" s="6"/>
      <c r="CU2512" s="6"/>
      <c r="CV2512" s="6"/>
      <c r="CW2512" s="6"/>
      <c r="CX2512" s="6"/>
      <c r="CY2512" s="6"/>
      <c r="CZ2512" s="6"/>
      <c r="DA2512" s="6"/>
      <c r="DB2512" s="6"/>
      <c r="DC2512" s="6"/>
      <c r="DD2512" s="6"/>
    </row>
    <row r="2513" spans="1:108" ht="12.75" hidden="1" customHeight="1" outlineLevel="6">
      <c r="A2513" s="104" t="s">
        <v>2</v>
      </c>
      <c r="B2513" s="100"/>
      <c r="C2513" s="11"/>
      <c r="D2513" s="6" t="str">
        <f>"&lt;" &amp; A2513 &amp; "&gt;"</f>
        <v>&lt;Airfoil&gt;</v>
      </c>
      <c r="F2513" s="6"/>
      <c r="G2513" s="6"/>
      <c r="H2513" s="6"/>
      <c r="I2513" s="6"/>
      <c r="J2513" s="6"/>
      <c r="K2513" s="6"/>
      <c r="L2513" s="6"/>
      <c r="M2513" s="6"/>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c r="BU2513" s="6"/>
      <c r="BV2513" s="6"/>
      <c r="BW2513" s="6"/>
      <c r="BX2513" s="6"/>
      <c r="BY2513" s="6"/>
      <c r="BZ2513" s="6"/>
      <c r="CA2513" s="6"/>
      <c r="CB2513" s="6"/>
      <c r="CC2513" s="6"/>
      <c r="CD2513" s="6"/>
      <c r="CE2513" s="6"/>
      <c r="CF2513" s="6"/>
      <c r="CG2513" s="6"/>
      <c r="CH2513" s="6"/>
      <c r="CI2513" s="6"/>
      <c r="CJ2513" s="6"/>
      <c r="CK2513" s="6"/>
      <c r="CL2513" s="6"/>
      <c r="CM2513" s="6"/>
      <c r="CN2513" s="6"/>
      <c r="CO2513" s="6"/>
      <c r="CP2513" s="6"/>
      <c r="CQ2513" s="6"/>
      <c r="CR2513" s="6"/>
      <c r="CS2513" s="6"/>
      <c r="CT2513" s="6"/>
      <c r="CU2513" s="6"/>
      <c r="CV2513" s="6"/>
      <c r="CW2513" s="6"/>
      <c r="CX2513" s="6"/>
      <c r="CY2513" s="6"/>
      <c r="CZ2513" s="6"/>
      <c r="DA2513" s="6"/>
      <c r="DB2513" s="6"/>
      <c r="DC2513" s="6"/>
      <c r="DD2513" s="6"/>
    </row>
    <row r="2514" spans="1:108" ht="12.75" hidden="1" customHeight="1" outlineLevel="7">
      <c r="A2514" s="104" t="s">
        <v>14</v>
      </c>
      <c r="B2514" s="28">
        <f t="shared" ref="B2514:B2532" si="140">B1981</f>
        <v>1</v>
      </c>
      <c r="C2514" s="11"/>
      <c r="D2514" s="18" t="str">
        <f>"&lt;" &amp; A2514 &amp; "&gt;" &amp; TEXT(B2514,0) &amp; "&lt;/" &amp; A2514 &amp; "&gt;"</f>
        <v>&lt;Type&gt;1&lt;/Type&gt;</v>
      </c>
      <c r="F2514" s="6"/>
      <c r="G2514" s="6"/>
      <c r="H2514" s="6"/>
      <c r="I2514" s="6"/>
      <c r="J2514" s="6"/>
      <c r="K2514" s="6"/>
      <c r="L2514" s="6"/>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c r="BU2514" s="6"/>
      <c r="BV2514" s="6"/>
      <c r="BW2514" s="6"/>
      <c r="BX2514" s="6"/>
      <c r="BY2514" s="6"/>
      <c r="BZ2514" s="6"/>
      <c r="CA2514" s="6"/>
      <c r="CB2514" s="6"/>
      <c r="CC2514" s="6"/>
      <c r="CD2514" s="6"/>
      <c r="CE2514" s="6"/>
      <c r="CF2514" s="6"/>
      <c r="CG2514" s="6"/>
      <c r="CH2514" s="6"/>
      <c r="CI2514" s="6"/>
      <c r="CJ2514" s="6"/>
      <c r="CK2514" s="6"/>
      <c r="CL2514" s="6"/>
      <c r="CM2514" s="6"/>
      <c r="CN2514" s="6"/>
      <c r="CO2514" s="6"/>
      <c r="CP2514" s="6"/>
      <c r="CQ2514" s="6"/>
      <c r="CR2514" s="6"/>
      <c r="CS2514" s="6"/>
      <c r="CT2514" s="6"/>
      <c r="CU2514" s="6"/>
      <c r="CV2514" s="6"/>
      <c r="CW2514" s="6"/>
      <c r="CX2514" s="6"/>
      <c r="CY2514" s="6"/>
      <c r="CZ2514" s="6"/>
      <c r="DA2514" s="6"/>
      <c r="DB2514" s="6"/>
      <c r="DC2514" s="6"/>
      <c r="DD2514" s="6"/>
    </row>
    <row r="2515" spans="1:108" ht="12.75" hidden="1" customHeight="1" outlineLevel="7">
      <c r="A2515" s="104" t="s">
        <v>102</v>
      </c>
      <c r="B2515" s="28">
        <f t="shared" si="140"/>
        <v>0</v>
      </c>
      <c r="C2515" s="11"/>
      <c r="D2515" s="18" t="str">
        <f>"&lt;" &amp; A2515 &amp; "&gt;" &amp; TEXT(B2515,0) &amp; "&lt;/" &amp; A2515 &amp; "&gt;"</f>
        <v>&lt;Inverted_Flag&gt;0&lt;/Inverted_Flag&gt;</v>
      </c>
      <c r="F2515" s="6"/>
      <c r="G2515" s="6"/>
      <c r="H2515" s="6"/>
      <c r="I2515" s="6"/>
      <c r="J2515" s="6"/>
      <c r="K2515" s="6"/>
      <c r="L2515" s="6"/>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c r="BU2515" s="6"/>
      <c r="BV2515" s="6"/>
      <c r="BW2515" s="6"/>
      <c r="BX2515" s="6"/>
      <c r="BY2515" s="6"/>
      <c r="BZ2515" s="6"/>
      <c r="CA2515" s="6"/>
      <c r="CB2515" s="6"/>
      <c r="CC2515" s="6"/>
      <c r="CD2515" s="6"/>
      <c r="CE2515" s="6"/>
      <c r="CF2515" s="6"/>
      <c r="CG2515" s="6"/>
      <c r="CH2515" s="6"/>
      <c r="CI2515" s="6"/>
      <c r="CJ2515" s="6"/>
      <c r="CK2515" s="6"/>
      <c r="CL2515" s="6"/>
      <c r="CM2515" s="6"/>
      <c r="CN2515" s="6"/>
      <c r="CO2515" s="6"/>
      <c r="CP2515" s="6"/>
      <c r="CQ2515" s="6"/>
      <c r="CR2515" s="6"/>
      <c r="CS2515" s="6"/>
      <c r="CT2515" s="6"/>
      <c r="CU2515" s="6"/>
      <c r="CV2515" s="6"/>
      <c r="CW2515" s="6"/>
      <c r="CX2515" s="6"/>
      <c r="CY2515" s="6"/>
      <c r="CZ2515" s="6"/>
      <c r="DA2515" s="6"/>
      <c r="DB2515" s="6"/>
      <c r="DC2515" s="6"/>
      <c r="DD2515" s="6"/>
    </row>
    <row r="2516" spans="1:108" ht="12.75" hidden="1" customHeight="1" outlineLevel="7">
      <c r="A2516" s="104" t="s">
        <v>4</v>
      </c>
      <c r="B2516" s="28">
        <f t="shared" si="140"/>
        <v>0</v>
      </c>
      <c r="C2516" s="11"/>
      <c r="D2516" s="18" t="str">
        <f t="shared" ref="D2516:D2521" si="141">"&lt;" &amp; A2516 &amp; "&gt;" &amp; TEXT(B2516,"0.000000") &amp; "&lt;/" &amp; A2516 &amp; "&gt;"</f>
        <v>&lt;Camber&gt;0.000000&lt;/Camber&gt;</v>
      </c>
      <c r="F2516" s="6"/>
      <c r="G2516" s="6"/>
      <c r="H2516" s="6"/>
      <c r="I2516" s="6"/>
      <c r="J2516" s="6"/>
      <c r="K2516" s="6"/>
      <c r="L2516" s="6"/>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c r="BU2516" s="6"/>
      <c r="BV2516" s="6"/>
      <c r="BW2516" s="6"/>
      <c r="BX2516" s="6"/>
      <c r="BY2516" s="6"/>
      <c r="BZ2516" s="6"/>
      <c r="CA2516" s="6"/>
      <c r="CB2516" s="6"/>
      <c r="CC2516" s="6"/>
      <c r="CD2516" s="6"/>
      <c r="CE2516" s="6"/>
      <c r="CF2516" s="6"/>
      <c r="CG2516" s="6"/>
      <c r="CH2516" s="6"/>
      <c r="CI2516" s="6"/>
      <c r="CJ2516" s="6"/>
      <c r="CK2516" s="6"/>
      <c r="CL2516" s="6"/>
      <c r="CM2516" s="6"/>
      <c r="CN2516" s="6"/>
      <c r="CO2516" s="6"/>
      <c r="CP2516" s="6"/>
      <c r="CQ2516" s="6"/>
      <c r="CR2516" s="6"/>
      <c r="CS2516" s="6"/>
      <c r="CT2516" s="6"/>
      <c r="CU2516" s="6"/>
      <c r="CV2516" s="6"/>
      <c r="CW2516" s="6"/>
      <c r="CX2516" s="6"/>
      <c r="CY2516" s="6"/>
      <c r="CZ2516" s="6"/>
      <c r="DA2516" s="6"/>
      <c r="DB2516" s="6"/>
      <c r="DC2516" s="6"/>
      <c r="DD2516" s="6"/>
    </row>
    <row r="2517" spans="1:108" ht="12.75" hidden="1" customHeight="1" outlineLevel="7">
      <c r="A2517" s="104" t="s">
        <v>103</v>
      </c>
      <c r="B2517" s="28">
        <f t="shared" si="140"/>
        <v>0.5</v>
      </c>
      <c r="C2517" s="11"/>
      <c r="D2517" s="18" t="str">
        <f t="shared" si="141"/>
        <v>&lt;Camber_Loc&gt;0.500000&lt;/Camber_Loc&gt;</v>
      </c>
      <c r="F2517" s="6"/>
      <c r="G2517" s="6"/>
      <c r="H2517" s="6"/>
      <c r="I2517" s="6"/>
      <c r="J2517" s="6"/>
      <c r="K2517" s="6"/>
      <c r="L2517" s="6"/>
      <c r="M2517" s="6"/>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c r="BU2517" s="6"/>
      <c r="BV2517" s="6"/>
      <c r="BW2517" s="6"/>
      <c r="BX2517" s="6"/>
      <c r="BY2517" s="6"/>
      <c r="BZ2517" s="6"/>
      <c r="CA2517" s="6"/>
      <c r="CB2517" s="6"/>
      <c r="CC2517" s="6"/>
      <c r="CD2517" s="6"/>
      <c r="CE2517" s="6"/>
      <c r="CF2517" s="6"/>
      <c r="CG2517" s="6"/>
      <c r="CH2517" s="6"/>
      <c r="CI2517" s="6"/>
      <c r="CJ2517" s="6"/>
      <c r="CK2517" s="6"/>
      <c r="CL2517" s="6"/>
      <c r="CM2517" s="6"/>
      <c r="CN2517" s="6"/>
      <c r="CO2517" s="6"/>
      <c r="CP2517" s="6"/>
      <c r="CQ2517" s="6"/>
      <c r="CR2517" s="6"/>
      <c r="CS2517" s="6"/>
      <c r="CT2517" s="6"/>
      <c r="CU2517" s="6"/>
      <c r="CV2517" s="6"/>
      <c r="CW2517" s="6"/>
      <c r="CX2517" s="6"/>
      <c r="CY2517" s="6"/>
      <c r="CZ2517" s="6"/>
      <c r="DA2517" s="6"/>
      <c r="DB2517" s="6"/>
      <c r="DC2517" s="6"/>
      <c r="DD2517" s="6"/>
    </row>
    <row r="2518" spans="1:108" ht="12.75" hidden="1" customHeight="1" outlineLevel="7">
      <c r="A2518" s="104" t="s">
        <v>5</v>
      </c>
      <c r="B2518" s="28">
        <f t="shared" si="140"/>
        <v>0.2</v>
      </c>
      <c r="C2518" s="11"/>
      <c r="D2518" s="18" t="str">
        <f t="shared" si="141"/>
        <v>&lt;Thickness&gt;0.200000&lt;/Thickness&gt;</v>
      </c>
      <c r="F2518" s="6"/>
      <c r="G2518" s="6"/>
      <c r="H2518" s="6"/>
      <c r="I2518" s="6"/>
      <c r="J2518" s="6"/>
      <c r="K2518" s="6"/>
      <c r="L2518" s="6"/>
      <c r="M2518" s="6"/>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c r="BU2518" s="6"/>
      <c r="BV2518" s="6"/>
      <c r="BW2518" s="6"/>
      <c r="BX2518" s="6"/>
      <c r="BY2518" s="6"/>
      <c r="BZ2518" s="6"/>
      <c r="CA2518" s="6"/>
      <c r="CB2518" s="6"/>
      <c r="CC2518" s="6"/>
      <c r="CD2518" s="6"/>
      <c r="CE2518" s="6"/>
      <c r="CF2518" s="6"/>
      <c r="CG2518" s="6"/>
      <c r="CH2518" s="6"/>
      <c r="CI2518" s="6"/>
      <c r="CJ2518" s="6"/>
      <c r="CK2518" s="6"/>
      <c r="CL2518" s="6"/>
      <c r="CM2518" s="6"/>
      <c r="CN2518" s="6"/>
      <c r="CO2518" s="6"/>
      <c r="CP2518" s="6"/>
      <c r="CQ2518" s="6"/>
      <c r="CR2518" s="6"/>
      <c r="CS2518" s="6"/>
      <c r="CT2518" s="6"/>
      <c r="CU2518" s="6"/>
      <c r="CV2518" s="6"/>
      <c r="CW2518" s="6"/>
      <c r="CX2518" s="6"/>
      <c r="CY2518" s="6"/>
      <c r="CZ2518" s="6"/>
      <c r="DA2518" s="6"/>
      <c r="DB2518" s="6"/>
      <c r="DC2518" s="6"/>
      <c r="DD2518" s="6"/>
    </row>
    <row r="2519" spans="1:108" ht="12.75" hidden="1" customHeight="1" outlineLevel="7">
      <c r="A2519" s="104" t="s">
        <v>104</v>
      </c>
      <c r="B2519" s="28">
        <f t="shared" si="140"/>
        <v>0.3</v>
      </c>
      <c r="C2519" s="11"/>
      <c r="D2519" s="18" t="str">
        <f t="shared" si="141"/>
        <v>&lt;Thickness_Loc&gt;0.300000&lt;/Thickness_Loc&gt;</v>
      </c>
      <c r="F2519" s="6"/>
      <c r="G2519" s="6"/>
      <c r="H2519" s="6"/>
      <c r="I2519" s="6"/>
      <c r="J2519" s="6"/>
      <c r="K2519" s="6"/>
      <c r="L2519" s="6"/>
      <c r="M2519" s="6"/>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c r="BU2519" s="6"/>
      <c r="BV2519" s="6"/>
      <c r="BW2519" s="6"/>
      <c r="BX2519" s="6"/>
      <c r="BY2519" s="6"/>
      <c r="BZ2519" s="6"/>
      <c r="CA2519" s="6"/>
      <c r="CB2519" s="6"/>
      <c r="CC2519" s="6"/>
      <c r="CD2519" s="6"/>
      <c r="CE2519" s="6"/>
      <c r="CF2519" s="6"/>
      <c r="CG2519" s="6"/>
      <c r="CH2519" s="6"/>
      <c r="CI2519" s="6"/>
      <c r="CJ2519" s="6"/>
      <c r="CK2519" s="6"/>
      <c r="CL2519" s="6"/>
      <c r="CM2519" s="6"/>
      <c r="CN2519" s="6"/>
      <c r="CO2519" s="6"/>
      <c r="CP2519" s="6"/>
      <c r="CQ2519" s="6"/>
      <c r="CR2519" s="6"/>
      <c r="CS2519" s="6"/>
      <c r="CT2519" s="6"/>
      <c r="CU2519" s="6"/>
      <c r="CV2519" s="6"/>
      <c r="CW2519" s="6"/>
      <c r="CX2519" s="6"/>
      <c r="CY2519" s="6"/>
      <c r="CZ2519" s="6"/>
      <c r="DA2519" s="6"/>
      <c r="DB2519" s="6"/>
      <c r="DC2519" s="6"/>
      <c r="DD2519" s="6"/>
    </row>
    <row r="2520" spans="1:108" ht="12.75" hidden="1" customHeight="1" outlineLevel="7">
      <c r="A2520" s="104" t="s">
        <v>105</v>
      </c>
      <c r="B2520" s="28">
        <f t="shared" si="140"/>
        <v>4.4075999999999997E-2</v>
      </c>
      <c r="C2520" s="11"/>
      <c r="D2520" s="18" t="str">
        <f t="shared" si="141"/>
        <v>&lt;Radius_Le&gt;0.044076&lt;/Radius_Le&gt;</v>
      </c>
      <c r="F2520" s="6"/>
      <c r="G2520" s="6"/>
      <c r="H2520" s="6"/>
      <c r="I2520" s="6"/>
      <c r="J2520" s="6"/>
      <c r="K2520" s="6"/>
      <c r="L2520" s="6"/>
      <c r="M2520" s="6"/>
      <c r="N2520" s="6"/>
      <c r="O2520" s="6"/>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c r="BU2520" s="6"/>
      <c r="BV2520" s="6"/>
      <c r="BW2520" s="6"/>
      <c r="BX2520" s="6"/>
      <c r="BY2520" s="6"/>
      <c r="BZ2520" s="6"/>
      <c r="CA2520" s="6"/>
      <c r="CB2520" s="6"/>
      <c r="CC2520" s="6"/>
      <c r="CD2520" s="6"/>
      <c r="CE2520" s="6"/>
      <c r="CF2520" s="6"/>
      <c r="CG2520" s="6"/>
      <c r="CH2520" s="6"/>
      <c r="CI2520" s="6"/>
      <c r="CJ2520" s="6"/>
      <c r="CK2520" s="6"/>
      <c r="CL2520" s="6"/>
      <c r="CM2520" s="6"/>
      <c r="CN2520" s="6"/>
      <c r="CO2520" s="6"/>
      <c r="CP2520" s="6"/>
      <c r="CQ2520" s="6"/>
      <c r="CR2520" s="6"/>
      <c r="CS2520" s="6"/>
      <c r="CT2520" s="6"/>
      <c r="CU2520" s="6"/>
      <c r="CV2520" s="6"/>
      <c r="CW2520" s="6"/>
      <c r="CX2520" s="6"/>
      <c r="CY2520" s="6"/>
      <c r="CZ2520" s="6"/>
      <c r="DA2520" s="6"/>
      <c r="DB2520" s="6"/>
      <c r="DC2520" s="6"/>
      <c r="DD2520" s="6"/>
    </row>
    <row r="2521" spans="1:108" ht="12.75" hidden="1" customHeight="1" outlineLevel="7">
      <c r="A2521" s="104" t="s">
        <v>106</v>
      </c>
      <c r="B2521" s="28">
        <f t="shared" si="140"/>
        <v>0</v>
      </c>
      <c r="C2521" s="11"/>
      <c r="D2521" s="18" t="str">
        <f t="shared" si="141"/>
        <v>&lt;Radius_Te&gt;0.000000&lt;/Radius_Te&gt;</v>
      </c>
      <c r="F2521" s="6"/>
      <c r="G2521" s="6"/>
      <c r="H2521" s="6"/>
      <c r="I2521" s="6"/>
      <c r="J2521" s="6"/>
      <c r="K2521" s="6"/>
      <c r="L2521" s="6"/>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c r="BU2521" s="6"/>
      <c r="BV2521" s="6"/>
      <c r="BW2521" s="6"/>
      <c r="BX2521" s="6"/>
      <c r="BY2521" s="6"/>
      <c r="BZ2521" s="6"/>
      <c r="CA2521" s="6"/>
      <c r="CB2521" s="6"/>
      <c r="CC2521" s="6"/>
      <c r="CD2521" s="6"/>
      <c r="CE2521" s="6"/>
      <c r="CF2521" s="6"/>
      <c r="CG2521" s="6"/>
      <c r="CH2521" s="6"/>
      <c r="CI2521" s="6"/>
      <c r="CJ2521" s="6"/>
      <c r="CK2521" s="6"/>
      <c r="CL2521" s="6"/>
      <c r="CM2521" s="6"/>
      <c r="CN2521" s="6"/>
      <c r="CO2521" s="6"/>
      <c r="CP2521" s="6"/>
      <c r="CQ2521" s="6"/>
      <c r="CR2521" s="6"/>
      <c r="CS2521" s="6"/>
      <c r="CT2521" s="6"/>
      <c r="CU2521" s="6"/>
      <c r="CV2521" s="6"/>
      <c r="CW2521" s="6"/>
      <c r="CX2521" s="6"/>
      <c r="CY2521" s="6"/>
      <c r="CZ2521" s="6"/>
      <c r="DA2521" s="6"/>
      <c r="DB2521" s="6"/>
      <c r="DC2521" s="6"/>
      <c r="DD2521" s="6"/>
    </row>
    <row r="2522" spans="1:108" ht="12.75" hidden="1" customHeight="1" outlineLevel="7">
      <c r="A2522" s="104" t="s">
        <v>107</v>
      </c>
      <c r="B2522" s="28">
        <f t="shared" si="140"/>
        <v>63</v>
      </c>
      <c r="C2522" s="11"/>
      <c r="D2522" s="18" t="str">
        <f>"&lt;" &amp; A2522 &amp; "&gt;" &amp; TEXT(B2522,0) &amp; "&lt;/" &amp; A2522 &amp; "&gt;"</f>
        <v>&lt;Six_Series&gt;63&lt;/Six_Series&gt;</v>
      </c>
      <c r="F2522" s="6"/>
      <c r="G2522" s="6"/>
      <c r="H2522" s="6"/>
      <c r="I2522" s="6"/>
      <c r="J2522" s="6"/>
      <c r="K2522" s="6"/>
      <c r="L2522" s="6"/>
      <c r="M2522" s="6"/>
      <c r="N2522" s="6"/>
      <c r="O2522" s="6"/>
      <c r="P2522" s="6"/>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c r="BU2522" s="6"/>
      <c r="BV2522" s="6"/>
      <c r="BW2522" s="6"/>
      <c r="BX2522" s="6"/>
      <c r="BY2522" s="6"/>
      <c r="BZ2522" s="6"/>
      <c r="CA2522" s="6"/>
      <c r="CB2522" s="6"/>
      <c r="CC2522" s="6"/>
      <c r="CD2522" s="6"/>
      <c r="CE2522" s="6"/>
      <c r="CF2522" s="6"/>
      <c r="CG2522" s="6"/>
      <c r="CH2522" s="6"/>
      <c r="CI2522" s="6"/>
      <c r="CJ2522" s="6"/>
      <c r="CK2522" s="6"/>
      <c r="CL2522" s="6"/>
      <c r="CM2522" s="6"/>
      <c r="CN2522" s="6"/>
      <c r="CO2522" s="6"/>
      <c r="CP2522" s="6"/>
      <c r="CQ2522" s="6"/>
      <c r="CR2522" s="6"/>
      <c r="CS2522" s="6"/>
      <c r="CT2522" s="6"/>
      <c r="CU2522" s="6"/>
      <c r="CV2522" s="6"/>
      <c r="CW2522" s="6"/>
      <c r="CX2522" s="6"/>
      <c r="CY2522" s="6"/>
      <c r="CZ2522" s="6"/>
      <c r="DA2522" s="6"/>
      <c r="DB2522" s="6"/>
      <c r="DC2522" s="6"/>
      <c r="DD2522" s="6"/>
    </row>
    <row r="2523" spans="1:108" ht="12.75" hidden="1" customHeight="1" outlineLevel="7">
      <c r="A2523" s="104" t="s">
        <v>108</v>
      </c>
      <c r="B2523" s="28">
        <f t="shared" si="140"/>
        <v>0</v>
      </c>
      <c r="C2523" s="11"/>
      <c r="D2523" s="18" t="str">
        <f>"&lt;" &amp; A2523 &amp; "&gt;" &amp; TEXT(B2523,"0.000000") &amp; "&lt;/" &amp; A2523 &amp; "&gt;"</f>
        <v>&lt;Ideal_Cl&gt;0.000000&lt;/Ideal_Cl&gt;</v>
      </c>
      <c r="F2523" s="6"/>
      <c r="G2523" s="6"/>
      <c r="H2523" s="6"/>
      <c r="I2523" s="6"/>
      <c r="J2523" s="6"/>
      <c r="K2523" s="6"/>
      <c r="L2523" s="6"/>
      <c r="M2523" s="6"/>
      <c r="N2523" s="6"/>
      <c r="O2523" s="6"/>
      <c r="P2523" s="6"/>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c r="BU2523" s="6"/>
      <c r="BV2523" s="6"/>
      <c r="BW2523" s="6"/>
      <c r="BX2523" s="6"/>
      <c r="BY2523" s="6"/>
      <c r="BZ2523" s="6"/>
      <c r="CA2523" s="6"/>
      <c r="CB2523" s="6"/>
      <c r="CC2523" s="6"/>
      <c r="CD2523" s="6"/>
      <c r="CE2523" s="6"/>
      <c r="CF2523" s="6"/>
      <c r="CG2523" s="6"/>
      <c r="CH2523" s="6"/>
      <c r="CI2523" s="6"/>
      <c r="CJ2523" s="6"/>
      <c r="CK2523" s="6"/>
      <c r="CL2523" s="6"/>
      <c r="CM2523" s="6"/>
      <c r="CN2523" s="6"/>
      <c r="CO2523" s="6"/>
      <c r="CP2523" s="6"/>
      <c r="CQ2523" s="6"/>
      <c r="CR2523" s="6"/>
      <c r="CS2523" s="6"/>
      <c r="CT2523" s="6"/>
      <c r="CU2523" s="6"/>
      <c r="CV2523" s="6"/>
      <c r="CW2523" s="6"/>
      <c r="CX2523" s="6"/>
      <c r="CY2523" s="6"/>
      <c r="CZ2523" s="6"/>
      <c r="DA2523" s="6"/>
      <c r="DB2523" s="6"/>
      <c r="DC2523" s="6"/>
      <c r="DD2523" s="6"/>
    </row>
    <row r="2524" spans="1:108" ht="12.75" hidden="1" customHeight="1" outlineLevel="7">
      <c r="A2524" s="104" t="s">
        <v>109</v>
      </c>
      <c r="B2524" s="28">
        <f t="shared" si="140"/>
        <v>0</v>
      </c>
      <c r="C2524" s="11"/>
      <c r="D2524" s="18" t="str">
        <f>"&lt;" &amp; A2524 &amp; "&gt;" &amp; TEXT(B2524,"0.000000") &amp; "&lt;/" &amp; A2524 &amp; "&gt;"</f>
        <v>&lt;A&gt;0.000000&lt;/A&gt;</v>
      </c>
      <c r="F2524" s="6"/>
      <c r="G2524" s="6"/>
      <c r="H2524" s="6"/>
      <c r="I2524" s="6"/>
      <c r="J2524" s="6"/>
      <c r="K2524" s="6"/>
      <c r="L2524" s="6"/>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c r="BU2524" s="6"/>
      <c r="BV2524" s="6"/>
      <c r="BW2524" s="6"/>
      <c r="BX2524" s="6"/>
      <c r="BY2524" s="6"/>
      <c r="BZ2524" s="6"/>
      <c r="CA2524" s="6"/>
      <c r="CB2524" s="6"/>
      <c r="CC2524" s="6"/>
      <c r="CD2524" s="6"/>
      <c r="CE2524" s="6"/>
      <c r="CF2524" s="6"/>
      <c r="CG2524" s="6"/>
      <c r="CH2524" s="6"/>
      <c r="CI2524" s="6"/>
      <c r="CJ2524" s="6"/>
      <c r="CK2524" s="6"/>
      <c r="CL2524" s="6"/>
      <c r="CM2524" s="6"/>
      <c r="CN2524" s="6"/>
      <c r="CO2524" s="6"/>
      <c r="CP2524" s="6"/>
      <c r="CQ2524" s="6"/>
      <c r="CR2524" s="6"/>
      <c r="CS2524" s="6"/>
      <c r="CT2524" s="6"/>
      <c r="CU2524" s="6"/>
      <c r="CV2524" s="6"/>
      <c r="CW2524" s="6"/>
      <c r="CX2524" s="6"/>
      <c r="CY2524" s="6"/>
      <c r="CZ2524" s="6"/>
      <c r="DA2524" s="6"/>
      <c r="DB2524" s="6"/>
      <c r="DC2524" s="6"/>
      <c r="DD2524" s="6"/>
    </row>
    <row r="2525" spans="1:108" ht="12.75" hidden="1" customHeight="1" outlineLevel="7">
      <c r="A2525" s="104" t="s">
        <v>110</v>
      </c>
      <c r="B2525" s="28">
        <f t="shared" si="140"/>
        <v>0</v>
      </c>
      <c r="C2525" s="11"/>
      <c r="D2525" s="18" t="str">
        <f>"&lt;" &amp; A2525 &amp; "&gt;" &amp; TEXT(B2525,0) &amp; "&lt;/" &amp; A2525 &amp; "&gt;"</f>
        <v>&lt;Slat_Flag&gt;0&lt;/Slat_Flag&gt;</v>
      </c>
      <c r="F2525" s="6"/>
      <c r="G2525" s="6"/>
      <c r="H2525" s="6"/>
      <c r="I2525" s="6"/>
      <c r="J2525" s="6"/>
      <c r="K2525" s="6"/>
      <c r="L2525" s="6"/>
      <c r="M2525" s="6"/>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c r="BU2525" s="6"/>
      <c r="BV2525" s="6"/>
      <c r="BW2525" s="6"/>
      <c r="BX2525" s="6"/>
      <c r="BY2525" s="6"/>
      <c r="BZ2525" s="6"/>
      <c r="CA2525" s="6"/>
      <c r="CB2525" s="6"/>
      <c r="CC2525" s="6"/>
      <c r="CD2525" s="6"/>
      <c r="CE2525" s="6"/>
      <c r="CF2525" s="6"/>
      <c r="CG2525" s="6"/>
      <c r="CH2525" s="6"/>
      <c r="CI2525" s="6"/>
      <c r="CJ2525" s="6"/>
      <c r="CK2525" s="6"/>
      <c r="CL2525" s="6"/>
      <c r="CM2525" s="6"/>
      <c r="CN2525" s="6"/>
      <c r="CO2525" s="6"/>
      <c r="CP2525" s="6"/>
      <c r="CQ2525" s="6"/>
      <c r="CR2525" s="6"/>
      <c r="CS2525" s="6"/>
      <c r="CT2525" s="6"/>
      <c r="CU2525" s="6"/>
      <c r="CV2525" s="6"/>
      <c r="CW2525" s="6"/>
      <c r="CX2525" s="6"/>
      <c r="CY2525" s="6"/>
      <c r="CZ2525" s="6"/>
      <c r="DA2525" s="6"/>
      <c r="DB2525" s="6"/>
      <c r="DC2525" s="6"/>
      <c r="DD2525" s="6"/>
    </row>
    <row r="2526" spans="1:108" ht="12.75" hidden="1" customHeight="1" outlineLevel="7">
      <c r="A2526" s="104" t="s">
        <v>111</v>
      </c>
      <c r="B2526" s="28">
        <f t="shared" si="140"/>
        <v>0</v>
      </c>
      <c r="C2526" s="11"/>
      <c r="D2526" s="18" t="str">
        <f>"&lt;" &amp; A2526 &amp; "&gt;" &amp; TEXT(B2526,0) &amp; "&lt;/" &amp; A2526 &amp; "&gt;"</f>
        <v>&lt;Slat_Shear_Flag&gt;0&lt;/Slat_Shear_Flag&gt;</v>
      </c>
      <c r="F2526" s="6"/>
      <c r="G2526" s="6"/>
      <c r="H2526" s="6"/>
      <c r="I2526" s="6"/>
      <c r="J2526" s="6"/>
      <c r="K2526" s="6"/>
      <c r="L2526" s="6"/>
      <c r="M2526" s="6"/>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c r="BU2526" s="6"/>
      <c r="BV2526" s="6"/>
      <c r="BW2526" s="6"/>
      <c r="BX2526" s="6"/>
      <c r="BY2526" s="6"/>
      <c r="BZ2526" s="6"/>
      <c r="CA2526" s="6"/>
      <c r="CB2526" s="6"/>
      <c r="CC2526" s="6"/>
      <c r="CD2526" s="6"/>
      <c r="CE2526" s="6"/>
      <c r="CF2526" s="6"/>
      <c r="CG2526" s="6"/>
      <c r="CH2526" s="6"/>
      <c r="CI2526" s="6"/>
      <c r="CJ2526" s="6"/>
      <c r="CK2526" s="6"/>
      <c r="CL2526" s="6"/>
      <c r="CM2526" s="6"/>
      <c r="CN2526" s="6"/>
      <c r="CO2526" s="6"/>
      <c r="CP2526" s="6"/>
      <c r="CQ2526" s="6"/>
      <c r="CR2526" s="6"/>
      <c r="CS2526" s="6"/>
      <c r="CT2526" s="6"/>
      <c r="CU2526" s="6"/>
      <c r="CV2526" s="6"/>
      <c r="CW2526" s="6"/>
      <c r="CX2526" s="6"/>
      <c r="CY2526" s="6"/>
      <c r="CZ2526" s="6"/>
      <c r="DA2526" s="6"/>
      <c r="DB2526" s="6"/>
      <c r="DC2526" s="6"/>
      <c r="DD2526" s="6"/>
    </row>
    <row r="2527" spans="1:108" ht="12.75" hidden="1" customHeight="1" outlineLevel="7">
      <c r="A2527" s="104" t="s">
        <v>112</v>
      </c>
      <c r="B2527" s="28">
        <f t="shared" si="140"/>
        <v>0.25</v>
      </c>
      <c r="C2527" s="11"/>
      <c r="D2527" s="18" t="str">
        <f>"&lt;" &amp; A2527 &amp; "&gt;" &amp; TEXT(B2527,"0.000000") &amp; "&lt;/" &amp; A2527 &amp; "&gt;"</f>
        <v>&lt;Slat_Chord&gt;0.250000&lt;/Slat_Chord&gt;</v>
      </c>
      <c r="F2527" s="6"/>
      <c r="G2527" s="6"/>
      <c r="H2527" s="6"/>
      <c r="I2527" s="6"/>
      <c r="J2527" s="6"/>
      <c r="K2527" s="6"/>
      <c r="L2527" s="6"/>
      <c r="M2527" s="6"/>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c r="BU2527" s="6"/>
      <c r="BV2527" s="6"/>
      <c r="BW2527" s="6"/>
      <c r="BX2527" s="6"/>
      <c r="BY2527" s="6"/>
      <c r="BZ2527" s="6"/>
      <c r="CA2527" s="6"/>
      <c r="CB2527" s="6"/>
      <c r="CC2527" s="6"/>
      <c r="CD2527" s="6"/>
      <c r="CE2527" s="6"/>
      <c r="CF2527" s="6"/>
      <c r="CG2527" s="6"/>
      <c r="CH2527" s="6"/>
      <c r="CI2527" s="6"/>
      <c r="CJ2527" s="6"/>
      <c r="CK2527" s="6"/>
      <c r="CL2527" s="6"/>
      <c r="CM2527" s="6"/>
      <c r="CN2527" s="6"/>
      <c r="CO2527" s="6"/>
      <c r="CP2527" s="6"/>
      <c r="CQ2527" s="6"/>
      <c r="CR2527" s="6"/>
      <c r="CS2527" s="6"/>
      <c r="CT2527" s="6"/>
      <c r="CU2527" s="6"/>
      <c r="CV2527" s="6"/>
      <c r="CW2527" s="6"/>
      <c r="CX2527" s="6"/>
      <c r="CY2527" s="6"/>
      <c r="CZ2527" s="6"/>
      <c r="DA2527" s="6"/>
      <c r="DB2527" s="6"/>
      <c r="DC2527" s="6"/>
      <c r="DD2527" s="6"/>
    </row>
    <row r="2528" spans="1:108" ht="12.75" hidden="1" customHeight="1" outlineLevel="7">
      <c r="A2528" s="104" t="s">
        <v>113</v>
      </c>
      <c r="B2528" s="28">
        <f t="shared" si="140"/>
        <v>10</v>
      </c>
      <c r="C2528" s="11"/>
      <c r="D2528" s="18" t="str">
        <f>"&lt;" &amp; A2528 &amp; "&gt;" &amp; TEXT(B2528,"0.000000") &amp; "&lt;/" &amp; A2528 &amp; "&gt;"</f>
        <v>&lt;Slat_Angle&gt;10.000000&lt;/Slat_Angle&gt;</v>
      </c>
      <c r="F2528" s="6"/>
      <c r="G2528" s="6"/>
      <c r="H2528" s="6"/>
      <c r="I2528" s="6"/>
      <c r="J2528" s="6"/>
      <c r="K2528" s="6"/>
      <c r="L2528" s="6"/>
      <c r="M2528" s="6"/>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c r="BU2528" s="6"/>
      <c r="BV2528" s="6"/>
      <c r="BW2528" s="6"/>
      <c r="BX2528" s="6"/>
      <c r="BY2528" s="6"/>
      <c r="BZ2528" s="6"/>
      <c r="CA2528" s="6"/>
      <c r="CB2528" s="6"/>
      <c r="CC2528" s="6"/>
      <c r="CD2528" s="6"/>
      <c r="CE2528" s="6"/>
      <c r="CF2528" s="6"/>
      <c r="CG2528" s="6"/>
      <c r="CH2528" s="6"/>
      <c r="CI2528" s="6"/>
      <c r="CJ2528" s="6"/>
      <c r="CK2528" s="6"/>
      <c r="CL2528" s="6"/>
      <c r="CM2528" s="6"/>
      <c r="CN2528" s="6"/>
      <c r="CO2528" s="6"/>
      <c r="CP2528" s="6"/>
      <c r="CQ2528" s="6"/>
      <c r="CR2528" s="6"/>
      <c r="CS2528" s="6"/>
      <c r="CT2528" s="6"/>
      <c r="CU2528" s="6"/>
      <c r="CV2528" s="6"/>
      <c r="CW2528" s="6"/>
      <c r="CX2528" s="6"/>
      <c r="CY2528" s="6"/>
      <c r="CZ2528" s="6"/>
      <c r="DA2528" s="6"/>
      <c r="DB2528" s="6"/>
      <c r="DC2528" s="6"/>
      <c r="DD2528" s="6"/>
    </row>
    <row r="2529" spans="1:108" ht="12.75" hidden="1" customHeight="1" outlineLevel="7">
      <c r="A2529" s="104" t="s">
        <v>114</v>
      </c>
      <c r="B2529" s="28">
        <f t="shared" si="140"/>
        <v>0</v>
      </c>
      <c r="C2529" s="11"/>
      <c r="D2529" s="18" t="str">
        <f>"&lt;" &amp; A2529 &amp; "&gt;" &amp; TEXT(B2529,0) &amp; "&lt;/" &amp; A2529 &amp; "&gt;"</f>
        <v>&lt;Flap_Flag&gt;0&lt;/Flap_Flag&gt;</v>
      </c>
      <c r="F2529" s="6"/>
      <c r="G2529" s="6"/>
      <c r="H2529" s="6"/>
      <c r="I2529" s="6"/>
      <c r="J2529" s="6"/>
      <c r="K2529" s="6"/>
      <c r="L2529" s="6"/>
      <c r="M2529" s="6"/>
      <c r="N2529" s="6"/>
      <c r="O2529" s="6"/>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c r="BU2529" s="6"/>
      <c r="BV2529" s="6"/>
      <c r="BW2529" s="6"/>
      <c r="BX2529" s="6"/>
      <c r="BY2529" s="6"/>
      <c r="BZ2529" s="6"/>
      <c r="CA2529" s="6"/>
      <c r="CB2529" s="6"/>
      <c r="CC2529" s="6"/>
      <c r="CD2529" s="6"/>
      <c r="CE2529" s="6"/>
      <c r="CF2529" s="6"/>
      <c r="CG2529" s="6"/>
      <c r="CH2529" s="6"/>
      <c r="CI2529" s="6"/>
      <c r="CJ2529" s="6"/>
      <c r="CK2529" s="6"/>
      <c r="CL2529" s="6"/>
      <c r="CM2529" s="6"/>
      <c r="CN2529" s="6"/>
      <c r="CO2529" s="6"/>
      <c r="CP2529" s="6"/>
      <c r="CQ2529" s="6"/>
      <c r="CR2529" s="6"/>
      <c r="CS2529" s="6"/>
      <c r="CT2529" s="6"/>
      <c r="CU2529" s="6"/>
      <c r="CV2529" s="6"/>
      <c r="CW2529" s="6"/>
      <c r="CX2529" s="6"/>
      <c r="CY2529" s="6"/>
      <c r="CZ2529" s="6"/>
      <c r="DA2529" s="6"/>
      <c r="DB2529" s="6"/>
      <c r="DC2529" s="6"/>
      <c r="DD2529" s="6"/>
    </row>
    <row r="2530" spans="1:108" ht="12.75" hidden="1" customHeight="1" outlineLevel="7">
      <c r="A2530" s="104" t="s">
        <v>115</v>
      </c>
      <c r="B2530" s="28">
        <f t="shared" si="140"/>
        <v>0</v>
      </c>
      <c r="C2530" s="11"/>
      <c r="D2530" s="18" t="str">
        <f>"&lt;" &amp; A2530 &amp; "&gt;" &amp; TEXT(B2530,0) &amp; "&lt;/" &amp; A2530 &amp; "&gt;"</f>
        <v>&lt;Flap_Shear_Flag&gt;0&lt;/Flap_Shear_Flag&gt;</v>
      </c>
      <c r="F2530" s="6"/>
      <c r="G2530" s="6"/>
      <c r="H2530" s="6"/>
      <c r="I2530" s="6"/>
      <c r="J2530" s="6"/>
      <c r="K2530" s="6"/>
      <c r="L2530" s="6"/>
      <c r="M2530" s="6"/>
      <c r="N2530" s="6"/>
      <c r="O2530" s="6"/>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c r="BU2530" s="6"/>
      <c r="BV2530" s="6"/>
      <c r="BW2530" s="6"/>
      <c r="BX2530" s="6"/>
      <c r="BY2530" s="6"/>
      <c r="BZ2530" s="6"/>
      <c r="CA2530" s="6"/>
      <c r="CB2530" s="6"/>
      <c r="CC2530" s="6"/>
      <c r="CD2530" s="6"/>
      <c r="CE2530" s="6"/>
      <c r="CF2530" s="6"/>
      <c r="CG2530" s="6"/>
      <c r="CH2530" s="6"/>
      <c r="CI2530" s="6"/>
      <c r="CJ2530" s="6"/>
      <c r="CK2530" s="6"/>
      <c r="CL2530" s="6"/>
      <c r="CM2530" s="6"/>
      <c r="CN2530" s="6"/>
      <c r="CO2530" s="6"/>
      <c r="CP2530" s="6"/>
      <c r="CQ2530" s="6"/>
      <c r="CR2530" s="6"/>
      <c r="CS2530" s="6"/>
      <c r="CT2530" s="6"/>
      <c r="CU2530" s="6"/>
      <c r="CV2530" s="6"/>
      <c r="CW2530" s="6"/>
      <c r="CX2530" s="6"/>
      <c r="CY2530" s="6"/>
      <c r="CZ2530" s="6"/>
      <c r="DA2530" s="6"/>
      <c r="DB2530" s="6"/>
      <c r="DC2530" s="6"/>
      <c r="DD2530" s="6"/>
    </row>
    <row r="2531" spans="1:108" ht="12.75" hidden="1" customHeight="1" outlineLevel="7">
      <c r="A2531" s="104" t="s">
        <v>116</v>
      </c>
      <c r="B2531" s="28">
        <f t="shared" si="140"/>
        <v>0.25</v>
      </c>
      <c r="C2531" s="11"/>
      <c r="D2531" s="18" t="str">
        <f>"&lt;" &amp; A2531 &amp; "&gt;" &amp; TEXT(B2531,"0.000000") &amp; "&lt;/" &amp; A2531 &amp; "&gt;"</f>
        <v>&lt;Flap_Chord&gt;0.250000&lt;/Flap_Chord&gt;</v>
      </c>
      <c r="F2531" s="6"/>
      <c r="G2531" s="6"/>
      <c r="H2531" s="6"/>
      <c r="I2531" s="6"/>
      <c r="J2531" s="6"/>
      <c r="K2531" s="6"/>
      <c r="L2531" s="6"/>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c r="BU2531" s="6"/>
      <c r="BV2531" s="6"/>
      <c r="BW2531" s="6"/>
      <c r="BX2531" s="6"/>
      <c r="BY2531" s="6"/>
      <c r="BZ2531" s="6"/>
      <c r="CA2531" s="6"/>
      <c r="CB2531" s="6"/>
      <c r="CC2531" s="6"/>
      <c r="CD2531" s="6"/>
      <c r="CE2531" s="6"/>
      <c r="CF2531" s="6"/>
      <c r="CG2531" s="6"/>
      <c r="CH2531" s="6"/>
      <c r="CI2531" s="6"/>
      <c r="CJ2531" s="6"/>
      <c r="CK2531" s="6"/>
      <c r="CL2531" s="6"/>
      <c r="CM2531" s="6"/>
      <c r="CN2531" s="6"/>
      <c r="CO2531" s="6"/>
      <c r="CP2531" s="6"/>
      <c r="CQ2531" s="6"/>
      <c r="CR2531" s="6"/>
      <c r="CS2531" s="6"/>
      <c r="CT2531" s="6"/>
      <c r="CU2531" s="6"/>
      <c r="CV2531" s="6"/>
      <c r="CW2531" s="6"/>
      <c r="CX2531" s="6"/>
      <c r="CY2531" s="6"/>
      <c r="CZ2531" s="6"/>
      <c r="DA2531" s="6"/>
      <c r="DB2531" s="6"/>
      <c r="DC2531" s="6"/>
      <c r="DD2531" s="6"/>
    </row>
    <row r="2532" spans="1:108" ht="12.75" hidden="1" customHeight="1" outlineLevel="7">
      <c r="A2532" s="104" t="s">
        <v>117</v>
      </c>
      <c r="B2532" s="28">
        <f t="shared" si="140"/>
        <v>10</v>
      </c>
      <c r="C2532" s="11"/>
      <c r="D2532" s="18" t="str">
        <f>"&lt;" &amp; A2532 &amp; "&gt;" &amp; TEXT(B2532,"0.000000") &amp; "&lt;/" &amp; A2532 &amp; "&gt;"</f>
        <v>&lt;Flap_Angle&gt;10.000000&lt;/Flap_Angle&gt;</v>
      </c>
      <c r="F2532" s="6"/>
      <c r="G2532" s="6"/>
      <c r="H2532" s="6"/>
      <c r="I2532" s="6"/>
      <c r="J2532" s="6"/>
      <c r="K2532" s="6"/>
      <c r="L2532" s="6"/>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c r="BU2532" s="6"/>
      <c r="BV2532" s="6"/>
      <c r="BW2532" s="6"/>
      <c r="BX2532" s="6"/>
      <c r="BY2532" s="6"/>
      <c r="BZ2532" s="6"/>
      <c r="CA2532" s="6"/>
      <c r="CB2532" s="6"/>
      <c r="CC2532" s="6"/>
      <c r="CD2532" s="6"/>
      <c r="CE2532" s="6"/>
      <c r="CF2532" s="6"/>
      <c r="CG2532" s="6"/>
      <c r="CH2532" s="6"/>
      <c r="CI2532" s="6"/>
      <c r="CJ2532" s="6"/>
      <c r="CK2532" s="6"/>
      <c r="CL2532" s="6"/>
      <c r="CM2532" s="6"/>
      <c r="CN2532" s="6"/>
      <c r="CO2532" s="6"/>
      <c r="CP2532" s="6"/>
      <c r="CQ2532" s="6"/>
      <c r="CR2532" s="6"/>
      <c r="CS2532" s="6"/>
      <c r="CT2532" s="6"/>
      <c r="CU2532" s="6"/>
      <c r="CV2532" s="6"/>
      <c r="CW2532" s="6"/>
      <c r="CX2532" s="6"/>
      <c r="CY2532" s="6"/>
      <c r="CZ2532" s="6"/>
      <c r="DA2532" s="6"/>
      <c r="DB2532" s="6"/>
      <c r="DC2532" s="6"/>
      <c r="DD2532" s="6"/>
    </row>
    <row r="2533" spans="1:108" ht="12.75" hidden="1" customHeight="1" outlineLevel="7">
      <c r="A2533" s="104" t="s">
        <v>118</v>
      </c>
      <c r="B2533" s="100"/>
      <c r="C2533" s="11"/>
      <c r="D2533" s="6" t="str">
        <f>"&lt;" &amp; A2533 &amp; "&gt;"</f>
        <v>&lt;/Airfoil&gt;</v>
      </c>
      <c r="F2533" s="6"/>
      <c r="G2533" s="6"/>
      <c r="H2533" s="6"/>
      <c r="I2533" s="6"/>
      <c r="J2533" s="6"/>
      <c r="K2533" s="6"/>
      <c r="L2533" s="6"/>
      <c r="M2533" s="6"/>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c r="BU2533" s="6"/>
      <c r="BV2533" s="6"/>
      <c r="BW2533" s="6"/>
      <c r="BX2533" s="6"/>
      <c r="BY2533" s="6"/>
      <c r="BZ2533" s="6"/>
      <c r="CA2533" s="6"/>
      <c r="CB2533" s="6"/>
      <c r="CC2533" s="6"/>
      <c r="CD2533" s="6"/>
      <c r="CE2533" s="6"/>
      <c r="CF2533" s="6"/>
      <c r="CG2533" s="6"/>
      <c r="CH2533" s="6"/>
      <c r="CI2533" s="6"/>
      <c r="CJ2533" s="6"/>
      <c r="CK2533" s="6"/>
      <c r="CL2533" s="6"/>
      <c r="CM2533" s="6"/>
      <c r="CN2533" s="6"/>
      <c r="CO2533" s="6"/>
      <c r="CP2533" s="6"/>
      <c r="CQ2533" s="6"/>
      <c r="CR2533" s="6"/>
      <c r="CS2533" s="6"/>
      <c r="CT2533" s="6"/>
      <c r="CU2533" s="6"/>
      <c r="CV2533" s="6"/>
      <c r="CW2533" s="6"/>
      <c r="CX2533" s="6"/>
      <c r="CY2533" s="6"/>
      <c r="CZ2533" s="6"/>
      <c r="DA2533" s="6"/>
      <c r="DB2533" s="6"/>
      <c r="DC2533" s="6"/>
      <c r="DD2533" s="6"/>
    </row>
    <row r="2534" spans="1:108" ht="12.75" hidden="1" customHeight="1" outlineLevel="6">
      <c r="A2534" s="104" t="s">
        <v>308</v>
      </c>
      <c r="B2534" s="100"/>
      <c r="C2534" s="11"/>
      <c r="D2534" s="6" t="str">
        <f>"&lt;" &amp; A2534 &amp; "&gt;"</f>
        <v>&lt;/Sect_Parms&gt;</v>
      </c>
      <c r="F2534" s="6"/>
      <c r="G2534" s="6"/>
      <c r="H2534" s="6"/>
      <c r="I2534" s="6"/>
      <c r="J2534" s="6"/>
      <c r="K2534" s="6"/>
      <c r="L2534" s="6"/>
      <c r="M2534" s="6"/>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c r="BU2534" s="6"/>
      <c r="BV2534" s="6"/>
      <c r="BW2534" s="6"/>
      <c r="BX2534" s="6"/>
      <c r="BY2534" s="6"/>
      <c r="BZ2534" s="6"/>
      <c r="CA2534" s="6"/>
      <c r="CB2534" s="6"/>
      <c r="CC2534" s="6"/>
      <c r="CD2534" s="6"/>
      <c r="CE2534" s="6"/>
      <c r="CF2534" s="6"/>
      <c r="CG2534" s="6"/>
      <c r="CH2534" s="6"/>
      <c r="CI2534" s="6"/>
      <c r="CJ2534" s="6"/>
      <c r="CK2534" s="6"/>
      <c r="CL2534" s="6"/>
      <c r="CM2534" s="6"/>
      <c r="CN2534" s="6"/>
      <c r="CO2534" s="6"/>
      <c r="CP2534" s="6"/>
      <c r="CQ2534" s="6"/>
      <c r="CR2534" s="6"/>
      <c r="CS2534" s="6"/>
      <c r="CT2534" s="6"/>
      <c r="CU2534" s="6"/>
      <c r="CV2534" s="6"/>
      <c r="CW2534" s="6"/>
      <c r="CX2534" s="6"/>
      <c r="CY2534" s="6"/>
      <c r="CZ2534" s="6"/>
      <c r="DA2534" s="6"/>
      <c r="DB2534" s="6"/>
      <c r="DC2534" s="6"/>
      <c r="DD2534" s="6"/>
    </row>
    <row r="2535" spans="1:108" ht="12.75" hidden="1" customHeight="1" outlineLevel="5">
      <c r="A2535" s="104" t="s">
        <v>305</v>
      </c>
      <c r="B2535" s="110" t="s">
        <v>389</v>
      </c>
      <c r="C2535" s="11"/>
      <c r="D2535" s="6" t="str">
        <f>"&lt;" &amp; A2535 &amp; "&gt;"</f>
        <v>&lt;Sect_Parms&gt;</v>
      </c>
      <c r="F2535" s="6"/>
      <c r="G2535" s="6"/>
      <c r="H2535" s="6"/>
      <c r="I2535" s="6"/>
      <c r="J2535" s="6"/>
      <c r="K2535" s="6"/>
      <c r="L2535" s="6"/>
      <c r="M2535" s="6"/>
      <c r="N2535" s="6"/>
      <c r="O2535" s="6"/>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c r="BU2535" s="6"/>
      <c r="BV2535" s="6"/>
      <c r="BW2535" s="6"/>
      <c r="BX2535" s="6"/>
      <c r="BY2535" s="6"/>
      <c r="BZ2535" s="6"/>
      <c r="CA2535" s="6"/>
      <c r="CB2535" s="6"/>
      <c r="CC2535" s="6"/>
      <c r="CD2535" s="6"/>
      <c r="CE2535" s="6"/>
      <c r="CF2535" s="6"/>
      <c r="CG2535" s="6"/>
      <c r="CH2535" s="6"/>
      <c r="CI2535" s="6"/>
      <c r="CJ2535" s="6"/>
      <c r="CK2535" s="6"/>
      <c r="CL2535" s="6"/>
      <c r="CM2535" s="6"/>
      <c r="CN2535" s="6"/>
      <c r="CO2535" s="6"/>
      <c r="CP2535" s="6"/>
      <c r="CQ2535" s="6"/>
      <c r="CR2535" s="6"/>
      <c r="CS2535" s="6"/>
      <c r="CT2535" s="6"/>
      <c r="CU2535" s="6"/>
      <c r="CV2535" s="6"/>
      <c r="CW2535" s="6"/>
      <c r="CX2535" s="6"/>
      <c r="CY2535" s="6"/>
      <c r="CZ2535" s="6"/>
      <c r="DA2535" s="6"/>
      <c r="DB2535" s="6"/>
      <c r="DC2535" s="6"/>
      <c r="DD2535" s="6"/>
    </row>
    <row r="2536" spans="1:108" ht="12.75" hidden="1" customHeight="1" outlineLevel="6">
      <c r="A2536" s="104" t="s">
        <v>306</v>
      </c>
      <c r="B2536" s="28">
        <f>B2003</f>
        <v>0.9</v>
      </c>
      <c r="C2536" s="11"/>
      <c r="D2536" s="18" t="str">
        <f>"&lt;" &amp; A2536 &amp; "&gt;" &amp; TEXT(B2536,"0.000000") &amp; "&lt;/" &amp; A2536 &amp; "&gt;"</f>
        <v>&lt;X_Off&gt;0.900000&lt;/X_Off&gt;</v>
      </c>
      <c r="F2536" s="6"/>
      <c r="G2536" s="6"/>
      <c r="H2536" s="6"/>
      <c r="I2536" s="6"/>
      <c r="J2536" s="6"/>
      <c r="K2536" s="6"/>
      <c r="L2536" s="6"/>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c r="BU2536" s="6"/>
      <c r="BV2536" s="6"/>
      <c r="BW2536" s="6"/>
      <c r="BX2536" s="6"/>
      <c r="BY2536" s="6"/>
      <c r="BZ2536" s="6"/>
      <c r="CA2536" s="6"/>
      <c r="CB2536" s="6"/>
      <c r="CC2536" s="6"/>
      <c r="CD2536" s="6"/>
      <c r="CE2536" s="6"/>
      <c r="CF2536" s="6"/>
      <c r="CG2536" s="6"/>
      <c r="CH2536" s="6"/>
      <c r="CI2536" s="6"/>
      <c r="CJ2536" s="6"/>
      <c r="CK2536" s="6"/>
      <c r="CL2536" s="6"/>
      <c r="CM2536" s="6"/>
      <c r="CN2536" s="6"/>
      <c r="CO2536" s="6"/>
      <c r="CP2536" s="6"/>
      <c r="CQ2536" s="6"/>
      <c r="CR2536" s="6"/>
      <c r="CS2536" s="6"/>
      <c r="CT2536" s="6"/>
      <c r="CU2536" s="6"/>
      <c r="CV2536" s="6"/>
      <c r="CW2536" s="6"/>
      <c r="CX2536" s="6"/>
      <c r="CY2536" s="6"/>
      <c r="CZ2536" s="6"/>
      <c r="DA2536" s="6"/>
      <c r="DB2536" s="6"/>
      <c r="DC2536" s="6"/>
      <c r="DD2536" s="6"/>
    </row>
    <row r="2537" spans="1:108" ht="12.75" hidden="1" customHeight="1" outlineLevel="6">
      <c r="A2537" s="104" t="s">
        <v>307</v>
      </c>
      <c r="B2537" s="28">
        <f>B2004</f>
        <v>0</v>
      </c>
      <c r="C2537" s="11"/>
      <c r="D2537" s="18" t="str">
        <f>"&lt;" &amp; A2537 &amp; "&gt;" &amp; TEXT(B2537,"0.000000") &amp; "&lt;/" &amp; A2537 &amp; "&gt;"</f>
        <v>&lt;Y_Off&gt;0.000000&lt;/Y_Off&gt;</v>
      </c>
      <c r="F2537" s="6"/>
      <c r="G2537" s="6"/>
      <c r="H2537" s="6"/>
      <c r="I2537" s="6"/>
      <c r="J2537" s="6"/>
      <c r="K2537" s="6"/>
      <c r="L2537" s="6"/>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c r="BU2537" s="6"/>
      <c r="BV2537" s="6"/>
      <c r="BW2537" s="6"/>
      <c r="BX2537" s="6"/>
      <c r="BY2537" s="6"/>
      <c r="BZ2537" s="6"/>
      <c r="CA2537" s="6"/>
      <c r="CB2537" s="6"/>
      <c r="CC2537" s="6"/>
      <c r="CD2537" s="6"/>
      <c r="CE2537" s="6"/>
      <c r="CF2537" s="6"/>
      <c r="CG2537" s="6"/>
      <c r="CH2537" s="6"/>
      <c r="CI2537" s="6"/>
      <c r="CJ2537" s="6"/>
      <c r="CK2537" s="6"/>
      <c r="CL2537" s="6"/>
      <c r="CM2537" s="6"/>
      <c r="CN2537" s="6"/>
      <c r="CO2537" s="6"/>
      <c r="CP2537" s="6"/>
      <c r="CQ2537" s="6"/>
      <c r="CR2537" s="6"/>
      <c r="CS2537" s="6"/>
      <c r="CT2537" s="6"/>
      <c r="CU2537" s="6"/>
      <c r="CV2537" s="6"/>
      <c r="CW2537" s="6"/>
      <c r="CX2537" s="6"/>
      <c r="CY2537" s="6"/>
      <c r="CZ2537" s="6"/>
      <c r="DA2537" s="6"/>
      <c r="DB2537" s="6"/>
      <c r="DC2537" s="6"/>
      <c r="DD2537" s="6"/>
    </row>
    <row r="2538" spans="1:108" ht="12.75" hidden="1" customHeight="1" outlineLevel="6">
      <c r="A2538" s="104" t="s">
        <v>287</v>
      </c>
      <c r="B2538" s="28">
        <f>B2005</f>
        <v>7.0000000000000007E-2</v>
      </c>
      <c r="C2538" s="11"/>
      <c r="D2538" s="18" t="str">
        <f>"&lt;" &amp; A2538 &amp; "&gt;" &amp; TEXT(B2538,"0.000000") &amp; "&lt;/" &amp; A2538 &amp; "&gt;"</f>
        <v>&lt;Chord&gt;0.070000&lt;/Chord&gt;</v>
      </c>
      <c r="F2538" s="6"/>
      <c r="G2538" s="6"/>
      <c r="H2538" s="6"/>
      <c r="I2538" s="6"/>
      <c r="J2538" s="6"/>
      <c r="K2538" s="6"/>
      <c r="L2538" s="6"/>
      <c r="M2538" s="6"/>
      <c r="N2538" s="6"/>
      <c r="O2538" s="6"/>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c r="BU2538" s="6"/>
      <c r="BV2538" s="6"/>
      <c r="BW2538" s="6"/>
      <c r="BX2538" s="6"/>
      <c r="BY2538" s="6"/>
      <c r="BZ2538" s="6"/>
      <c r="CA2538" s="6"/>
      <c r="CB2538" s="6"/>
      <c r="CC2538" s="6"/>
      <c r="CD2538" s="6"/>
      <c r="CE2538" s="6"/>
      <c r="CF2538" s="6"/>
      <c r="CG2538" s="6"/>
      <c r="CH2538" s="6"/>
      <c r="CI2538" s="6"/>
      <c r="CJ2538" s="6"/>
      <c r="CK2538" s="6"/>
      <c r="CL2538" s="6"/>
      <c r="CM2538" s="6"/>
      <c r="CN2538" s="6"/>
      <c r="CO2538" s="6"/>
      <c r="CP2538" s="6"/>
      <c r="CQ2538" s="6"/>
      <c r="CR2538" s="6"/>
      <c r="CS2538" s="6"/>
      <c r="CT2538" s="6"/>
      <c r="CU2538" s="6"/>
      <c r="CV2538" s="6"/>
      <c r="CW2538" s="6"/>
      <c r="CX2538" s="6"/>
      <c r="CY2538" s="6"/>
      <c r="CZ2538" s="6"/>
      <c r="DA2538" s="6"/>
      <c r="DB2538" s="6"/>
      <c r="DC2538" s="6"/>
      <c r="DD2538" s="6"/>
    </row>
    <row r="2539" spans="1:108" ht="12.75" hidden="1" customHeight="1" outlineLevel="6">
      <c r="A2539" s="104" t="s">
        <v>9</v>
      </c>
      <c r="B2539" s="28">
        <f>B2006</f>
        <v>5</v>
      </c>
      <c r="C2539" s="11"/>
      <c r="D2539" s="18" t="str">
        <f>"&lt;" &amp; A2539 &amp; "&gt;" &amp; TEXT(B2539,"0.000000") &amp; "&lt;/" &amp; A2539 &amp; "&gt;"</f>
        <v>&lt;Twist&gt;5.000000&lt;/Twist&gt;</v>
      </c>
      <c r="F2539" s="6"/>
      <c r="G2539" s="6"/>
      <c r="H2539" s="6"/>
      <c r="I2539" s="6"/>
      <c r="J2539" s="6"/>
      <c r="K2539" s="6"/>
      <c r="L2539" s="6"/>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c r="BU2539" s="6"/>
      <c r="BV2539" s="6"/>
      <c r="BW2539" s="6"/>
      <c r="BX2539" s="6"/>
      <c r="BY2539" s="6"/>
      <c r="BZ2539" s="6"/>
      <c r="CA2539" s="6"/>
      <c r="CB2539" s="6"/>
      <c r="CC2539" s="6"/>
      <c r="CD2539" s="6"/>
      <c r="CE2539" s="6"/>
      <c r="CF2539" s="6"/>
      <c r="CG2539" s="6"/>
      <c r="CH2539" s="6"/>
      <c r="CI2539" s="6"/>
      <c r="CJ2539" s="6"/>
      <c r="CK2539" s="6"/>
      <c r="CL2539" s="6"/>
      <c r="CM2539" s="6"/>
      <c r="CN2539" s="6"/>
      <c r="CO2539" s="6"/>
      <c r="CP2539" s="6"/>
      <c r="CQ2539" s="6"/>
      <c r="CR2539" s="6"/>
      <c r="CS2539" s="6"/>
      <c r="CT2539" s="6"/>
      <c r="CU2539" s="6"/>
      <c r="CV2539" s="6"/>
      <c r="CW2539" s="6"/>
      <c r="CX2539" s="6"/>
      <c r="CY2539" s="6"/>
      <c r="CZ2539" s="6"/>
      <c r="DA2539" s="6"/>
      <c r="DB2539" s="6"/>
      <c r="DC2539" s="6"/>
      <c r="DD2539" s="6"/>
    </row>
    <row r="2540" spans="1:108" ht="12.75" hidden="1" customHeight="1" outlineLevel="6">
      <c r="A2540" s="104" t="s">
        <v>2</v>
      </c>
      <c r="B2540" s="100"/>
      <c r="C2540" s="11"/>
      <c r="D2540" s="6" t="str">
        <f>"&lt;" &amp; A2540 &amp; "&gt;"</f>
        <v>&lt;Airfoil&gt;</v>
      </c>
      <c r="F2540" s="6"/>
      <c r="G2540" s="6"/>
      <c r="H2540" s="6"/>
      <c r="I2540" s="6"/>
      <c r="J2540" s="6"/>
      <c r="K2540" s="6"/>
      <c r="L2540" s="6"/>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c r="BU2540" s="6"/>
      <c r="BV2540" s="6"/>
      <c r="BW2540" s="6"/>
      <c r="BX2540" s="6"/>
      <c r="BY2540" s="6"/>
      <c r="BZ2540" s="6"/>
      <c r="CA2540" s="6"/>
      <c r="CB2540" s="6"/>
      <c r="CC2540" s="6"/>
      <c r="CD2540" s="6"/>
      <c r="CE2540" s="6"/>
      <c r="CF2540" s="6"/>
      <c r="CG2540" s="6"/>
      <c r="CH2540" s="6"/>
      <c r="CI2540" s="6"/>
      <c r="CJ2540" s="6"/>
      <c r="CK2540" s="6"/>
      <c r="CL2540" s="6"/>
      <c r="CM2540" s="6"/>
      <c r="CN2540" s="6"/>
      <c r="CO2540" s="6"/>
      <c r="CP2540" s="6"/>
      <c r="CQ2540" s="6"/>
      <c r="CR2540" s="6"/>
      <c r="CS2540" s="6"/>
      <c r="CT2540" s="6"/>
      <c r="CU2540" s="6"/>
      <c r="CV2540" s="6"/>
      <c r="CW2540" s="6"/>
      <c r="CX2540" s="6"/>
      <c r="CY2540" s="6"/>
      <c r="CZ2540" s="6"/>
      <c r="DA2540" s="6"/>
      <c r="DB2540" s="6"/>
      <c r="DC2540" s="6"/>
      <c r="DD2540" s="6"/>
    </row>
    <row r="2541" spans="1:108" ht="12.75" hidden="1" customHeight="1" outlineLevel="7">
      <c r="A2541" s="104" t="s">
        <v>14</v>
      </c>
      <c r="B2541" s="28">
        <f t="shared" ref="B2541:B2559" si="142">B2008</f>
        <v>1</v>
      </c>
      <c r="C2541" s="11"/>
      <c r="D2541" s="18" t="str">
        <f>"&lt;" &amp; A2541 &amp; "&gt;" &amp; TEXT(B2541,0) &amp; "&lt;/" &amp; A2541 &amp; "&gt;"</f>
        <v>&lt;Type&gt;1&lt;/Type&gt;</v>
      </c>
      <c r="F2541" s="6"/>
      <c r="G2541" s="6"/>
      <c r="H2541" s="6"/>
      <c r="I2541" s="6"/>
      <c r="J2541" s="6"/>
      <c r="K2541" s="6"/>
      <c r="L2541" s="6"/>
      <c r="M2541" s="6"/>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c r="BU2541" s="6"/>
      <c r="BV2541" s="6"/>
      <c r="BW2541" s="6"/>
      <c r="BX2541" s="6"/>
      <c r="BY2541" s="6"/>
      <c r="BZ2541" s="6"/>
      <c r="CA2541" s="6"/>
      <c r="CB2541" s="6"/>
      <c r="CC2541" s="6"/>
      <c r="CD2541" s="6"/>
      <c r="CE2541" s="6"/>
      <c r="CF2541" s="6"/>
      <c r="CG2541" s="6"/>
      <c r="CH2541" s="6"/>
      <c r="CI2541" s="6"/>
      <c r="CJ2541" s="6"/>
      <c r="CK2541" s="6"/>
      <c r="CL2541" s="6"/>
      <c r="CM2541" s="6"/>
      <c r="CN2541" s="6"/>
      <c r="CO2541" s="6"/>
      <c r="CP2541" s="6"/>
      <c r="CQ2541" s="6"/>
      <c r="CR2541" s="6"/>
      <c r="CS2541" s="6"/>
      <c r="CT2541" s="6"/>
      <c r="CU2541" s="6"/>
      <c r="CV2541" s="6"/>
      <c r="CW2541" s="6"/>
      <c r="CX2541" s="6"/>
      <c r="CY2541" s="6"/>
      <c r="CZ2541" s="6"/>
      <c r="DA2541" s="6"/>
      <c r="DB2541" s="6"/>
      <c r="DC2541" s="6"/>
      <c r="DD2541" s="6"/>
    </row>
    <row r="2542" spans="1:108" ht="12.75" hidden="1" customHeight="1" outlineLevel="7">
      <c r="A2542" s="104" t="s">
        <v>102</v>
      </c>
      <c r="B2542" s="28">
        <f t="shared" si="142"/>
        <v>0</v>
      </c>
      <c r="C2542" s="11"/>
      <c r="D2542" s="18" t="str">
        <f>"&lt;" &amp; A2542 &amp; "&gt;" &amp; TEXT(B2542,0) &amp; "&lt;/" &amp; A2542 &amp; "&gt;"</f>
        <v>&lt;Inverted_Flag&gt;0&lt;/Inverted_Flag&gt;</v>
      </c>
      <c r="F2542" s="6"/>
      <c r="G2542" s="6"/>
      <c r="H2542" s="6"/>
      <c r="I2542" s="6"/>
      <c r="J2542" s="6"/>
      <c r="K2542" s="6"/>
      <c r="L2542" s="6"/>
      <c r="M2542" s="6"/>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c r="BU2542" s="6"/>
      <c r="BV2542" s="6"/>
      <c r="BW2542" s="6"/>
      <c r="BX2542" s="6"/>
      <c r="BY2542" s="6"/>
      <c r="BZ2542" s="6"/>
      <c r="CA2542" s="6"/>
      <c r="CB2542" s="6"/>
      <c r="CC2542" s="6"/>
      <c r="CD2542" s="6"/>
      <c r="CE2542" s="6"/>
      <c r="CF2542" s="6"/>
      <c r="CG2542" s="6"/>
      <c r="CH2542" s="6"/>
      <c r="CI2542" s="6"/>
      <c r="CJ2542" s="6"/>
      <c r="CK2542" s="6"/>
      <c r="CL2542" s="6"/>
      <c r="CM2542" s="6"/>
      <c r="CN2542" s="6"/>
      <c r="CO2542" s="6"/>
      <c r="CP2542" s="6"/>
      <c r="CQ2542" s="6"/>
      <c r="CR2542" s="6"/>
      <c r="CS2542" s="6"/>
      <c r="CT2542" s="6"/>
      <c r="CU2542" s="6"/>
      <c r="CV2542" s="6"/>
      <c r="CW2542" s="6"/>
      <c r="CX2542" s="6"/>
      <c r="CY2542" s="6"/>
      <c r="CZ2542" s="6"/>
      <c r="DA2542" s="6"/>
      <c r="DB2542" s="6"/>
      <c r="DC2542" s="6"/>
      <c r="DD2542" s="6"/>
    </row>
    <row r="2543" spans="1:108" ht="12.75" hidden="1" customHeight="1" outlineLevel="7">
      <c r="A2543" s="104" t="s">
        <v>4</v>
      </c>
      <c r="B2543" s="28">
        <f t="shared" si="142"/>
        <v>0</v>
      </c>
      <c r="C2543" s="11"/>
      <c r="D2543" s="18" t="str">
        <f t="shared" ref="D2543:D2548" si="143">"&lt;" &amp; A2543 &amp; "&gt;" &amp; TEXT(B2543,"0.000000") &amp; "&lt;/" &amp; A2543 &amp; "&gt;"</f>
        <v>&lt;Camber&gt;0.000000&lt;/Camber&gt;</v>
      </c>
      <c r="F2543" s="6"/>
      <c r="G2543" s="6"/>
      <c r="H2543" s="6"/>
      <c r="I2543" s="6"/>
      <c r="J2543" s="6"/>
      <c r="K2543" s="6"/>
      <c r="L2543" s="6"/>
      <c r="M2543" s="6"/>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c r="BU2543" s="6"/>
      <c r="BV2543" s="6"/>
      <c r="BW2543" s="6"/>
      <c r="BX2543" s="6"/>
      <c r="BY2543" s="6"/>
      <c r="BZ2543" s="6"/>
      <c r="CA2543" s="6"/>
      <c r="CB2543" s="6"/>
      <c r="CC2543" s="6"/>
      <c r="CD2543" s="6"/>
      <c r="CE2543" s="6"/>
      <c r="CF2543" s="6"/>
      <c r="CG2543" s="6"/>
      <c r="CH2543" s="6"/>
      <c r="CI2543" s="6"/>
      <c r="CJ2543" s="6"/>
      <c r="CK2543" s="6"/>
      <c r="CL2543" s="6"/>
      <c r="CM2543" s="6"/>
      <c r="CN2543" s="6"/>
      <c r="CO2543" s="6"/>
      <c r="CP2543" s="6"/>
      <c r="CQ2543" s="6"/>
      <c r="CR2543" s="6"/>
      <c r="CS2543" s="6"/>
      <c r="CT2543" s="6"/>
      <c r="CU2543" s="6"/>
      <c r="CV2543" s="6"/>
      <c r="CW2543" s="6"/>
      <c r="CX2543" s="6"/>
      <c r="CY2543" s="6"/>
      <c r="CZ2543" s="6"/>
      <c r="DA2543" s="6"/>
      <c r="DB2543" s="6"/>
      <c r="DC2543" s="6"/>
      <c r="DD2543" s="6"/>
    </row>
    <row r="2544" spans="1:108" ht="12.75" hidden="1" customHeight="1" outlineLevel="7">
      <c r="A2544" s="104" t="s">
        <v>103</v>
      </c>
      <c r="B2544" s="28">
        <f t="shared" si="142"/>
        <v>0.5</v>
      </c>
      <c r="C2544" s="11"/>
      <c r="D2544" s="18" t="str">
        <f t="shared" si="143"/>
        <v>&lt;Camber_Loc&gt;0.500000&lt;/Camber_Loc&gt;</v>
      </c>
      <c r="F2544" s="6"/>
      <c r="G2544" s="6"/>
      <c r="H2544" s="6"/>
      <c r="I2544" s="6"/>
      <c r="J2544" s="6"/>
      <c r="K2544" s="6"/>
      <c r="L2544" s="6"/>
      <c r="M2544" s="6"/>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c r="BU2544" s="6"/>
      <c r="BV2544" s="6"/>
      <c r="BW2544" s="6"/>
      <c r="BX2544" s="6"/>
      <c r="BY2544" s="6"/>
      <c r="BZ2544" s="6"/>
      <c r="CA2544" s="6"/>
      <c r="CB2544" s="6"/>
      <c r="CC2544" s="6"/>
      <c r="CD2544" s="6"/>
      <c r="CE2544" s="6"/>
      <c r="CF2544" s="6"/>
      <c r="CG2544" s="6"/>
      <c r="CH2544" s="6"/>
      <c r="CI2544" s="6"/>
      <c r="CJ2544" s="6"/>
      <c r="CK2544" s="6"/>
      <c r="CL2544" s="6"/>
      <c r="CM2544" s="6"/>
      <c r="CN2544" s="6"/>
      <c r="CO2544" s="6"/>
      <c r="CP2544" s="6"/>
      <c r="CQ2544" s="6"/>
      <c r="CR2544" s="6"/>
      <c r="CS2544" s="6"/>
      <c r="CT2544" s="6"/>
      <c r="CU2544" s="6"/>
      <c r="CV2544" s="6"/>
      <c r="CW2544" s="6"/>
      <c r="CX2544" s="6"/>
      <c r="CY2544" s="6"/>
      <c r="CZ2544" s="6"/>
      <c r="DA2544" s="6"/>
      <c r="DB2544" s="6"/>
      <c r="DC2544" s="6"/>
      <c r="DD2544" s="6"/>
    </row>
    <row r="2545" spans="1:108" ht="12.75" hidden="1" customHeight="1" outlineLevel="7">
      <c r="A2545" s="104" t="s">
        <v>5</v>
      </c>
      <c r="B2545" s="28">
        <f t="shared" si="142"/>
        <v>0.2</v>
      </c>
      <c r="C2545" s="11"/>
      <c r="D2545" s="18" t="str">
        <f t="shared" si="143"/>
        <v>&lt;Thickness&gt;0.200000&lt;/Thickness&gt;</v>
      </c>
      <c r="F2545" s="6"/>
      <c r="G2545" s="6"/>
      <c r="H2545" s="6"/>
      <c r="I2545" s="6"/>
      <c r="J2545" s="6"/>
      <c r="K2545" s="6"/>
      <c r="L2545" s="6"/>
      <c r="M2545" s="6"/>
      <c r="N2545" s="6"/>
      <c r="O2545" s="6"/>
      <c r="P2545" s="6"/>
      <c r="Q2545" s="6"/>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c r="BU2545" s="6"/>
      <c r="BV2545" s="6"/>
      <c r="BW2545" s="6"/>
      <c r="BX2545" s="6"/>
      <c r="BY2545" s="6"/>
      <c r="BZ2545" s="6"/>
      <c r="CA2545" s="6"/>
      <c r="CB2545" s="6"/>
      <c r="CC2545" s="6"/>
      <c r="CD2545" s="6"/>
      <c r="CE2545" s="6"/>
      <c r="CF2545" s="6"/>
      <c r="CG2545" s="6"/>
      <c r="CH2545" s="6"/>
      <c r="CI2545" s="6"/>
      <c r="CJ2545" s="6"/>
      <c r="CK2545" s="6"/>
      <c r="CL2545" s="6"/>
      <c r="CM2545" s="6"/>
      <c r="CN2545" s="6"/>
      <c r="CO2545" s="6"/>
      <c r="CP2545" s="6"/>
      <c r="CQ2545" s="6"/>
      <c r="CR2545" s="6"/>
      <c r="CS2545" s="6"/>
      <c r="CT2545" s="6"/>
      <c r="CU2545" s="6"/>
      <c r="CV2545" s="6"/>
      <c r="CW2545" s="6"/>
      <c r="CX2545" s="6"/>
      <c r="CY2545" s="6"/>
      <c r="CZ2545" s="6"/>
      <c r="DA2545" s="6"/>
      <c r="DB2545" s="6"/>
      <c r="DC2545" s="6"/>
      <c r="DD2545" s="6"/>
    </row>
    <row r="2546" spans="1:108" ht="12.75" hidden="1" customHeight="1" outlineLevel="7">
      <c r="A2546" s="104" t="s">
        <v>104</v>
      </c>
      <c r="B2546" s="28">
        <f t="shared" si="142"/>
        <v>0.3</v>
      </c>
      <c r="C2546" s="11"/>
      <c r="D2546" s="18" t="str">
        <f t="shared" si="143"/>
        <v>&lt;Thickness_Loc&gt;0.300000&lt;/Thickness_Loc&gt;</v>
      </c>
      <c r="F2546" s="6"/>
      <c r="G2546" s="6"/>
      <c r="H2546" s="6"/>
      <c r="I2546" s="6"/>
      <c r="J2546" s="6"/>
      <c r="K2546" s="6"/>
      <c r="L2546" s="6"/>
      <c r="M2546" s="6"/>
      <c r="N2546" s="6"/>
      <c r="O2546" s="6"/>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c r="BU2546" s="6"/>
      <c r="BV2546" s="6"/>
      <c r="BW2546" s="6"/>
      <c r="BX2546" s="6"/>
      <c r="BY2546" s="6"/>
      <c r="BZ2546" s="6"/>
      <c r="CA2546" s="6"/>
      <c r="CB2546" s="6"/>
      <c r="CC2546" s="6"/>
      <c r="CD2546" s="6"/>
      <c r="CE2546" s="6"/>
      <c r="CF2546" s="6"/>
      <c r="CG2546" s="6"/>
      <c r="CH2546" s="6"/>
      <c r="CI2546" s="6"/>
      <c r="CJ2546" s="6"/>
      <c r="CK2546" s="6"/>
      <c r="CL2546" s="6"/>
      <c r="CM2546" s="6"/>
      <c r="CN2546" s="6"/>
      <c r="CO2546" s="6"/>
      <c r="CP2546" s="6"/>
      <c r="CQ2546" s="6"/>
      <c r="CR2546" s="6"/>
      <c r="CS2546" s="6"/>
      <c r="CT2546" s="6"/>
      <c r="CU2546" s="6"/>
      <c r="CV2546" s="6"/>
      <c r="CW2546" s="6"/>
      <c r="CX2546" s="6"/>
      <c r="CY2546" s="6"/>
      <c r="CZ2546" s="6"/>
      <c r="DA2546" s="6"/>
      <c r="DB2546" s="6"/>
      <c r="DC2546" s="6"/>
      <c r="DD2546" s="6"/>
    </row>
    <row r="2547" spans="1:108" ht="12.75" hidden="1" customHeight="1" outlineLevel="7">
      <c r="A2547" s="104" t="s">
        <v>105</v>
      </c>
      <c r="B2547" s="28">
        <f t="shared" si="142"/>
        <v>4.4075999999999997E-2</v>
      </c>
      <c r="C2547" s="11"/>
      <c r="D2547" s="18" t="str">
        <f t="shared" si="143"/>
        <v>&lt;Radius_Le&gt;0.044076&lt;/Radius_Le&gt;</v>
      </c>
      <c r="F2547" s="6"/>
      <c r="G2547" s="6"/>
      <c r="H2547" s="6"/>
      <c r="I2547" s="6"/>
      <c r="J2547" s="6"/>
      <c r="K2547" s="6"/>
      <c r="L2547" s="6"/>
      <c r="M2547" s="6"/>
      <c r="N2547" s="6"/>
      <c r="O2547" s="6"/>
      <c r="P2547" s="6"/>
      <c r="Q2547" s="6"/>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c r="BU2547" s="6"/>
      <c r="BV2547" s="6"/>
      <c r="BW2547" s="6"/>
      <c r="BX2547" s="6"/>
      <c r="BY2547" s="6"/>
      <c r="BZ2547" s="6"/>
      <c r="CA2547" s="6"/>
      <c r="CB2547" s="6"/>
      <c r="CC2547" s="6"/>
      <c r="CD2547" s="6"/>
      <c r="CE2547" s="6"/>
      <c r="CF2547" s="6"/>
      <c r="CG2547" s="6"/>
      <c r="CH2547" s="6"/>
      <c r="CI2547" s="6"/>
      <c r="CJ2547" s="6"/>
      <c r="CK2547" s="6"/>
      <c r="CL2547" s="6"/>
      <c r="CM2547" s="6"/>
      <c r="CN2547" s="6"/>
      <c r="CO2547" s="6"/>
      <c r="CP2547" s="6"/>
      <c r="CQ2547" s="6"/>
      <c r="CR2547" s="6"/>
      <c r="CS2547" s="6"/>
      <c r="CT2547" s="6"/>
      <c r="CU2547" s="6"/>
      <c r="CV2547" s="6"/>
      <c r="CW2547" s="6"/>
      <c r="CX2547" s="6"/>
      <c r="CY2547" s="6"/>
      <c r="CZ2547" s="6"/>
      <c r="DA2547" s="6"/>
      <c r="DB2547" s="6"/>
      <c r="DC2547" s="6"/>
      <c r="DD2547" s="6"/>
    </row>
    <row r="2548" spans="1:108" ht="12.75" hidden="1" customHeight="1" outlineLevel="7">
      <c r="A2548" s="104" t="s">
        <v>106</v>
      </c>
      <c r="B2548" s="28">
        <f t="shared" si="142"/>
        <v>0</v>
      </c>
      <c r="C2548" s="11"/>
      <c r="D2548" s="18" t="str">
        <f t="shared" si="143"/>
        <v>&lt;Radius_Te&gt;0.000000&lt;/Radius_Te&gt;</v>
      </c>
      <c r="F2548" s="6"/>
      <c r="G2548" s="6"/>
      <c r="H2548" s="6"/>
      <c r="I2548" s="6"/>
      <c r="J2548" s="6"/>
      <c r="K2548" s="6"/>
      <c r="L2548" s="6"/>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c r="BU2548" s="6"/>
      <c r="BV2548" s="6"/>
      <c r="BW2548" s="6"/>
      <c r="BX2548" s="6"/>
      <c r="BY2548" s="6"/>
      <c r="BZ2548" s="6"/>
      <c r="CA2548" s="6"/>
      <c r="CB2548" s="6"/>
      <c r="CC2548" s="6"/>
      <c r="CD2548" s="6"/>
      <c r="CE2548" s="6"/>
      <c r="CF2548" s="6"/>
      <c r="CG2548" s="6"/>
      <c r="CH2548" s="6"/>
      <c r="CI2548" s="6"/>
      <c r="CJ2548" s="6"/>
      <c r="CK2548" s="6"/>
      <c r="CL2548" s="6"/>
      <c r="CM2548" s="6"/>
      <c r="CN2548" s="6"/>
      <c r="CO2548" s="6"/>
      <c r="CP2548" s="6"/>
      <c r="CQ2548" s="6"/>
      <c r="CR2548" s="6"/>
      <c r="CS2548" s="6"/>
      <c r="CT2548" s="6"/>
      <c r="CU2548" s="6"/>
      <c r="CV2548" s="6"/>
      <c r="CW2548" s="6"/>
      <c r="CX2548" s="6"/>
      <c r="CY2548" s="6"/>
      <c r="CZ2548" s="6"/>
      <c r="DA2548" s="6"/>
      <c r="DB2548" s="6"/>
      <c r="DC2548" s="6"/>
      <c r="DD2548" s="6"/>
    </row>
    <row r="2549" spans="1:108" ht="12.75" hidden="1" customHeight="1" outlineLevel="7">
      <c r="A2549" s="104" t="s">
        <v>107</v>
      </c>
      <c r="B2549" s="28">
        <f t="shared" si="142"/>
        <v>63</v>
      </c>
      <c r="C2549" s="11"/>
      <c r="D2549" s="18" t="str">
        <f>"&lt;" &amp; A2549 &amp; "&gt;" &amp; TEXT(B2549,0) &amp; "&lt;/" &amp; A2549 &amp; "&gt;"</f>
        <v>&lt;Six_Series&gt;63&lt;/Six_Series&gt;</v>
      </c>
      <c r="F2549" s="6"/>
      <c r="G2549" s="6"/>
      <c r="H2549" s="6"/>
      <c r="I2549" s="6"/>
      <c r="J2549" s="6"/>
      <c r="K2549" s="6"/>
      <c r="L2549" s="6"/>
      <c r="M2549" s="6"/>
      <c r="N2549" s="6"/>
      <c r="O2549" s="6"/>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c r="BU2549" s="6"/>
      <c r="BV2549" s="6"/>
      <c r="BW2549" s="6"/>
      <c r="BX2549" s="6"/>
      <c r="BY2549" s="6"/>
      <c r="BZ2549" s="6"/>
      <c r="CA2549" s="6"/>
      <c r="CB2549" s="6"/>
      <c r="CC2549" s="6"/>
      <c r="CD2549" s="6"/>
      <c r="CE2549" s="6"/>
      <c r="CF2549" s="6"/>
      <c r="CG2549" s="6"/>
      <c r="CH2549" s="6"/>
      <c r="CI2549" s="6"/>
      <c r="CJ2549" s="6"/>
      <c r="CK2549" s="6"/>
      <c r="CL2549" s="6"/>
      <c r="CM2549" s="6"/>
      <c r="CN2549" s="6"/>
      <c r="CO2549" s="6"/>
      <c r="CP2549" s="6"/>
      <c r="CQ2549" s="6"/>
      <c r="CR2549" s="6"/>
      <c r="CS2549" s="6"/>
      <c r="CT2549" s="6"/>
      <c r="CU2549" s="6"/>
      <c r="CV2549" s="6"/>
      <c r="CW2549" s="6"/>
      <c r="CX2549" s="6"/>
      <c r="CY2549" s="6"/>
      <c r="CZ2549" s="6"/>
      <c r="DA2549" s="6"/>
      <c r="DB2549" s="6"/>
      <c r="DC2549" s="6"/>
      <c r="DD2549" s="6"/>
    </row>
    <row r="2550" spans="1:108" ht="12.75" hidden="1" customHeight="1" outlineLevel="7">
      <c r="A2550" s="104" t="s">
        <v>108</v>
      </c>
      <c r="B2550" s="28">
        <f t="shared" si="142"/>
        <v>0</v>
      </c>
      <c r="C2550" s="11"/>
      <c r="D2550" s="18" t="str">
        <f>"&lt;" &amp; A2550 &amp; "&gt;" &amp; TEXT(B2550,"0.000000") &amp; "&lt;/" &amp; A2550 &amp; "&gt;"</f>
        <v>&lt;Ideal_Cl&gt;0.000000&lt;/Ideal_Cl&gt;</v>
      </c>
      <c r="F2550" s="6"/>
      <c r="G2550" s="6"/>
      <c r="H2550" s="6"/>
      <c r="I2550" s="6"/>
      <c r="J2550" s="6"/>
      <c r="K2550" s="6"/>
      <c r="L2550" s="6"/>
      <c r="M2550" s="6"/>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c r="BU2550" s="6"/>
      <c r="BV2550" s="6"/>
      <c r="BW2550" s="6"/>
      <c r="BX2550" s="6"/>
      <c r="BY2550" s="6"/>
      <c r="BZ2550" s="6"/>
      <c r="CA2550" s="6"/>
      <c r="CB2550" s="6"/>
      <c r="CC2550" s="6"/>
      <c r="CD2550" s="6"/>
      <c r="CE2550" s="6"/>
      <c r="CF2550" s="6"/>
      <c r="CG2550" s="6"/>
      <c r="CH2550" s="6"/>
      <c r="CI2550" s="6"/>
      <c r="CJ2550" s="6"/>
      <c r="CK2550" s="6"/>
      <c r="CL2550" s="6"/>
      <c r="CM2550" s="6"/>
      <c r="CN2550" s="6"/>
      <c r="CO2550" s="6"/>
      <c r="CP2550" s="6"/>
      <c r="CQ2550" s="6"/>
      <c r="CR2550" s="6"/>
      <c r="CS2550" s="6"/>
      <c r="CT2550" s="6"/>
      <c r="CU2550" s="6"/>
      <c r="CV2550" s="6"/>
      <c r="CW2550" s="6"/>
      <c r="CX2550" s="6"/>
      <c r="CY2550" s="6"/>
      <c r="CZ2550" s="6"/>
      <c r="DA2550" s="6"/>
      <c r="DB2550" s="6"/>
      <c r="DC2550" s="6"/>
      <c r="DD2550" s="6"/>
    </row>
    <row r="2551" spans="1:108" ht="12.75" hidden="1" customHeight="1" outlineLevel="7">
      <c r="A2551" s="104" t="s">
        <v>109</v>
      </c>
      <c r="B2551" s="28">
        <f t="shared" si="142"/>
        <v>0</v>
      </c>
      <c r="C2551" s="11"/>
      <c r="D2551" s="18" t="str">
        <f>"&lt;" &amp; A2551 &amp; "&gt;" &amp; TEXT(B2551,"0.000000") &amp; "&lt;/" &amp; A2551 &amp; "&gt;"</f>
        <v>&lt;A&gt;0.000000&lt;/A&gt;</v>
      </c>
      <c r="F2551" s="6"/>
      <c r="G2551" s="6"/>
      <c r="H2551" s="6"/>
      <c r="I2551" s="6"/>
      <c r="J2551" s="6"/>
      <c r="K2551" s="6"/>
      <c r="L2551" s="6"/>
      <c r="M2551" s="6"/>
      <c r="N2551" s="6"/>
      <c r="O2551" s="6"/>
      <c r="P2551" s="6"/>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c r="BU2551" s="6"/>
      <c r="BV2551" s="6"/>
      <c r="BW2551" s="6"/>
      <c r="BX2551" s="6"/>
      <c r="BY2551" s="6"/>
      <c r="BZ2551" s="6"/>
      <c r="CA2551" s="6"/>
      <c r="CB2551" s="6"/>
      <c r="CC2551" s="6"/>
      <c r="CD2551" s="6"/>
      <c r="CE2551" s="6"/>
      <c r="CF2551" s="6"/>
      <c r="CG2551" s="6"/>
      <c r="CH2551" s="6"/>
      <c r="CI2551" s="6"/>
      <c r="CJ2551" s="6"/>
      <c r="CK2551" s="6"/>
      <c r="CL2551" s="6"/>
      <c r="CM2551" s="6"/>
      <c r="CN2551" s="6"/>
      <c r="CO2551" s="6"/>
      <c r="CP2551" s="6"/>
      <c r="CQ2551" s="6"/>
      <c r="CR2551" s="6"/>
      <c r="CS2551" s="6"/>
      <c r="CT2551" s="6"/>
      <c r="CU2551" s="6"/>
      <c r="CV2551" s="6"/>
      <c r="CW2551" s="6"/>
      <c r="CX2551" s="6"/>
      <c r="CY2551" s="6"/>
      <c r="CZ2551" s="6"/>
      <c r="DA2551" s="6"/>
      <c r="DB2551" s="6"/>
      <c r="DC2551" s="6"/>
      <c r="DD2551" s="6"/>
    </row>
    <row r="2552" spans="1:108" ht="12.75" hidden="1" customHeight="1" outlineLevel="7">
      <c r="A2552" s="104" t="s">
        <v>110</v>
      </c>
      <c r="B2552" s="28">
        <f t="shared" si="142"/>
        <v>0</v>
      </c>
      <c r="C2552" s="11"/>
      <c r="D2552" s="18" t="str">
        <f>"&lt;" &amp; A2552 &amp; "&gt;" &amp; TEXT(B2552,0) &amp; "&lt;/" &amp; A2552 &amp; "&gt;"</f>
        <v>&lt;Slat_Flag&gt;0&lt;/Slat_Flag&gt;</v>
      </c>
      <c r="F2552" s="6"/>
      <c r="G2552" s="6"/>
      <c r="H2552" s="6"/>
      <c r="I2552" s="6"/>
      <c r="J2552" s="6"/>
      <c r="K2552" s="6"/>
      <c r="L2552" s="6"/>
      <c r="M2552" s="6"/>
      <c r="N2552" s="6"/>
      <c r="O2552" s="6"/>
      <c r="P2552" s="6"/>
      <c r="Q2552" s="6"/>
      <c r="R2552" s="6"/>
      <c r="S2552" s="6"/>
      <c r="T2552" s="6"/>
      <c r="U2552" s="6"/>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c r="BU2552" s="6"/>
      <c r="BV2552" s="6"/>
      <c r="BW2552" s="6"/>
      <c r="BX2552" s="6"/>
      <c r="BY2552" s="6"/>
      <c r="BZ2552" s="6"/>
      <c r="CA2552" s="6"/>
      <c r="CB2552" s="6"/>
      <c r="CC2552" s="6"/>
      <c r="CD2552" s="6"/>
      <c r="CE2552" s="6"/>
      <c r="CF2552" s="6"/>
      <c r="CG2552" s="6"/>
      <c r="CH2552" s="6"/>
      <c r="CI2552" s="6"/>
      <c r="CJ2552" s="6"/>
      <c r="CK2552" s="6"/>
      <c r="CL2552" s="6"/>
      <c r="CM2552" s="6"/>
      <c r="CN2552" s="6"/>
      <c r="CO2552" s="6"/>
      <c r="CP2552" s="6"/>
      <c r="CQ2552" s="6"/>
      <c r="CR2552" s="6"/>
      <c r="CS2552" s="6"/>
      <c r="CT2552" s="6"/>
      <c r="CU2552" s="6"/>
      <c r="CV2552" s="6"/>
      <c r="CW2552" s="6"/>
      <c r="CX2552" s="6"/>
      <c r="CY2552" s="6"/>
      <c r="CZ2552" s="6"/>
      <c r="DA2552" s="6"/>
      <c r="DB2552" s="6"/>
      <c r="DC2552" s="6"/>
      <c r="DD2552" s="6"/>
    </row>
    <row r="2553" spans="1:108" ht="12.75" hidden="1" customHeight="1" outlineLevel="7">
      <c r="A2553" s="104" t="s">
        <v>111</v>
      </c>
      <c r="B2553" s="28">
        <f t="shared" si="142"/>
        <v>0</v>
      </c>
      <c r="C2553" s="11"/>
      <c r="D2553" s="18" t="str">
        <f>"&lt;" &amp; A2553 &amp; "&gt;" &amp; TEXT(B2553,0) &amp; "&lt;/" &amp; A2553 &amp; "&gt;"</f>
        <v>&lt;Slat_Shear_Flag&gt;0&lt;/Slat_Shear_Flag&gt;</v>
      </c>
      <c r="F2553" s="6"/>
      <c r="G2553" s="6"/>
      <c r="H2553" s="6"/>
      <c r="I2553" s="6"/>
      <c r="J2553" s="6"/>
      <c r="K2553" s="6"/>
      <c r="L2553" s="6"/>
      <c r="M2553" s="6"/>
      <c r="N2553" s="6"/>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c r="BU2553" s="6"/>
      <c r="BV2553" s="6"/>
      <c r="BW2553" s="6"/>
      <c r="BX2553" s="6"/>
      <c r="BY2553" s="6"/>
      <c r="BZ2553" s="6"/>
      <c r="CA2553" s="6"/>
      <c r="CB2553" s="6"/>
      <c r="CC2553" s="6"/>
      <c r="CD2553" s="6"/>
      <c r="CE2553" s="6"/>
      <c r="CF2553" s="6"/>
      <c r="CG2553" s="6"/>
      <c r="CH2553" s="6"/>
      <c r="CI2553" s="6"/>
      <c r="CJ2553" s="6"/>
      <c r="CK2553" s="6"/>
      <c r="CL2553" s="6"/>
      <c r="CM2553" s="6"/>
      <c r="CN2553" s="6"/>
      <c r="CO2553" s="6"/>
      <c r="CP2553" s="6"/>
      <c r="CQ2553" s="6"/>
      <c r="CR2553" s="6"/>
      <c r="CS2553" s="6"/>
      <c r="CT2553" s="6"/>
      <c r="CU2553" s="6"/>
      <c r="CV2553" s="6"/>
      <c r="CW2553" s="6"/>
      <c r="CX2553" s="6"/>
      <c r="CY2553" s="6"/>
      <c r="CZ2553" s="6"/>
      <c r="DA2553" s="6"/>
      <c r="DB2553" s="6"/>
      <c r="DC2553" s="6"/>
      <c r="DD2553" s="6"/>
    </row>
    <row r="2554" spans="1:108" ht="12.75" hidden="1" customHeight="1" outlineLevel="7">
      <c r="A2554" s="104" t="s">
        <v>112</v>
      </c>
      <c r="B2554" s="28">
        <f t="shared" si="142"/>
        <v>0.25</v>
      </c>
      <c r="C2554" s="11"/>
      <c r="D2554" s="18" t="str">
        <f>"&lt;" &amp; A2554 &amp; "&gt;" &amp; TEXT(B2554,"0.000000") &amp; "&lt;/" &amp; A2554 &amp; "&gt;"</f>
        <v>&lt;Slat_Chord&gt;0.250000&lt;/Slat_Chord&gt;</v>
      </c>
      <c r="F2554" s="6"/>
      <c r="G2554" s="6"/>
      <c r="H2554" s="6"/>
      <c r="I2554" s="6"/>
      <c r="J2554" s="6"/>
      <c r="K2554" s="6"/>
      <c r="L2554" s="6"/>
      <c r="M2554" s="6"/>
      <c r="N2554" s="6"/>
      <c r="O2554" s="6"/>
      <c r="P2554" s="6"/>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c r="BU2554" s="6"/>
      <c r="BV2554" s="6"/>
      <c r="BW2554" s="6"/>
      <c r="BX2554" s="6"/>
      <c r="BY2554" s="6"/>
      <c r="BZ2554" s="6"/>
      <c r="CA2554" s="6"/>
      <c r="CB2554" s="6"/>
      <c r="CC2554" s="6"/>
      <c r="CD2554" s="6"/>
      <c r="CE2554" s="6"/>
      <c r="CF2554" s="6"/>
      <c r="CG2554" s="6"/>
      <c r="CH2554" s="6"/>
      <c r="CI2554" s="6"/>
      <c r="CJ2554" s="6"/>
      <c r="CK2554" s="6"/>
      <c r="CL2554" s="6"/>
      <c r="CM2554" s="6"/>
      <c r="CN2554" s="6"/>
      <c r="CO2554" s="6"/>
      <c r="CP2554" s="6"/>
      <c r="CQ2554" s="6"/>
      <c r="CR2554" s="6"/>
      <c r="CS2554" s="6"/>
      <c r="CT2554" s="6"/>
      <c r="CU2554" s="6"/>
      <c r="CV2554" s="6"/>
      <c r="CW2554" s="6"/>
      <c r="CX2554" s="6"/>
      <c r="CY2554" s="6"/>
      <c r="CZ2554" s="6"/>
      <c r="DA2554" s="6"/>
      <c r="DB2554" s="6"/>
      <c r="DC2554" s="6"/>
      <c r="DD2554" s="6"/>
    </row>
    <row r="2555" spans="1:108" ht="12.75" hidden="1" customHeight="1" outlineLevel="7">
      <c r="A2555" s="104" t="s">
        <v>113</v>
      </c>
      <c r="B2555" s="28">
        <f t="shared" si="142"/>
        <v>10</v>
      </c>
      <c r="C2555" s="11"/>
      <c r="D2555" s="18" t="str">
        <f>"&lt;" &amp; A2555 &amp; "&gt;" &amp; TEXT(B2555,"0.000000") &amp; "&lt;/" &amp; A2555 &amp; "&gt;"</f>
        <v>&lt;Slat_Angle&gt;10.000000&lt;/Slat_Angle&gt;</v>
      </c>
      <c r="F2555" s="6"/>
      <c r="G2555" s="6"/>
      <c r="H2555" s="6"/>
      <c r="I2555" s="6"/>
      <c r="J2555" s="6"/>
      <c r="K2555" s="6"/>
      <c r="L2555" s="6"/>
      <c r="M2555" s="6"/>
      <c r="N2555" s="6"/>
      <c r="O2555" s="6"/>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c r="BU2555" s="6"/>
      <c r="BV2555" s="6"/>
      <c r="BW2555" s="6"/>
      <c r="BX2555" s="6"/>
      <c r="BY2555" s="6"/>
      <c r="BZ2555" s="6"/>
      <c r="CA2555" s="6"/>
      <c r="CB2555" s="6"/>
      <c r="CC2555" s="6"/>
      <c r="CD2555" s="6"/>
      <c r="CE2555" s="6"/>
      <c r="CF2555" s="6"/>
      <c r="CG2555" s="6"/>
      <c r="CH2555" s="6"/>
      <c r="CI2555" s="6"/>
      <c r="CJ2555" s="6"/>
      <c r="CK2555" s="6"/>
      <c r="CL2555" s="6"/>
      <c r="CM2555" s="6"/>
      <c r="CN2555" s="6"/>
      <c r="CO2555" s="6"/>
      <c r="CP2555" s="6"/>
      <c r="CQ2555" s="6"/>
      <c r="CR2555" s="6"/>
      <c r="CS2555" s="6"/>
      <c r="CT2555" s="6"/>
      <c r="CU2555" s="6"/>
      <c r="CV2555" s="6"/>
      <c r="CW2555" s="6"/>
      <c r="CX2555" s="6"/>
      <c r="CY2555" s="6"/>
      <c r="CZ2555" s="6"/>
      <c r="DA2555" s="6"/>
      <c r="DB2555" s="6"/>
      <c r="DC2555" s="6"/>
      <c r="DD2555" s="6"/>
    </row>
    <row r="2556" spans="1:108" ht="12.75" hidden="1" customHeight="1" outlineLevel="7">
      <c r="A2556" s="104" t="s">
        <v>114</v>
      </c>
      <c r="B2556" s="28">
        <f t="shared" si="142"/>
        <v>0</v>
      </c>
      <c r="C2556" s="11"/>
      <c r="D2556" s="18" t="str">
        <f>"&lt;" &amp; A2556 &amp; "&gt;" &amp; TEXT(B2556,0) &amp; "&lt;/" &amp; A2556 &amp; "&gt;"</f>
        <v>&lt;Flap_Flag&gt;0&lt;/Flap_Flag&gt;</v>
      </c>
      <c r="F2556" s="6"/>
      <c r="G2556" s="6"/>
      <c r="H2556" s="6"/>
      <c r="I2556" s="6"/>
      <c r="J2556" s="6"/>
      <c r="K2556" s="6"/>
      <c r="L2556" s="6"/>
      <c r="M2556" s="6"/>
      <c r="N2556" s="6"/>
      <c r="O2556" s="6"/>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c r="BU2556" s="6"/>
      <c r="BV2556" s="6"/>
      <c r="BW2556" s="6"/>
      <c r="BX2556" s="6"/>
      <c r="BY2556" s="6"/>
      <c r="BZ2556" s="6"/>
      <c r="CA2556" s="6"/>
      <c r="CB2556" s="6"/>
      <c r="CC2556" s="6"/>
      <c r="CD2556" s="6"/>
      <c r="CE2556" s="6"/>
      <c r="CF2556" s="6"/>
      <c r="CG2556" s="6"/>
      <c r="CH2556" s="6"/>
      <c r="CI2556" s="6"/>
      <c r="CJ2556" s="6"/>
      <c r="CK2556" s="6"/>
      <c r="CL2556" s="6"/>
      <c r="CM2556" s="6"/>
      <c r="CN2556" s="6"/>
      <c r="CO2556" s="6"/>
      <c r="CP2556" s="6"/>
      <c r="CQ2556" s="6"/>
      <c r="CR2556" s="6"/>
      <c r="CS2556" s="6"/>
      <c r="CT2556" s="6"/>
      <c r="CU2556" s="6"/>
      <c r="CV2556" s="6"/>
      <c r="CW2556" s="6"/>
      <c r="CX2556" s="6"/>
      <c r="CY2556" s="6"/>
      <c r="CZ2556" s="6"/>
      <c r="DA2556" s="6"/>
      <c r="DB2556" s="6"/>
      <c r="DC2556" s="6"/>
      <c r="DD2556" s="6"/>
    </row>
    <row r="2557" spans="1:108" ht="12.75" hidden="1" customHeight="1" outlineLevel="7">
      <c r="A2557" s="104" t="s">
        <v>115</v>
      </c>
      <c r="B2557" s="28">
        <f t="shared" si="142"/>
        <v>0</v>
      </c>
      <c r="C2557" s="11"/>
      <c r="D2557" s="18" t="str">
        <f>"&lt;" &amp; A2557 &amp; "&gt;" &amp; TEXT(B2557,0) &amp; "&lt;/" &amp; A2557 &amp; "&gt;"</f>
        <v>&lt;Flap_Shear_Flag&gt;0&lt;/Flap_Shear_Flag&gt;</v>
      </c>
      <c r="F2557" s="6"/>
      <c r="G2557" s="6"/>
      <c r="H2557" s="6"/>
      <c r="I2557" s="6"/>
      <c r="J2557" s="6"/>
      <c r="K2557" s="6"/>
      <c r="L2557" s="6"/>
      <c r="M2557" s="6"/>
      <c r="N2557" s="6"/>
      <c r="O2557" s="6"/>
      <c r="P2557" s="6"/>
      <c r="Q2557" s="6"/>
      <c r="R2557" s="6"/>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c r="BU2557" s="6"/>
      <c r="BV2557" s="6"/>
      <c r="BW2557" s="6"/>
      <c r="BX2557" s="6"/>
      <c r="BY2557" s="6"/>
      <c r="BZ2557" s="6"/>
      <c r="CA2557" s="6"/>
      <c r="CB2557" s="6"/>
      <c r="CC2557" s="6"/>
      <c r="CD2557" s="6"/>
      <c r="CE2557" s="6"/>
      <c r="CF2557" s="6"/>
      <c r="CG2557" s="6"/>
      <c r="CH2557" s="6"/>
      <c r="CI2557" s="6"/>
      <c r="CJ2557" s="6"/>
      <c r="CK2557" s="6"/>
      <c r="CL2557" s="6"/>
      <c r="CM2557" s="6"/>
      <c r="CN2557" s="6"/>
      <c r="CO2557" s="6"/>
      <c r="CP2557" s="6"/>
      <c r="CQ2557" s="6"/>
      <c r="CR2557" s="6"/>
      <c r="CS2557" s="6"/>
      <c r="CT2557" s="6"/>
      <c r="CU2557" s="6"/>
      <c r="CV2557" s="6"/>
      <c r="CW2557" s="6"/>
      <c r="CX2557" s="6"/>
      <c r="CY2557" s="6"/>
      <c r="CZ2557" s="6"/>
      <c r="DA2557" s="6"/>
      <c r="DB2557" s="6"/>
      <c r="DC2557" s="6"/>
      <c r="DD2557" s="6"/>
    </row>
    <row r="2558" spans="1:108" ht="12.75" hidden="1" customHeight="1" outlineLevel="7">
      <c r="A2558" s="104" t="s">
        <v>116</v>
      </c>
      <c r="B2558" s="28">
        <f t="shared" si="142"/>
        <v>0.25</v>
      </c>
      <c r="C2558" s="11"/>
      <c r="D2558" s="18" t="str">
        <f>"&lt;" &amp; A2558 &amp; "&gt;" &amp; TEXT(B2558,"0.000000") &amp; "&lt;/" &amp; A2558 &amp; "&gt;"</f>
        <v>&lt;Flap_Chord&gt;0.250000&lt;/Flap_Chord&gt;</v>
      </c>
      <c r="F2558" s="6"/>
      <c r="G2558" s="6"/>
      <c r="H2558" s="6"/>
      <c r="I2558" s="6"/>
      <c r="J2558" s="6"/>
      <c r="K2558" s="6"/>
      <c r="L2558" s="6"/>
      <c r="M2558" s="6"/>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c r="BU2558" s="6"/>
      <c r="BV2558" s="6"/>
      <c r="BW2558" s="6"/>
      <c r="BX2558" s="6"/>
      <c r="BY2558" s="6"/>
      <c r="BZ2558" s="6"/>
      <c r="CA2558" s="6"/>
      <c r="CB2558" s="6"/>
      <c r="CC2558" s="6"/>
      <c r="CD2558" s="6"/>
      <c r="CE2558" s="6"/>
      <c r="CF2558" s="6"/>
      <c r="CG2558" s="6"/>
      <c r="CH2558" s="6"/>
      <c r="CI2558" s="6"/>
      <c r="CJ2558" s="6"/>
      <c r="CK2558" s="6"/>
      <c r="CL2558" s="6"/>
      <c r="CM2558" s="6"/>
      <c r="CN2558" s="6"/>
      <c r="CO2558" s="6"/>
      <c r="CP2558" s="6"/>
      <c r="CQ2558" s="6"/>
      <c r="CR2558" s="6"/>
      <c r="CS2558" s="6"/>
      <c r="CT2558" s="6"/>
      <c r="CU2558" s="6"/>
      <c r="CV2558" s="6"/>
      <c r="CW2558" s="6"/>
      <c r="CX2558" s="6"/>
      <c r="CY2558" s="6"/>
      <c r="CZ2558" s="6"/>
      <c r="DA2558" s="6"/>
      <c r="DB2558" s="6"/>
      <c r="DC2558" s="6"/>
      <c r="DD2558" s="6"/>
    </row>
    <row r="2559" spans="1:108" ht="12.75" hidden="1" customHeight="1" outlineLevel="7">
      <c r="A2559" s="104" t="s">
        <v>117</v>
      </c>
      <c r="B2559" s="28">
        <f t="shared" si="142"/>
        <v>10</v>
      </c>
      <c r="C2559" s="11"/>
      <c r="D2559" s="18" t="str">
        <f>"&lt;" &amp; A2559 &amp; "&gt;" &amp; TEXT(B2559,"0.000000") &amp; "&lt;/" &amp; A2559 &amp; "&gt;"</f>
        <v>&lt;Flap_Angle&gt;10.000000&lt;/Flap_Angle&gt;</v>
      </c>
      <c r="F2559" s="6"/>
      <c r="G2559" s="6"/>
      <c r="H2559" s="6"/>
      <c r="I2559" s="6"/>
      <c r="J2559" s="6"/>
      <c r="K2559" s="6"/>
      <c r="L2559" s="6"/>
      <c r="M2559" s="6"/>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c r="BU2559" s="6"/>
      <c r="BV2559" s="6"/>
      <c r="BW2559" s="6"/>
      <c r="BX2559" s="6"/>
      <c r="BY2559" s="6"/>
      <c r="BZ2559" s="6"/>
      <c r="CA2559" s="6"/>
      <c r="CB2559" s="6"/>
      <c r="CC2559" s="6"/>
      <c r="CD2559" s="6"/>
      <c r="CE2559" s="6"/>
      <c r="CF2559" s="6"/>
      <c r="CG2559" s="6"/>
      <c r="CH2559" s="6"/>
      <c r="CI2559" s="6"/>
      <c r="CJ2559" s="6"/>
      <c r="CK2559" s="6"/>
      <c r="CL2559" s="6"/>
      <c r="CM2559" s="6"/>
      <c r="CN2559" s="6"/>
      <c r="CO2559" s="6"/>
      <c r="CP2559" s="6"/>
      <c r="CQ2559" s="6"/>
      <c r="CR2559" s="6"/>
      <c r="CS2559" s="6"/>
      <c r="CT2559" s="6"/>
      <c r="CU2559" s="6"/>
      <c r="CV2559" s="6"/>
      <c r="CW2559" s="6"/>
      <c r="CX2559" s="6"/>
      <c r="CY2559" s="6"/>
      <c r="CZ2559" s="6"/>
      <c r="DA2559" s="6"/>
      <c r="DB2559" s="6"/>
      <c r="DC2559" s="6"/>
      <c r="DD2559" s="6"/>
    </row>
    <row r="2560" spans="1:108" ht="12.75" hidden="1" customHeight="1" outlineLevel="7">
      <c r="A2560" s="104" t="s">
        <v>118</v>
      </c>
      <c r="B2560" s="100"/>
      <c r="C2560" s="11"/>
      <c r="D2560" s="6" t="str">
        <f>"&lt;" &amp; A2560 &amp; "&gt;"</f>
        <v>&lt;/Airfoil&gt;</v>
      </c>
      <c r="F2560" s="6"/>
      <c r="G2560" s="6"/>
      <c r="H2560" s="6"/>
      <c r="I2560" s="6"/>
      <c r="J2560" s="6"/>
      <c r="K2560" s="6"/>
      <c r="L2560" s="6"/>
      <c r="M2560" s="6"/>
      <c r="N2560" s="6"/>
      <c r="O2560" s="6"/>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c r="BU2560" s="6"/>
      <c r="BV2560" s="6"/>
      <c r="BW2560" s="6"/>
      <c r="BX2560" s="6"/>
      <c r="BY2560" s="6"/>
      <c r="BZ2560" s="6"/>
      <c r="CA2560" s="6"/>
      <c r="CB2560" s="6"/>
      <c r="CC2560" s="6"/>
      <c r="CD2560" s="6"/>
      <c r="CE2560" s="6"/>
      <c r="CF2560" s="6"/>
      <c r="CG2560" s="6"/>
      <c r="CH2560" s="6"/>
      <c r="CI2560" s="6"/>
      <c r="CJ2560" s="6"/>
      <c r="CK2560" s="6"/>
      <c r="CL2560" s="6"/>
      <c r="CM2560" s="6"/>
      <c r="CN2560" s="6"/>
      <c r="CO2560" s="6"/>
      <c r="CP2560" s="6"/>
      <c r="CQ2560" s="6"/>
      <c r="CR2560" s="6"/>
      <c r="CS2560" s="6"/>
      <c r="CT2560" s="6"/>
      <c r="CU2560" s="6"/>
      <c r="CV2560" s="6"/>
      <c r="CW2560" s="6"/>
      <c r="CX2560" s="6"/>
      <c r="CY2560" s="6"/>
      <c r="CZ2560" s="6"/>
      <c r="DA2560" s="6"/>
      <c r="DB2560" s="6"/>
      <c r="DC2560" s="6"/>
      <c r="DD2560" s="6"/>
    </row>
    <row r="2561" spans="1:108" ht="12.75" hidden="1" customHeight="1" outlineLevel="6">
      <c r="A2561" s="104" t="s">
        <v>308</v>
      </c>
      <c r="B2561" s="100"/>
      <c r="C2561" s="11"/>
      <c r="D2561" s="6" t="str">
        <f>"&lt;" &amp; A2561 &amp; "&gt;"</f>
        <v>&lt;/Sect_Parms&gt;</v>
      </c>
      <c r="F2561" s="6"/>
      <c r="G2561" s="6"/>
      <c r="H2561" s="6"/>
      <c r="I2561" s="6"/>
      <c r="J2561" s="6"/>
      <c r="K2561" s="6"/>
      <c r="L2561" s="6"/>
      <c r="M2561" s="6"/>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c r="BU2561" s="6"/>
      <c r="BV2561" s="6"/>
      <c r="BW2561" s="6"/>
      <c r="BX2561" s="6"/>
      <c r="BY2561" s="6"/>
      <c r="BZ2561" s="6"/>
      <c r="CA2561" s="6"/>
      <c r="CB2561" s="6"/>
      <c r="CC2561" s="6"/>
      <c r="CD2561" s="6"/>
      <c r="CE2561" s="6"/>
      <c r="CF2561" s="6"/>
      <c r="CG2561" s="6"/>
      <c r="CH2561" s="6"/>
      <c r="CI2561" s="6"/>
      <c r="CJ2561" s="6"/>
      <c r="CK2561" s="6"/>
      <c r="CL2561" s="6"/>
      <c r="CM2561" s="6"/>
      <c r="CN2561" s="6"/>
      <c r="CO2561" s="6"/>
      <c r="CP2561" s="6"/>
      <c r="CQ2561" s="6"/>
      <c r="CR2561" s="6"/>
      <c r="CS2561" s="6"/>
      <c r="CT2561" s="6"/>
      <c r="CU2561" s="6"/>
      <c r="CV2561" s="6"/>
      <c r="CW2561" s="6"/>
      <c r="CX2561" s="6"/>
      <c r="CY2561" s="6"/>
      <c r="CZ2561" s="6"/>
      <c r="DA2561" s="6"/>
      <c r="DB2561" s="6"/>
      <c r="DC2561" s="6"/>
      <c r="DD2561" s="6"/>
    </row>
    <row r="2562" spans="1:108" ht="12.75" hidden="1" customHeight="1" outlineLevel="5">
      <c r="A2562" s="104" t="s">
        <v>305</v>
      </c>
      <c r="B2562" s="110" t="s">
        <v>402</v>
      </c>
      <c r="C2562" s="11"/>
      <c r="D2562" s="6" t="str">
        <f>"&lt;" &amp; A2562 &amp; "&gt;"</f>
        <v>&lt;Sect_Parms&gt;</v>
      </c>
      <c r="F2562" s="6"/>
      <c r="G2562" s="6"/>
      <c r="H2562" s="6"/>
      <c r="I2562" s="6"/>
      <c r="J2562" s="6"/>
      <c r="K2562" s="6"/>
      <c r="L2562" s="6"/>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c r="BU2562" s="6"/>
      <c r="BV2562" s="6"/>
      <c r="BW2562" s="6"/>
      <c r="BX2562" s="6"/>
      <c r="BY2562" s="6"/>
      <c r="BZ2562" s="6"/>
      <c r="CA2562" s="6"/>
      <c r="CB2562" s="6"/>
      <c r="CC2562" s="6"/>
      <c r="CD2562" s="6"/>
      <c r="CE2562" s="6"/>
      <c r="CF2562" s="6"/>
      <c r="CG2562" s="6"/>
      <c r="CH2562" s="6"/>
      <c r="CI2562" s="6"/>
      <c r="CJ2562" s="6"/>
      <c r="CK2562" s="6"/>
      <c r="CL2562" s="6"/>
      <c r="CM2562" s="6"/>
      <c r="CN2562" s="6"/>
      <c r="CO2562" s="6"/>
      <c r="CP2562" s="6"/>
      <c r="CQ2562" s="6"/>
      <c r="CR2562" s="6"/>
      <c r="CS2562" s="6"/>
      <c r="CT2562" s="6"/>
      <c r="CU2562" s="6"/>
      <c r="CV2562" s="6"/>
      <c r="CW2562" s="6"/>
      <c r="CX2562" s="6"/>
      <c r="CY2562" s="6"/>
      <c r="CZ2562" s="6"/>
      <c r="DA2562" s="6"/>
      <c r="DB2562" s="6"/>
      <c r="DC2562" s="6"/>
      <c r="DD2562" s="6"/>
    </row>
    <row r="2563" spans="1:108" ht="12.75" hidden="1" customHeight="1" outlineLevel="6">
      <c r="A2563" s="104" t="s">
        <v>306</v>
      </c>
      <c r="B2563" s="28">
        <f t="shared" ref="B2563:B2586" si="144">B2030</f>
        <v>1</v>
      </c>
      <c r="C2563" s="11"/>
      <c r="D2563" s="18" t="str">
        <f>"&lt;" &amp; A2563 &amp; "&gt;" &amp; TEXT(B2563,"0.000000") &amp; "&lt;/" &amp; A2563 &amp; "&gt;"</f>
        <v>&lt;X_Off&gt;1.000000&lt;/X_Off&gt;</v>
      </c>
      <c r="F2563" s="6"/>
      <c r="G2563" s="6"/>
      <c r="H2563" s="6"/>
      <c r="I2563" s="6"/>
      <c r="J2563" s="6"/>
      <c r="K2563" s="6"/>
      <c r="L2563" s="6"/>
      <c r="M2563" s="6"/>
      <c r="N2563" s="6"/>
      <c r="O2563" s="6"/>
      <c r="P2563" s="6"/>
      <c r="Q2563" s="6"/>
      <c r="R2563" s="6"/>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c r="BU2563" s="6"/>
      <c r="BV2563" s="6"/>
      <c r="BW2563" s="6"/>
      <c r="BX2563" s="6"/>
      <c r="BY2563" s="6"/>
      <c r="BZ2563" s="6"/>
      <c r="CA2563" s="6"/>
      <c r="CB2563" s="6"/>
      <c r="CC2563" s="6"/>
      <c r="CD2563" s="6"/>
      <c r="CE2563" s="6"/>
      <c r="CF2563" s="6"/>
      <c r="CG2563" s="6"/>
      <c r="CH2563" s="6"/>
      <c r="CI2563" s="6"/>
      <c r="CJ2563" s="6"/>
      <c r="CK2563" s="6"/>
      <c r="CL2563" s="6"/>
      <c r="CM2563" s="6"/>
      <c r="CN2563" s="6"/>
      <c r="CO2563" s="6"/>
      <c r="CP2563" s="6"/>
      <c r="CQ2563" s="6"/>
      <c r="CR2563" s="6"/>
      <c r="CS2563" s="6"/>
      <c r="CT2563" s="6"/>
      <c r="CU2563" s="6"/>
      <c r="CV2563" s="6"/>
      <c r="CW2563" s="6"/>
      <c r="CX2563" s="6"/>
      <c r="CY2563" s="6"/>
      <c r="CZ2563" s="6"/>
      <c r="DA2563" s="6"/>
      <c r="DB2563" s="6"/>
      <c r="DC2563" s="6"/>
      <c r="DD2563" s="6"/>
    </row>
    <row r="2564" spans="1:108" ht="12.75" hidden="1" customHeight="1" outlineLevel="6">
      <c r="A2564" s="104" t="s">
        <v>307</v>
      </c>
      <c r="B2564" s="28">
        <f t="shared" si="144"/>
        <v>0</v>
      </c>
      <c r="C2564" s="11"/>
      <c r="D2564" s="18" t="str">
        <f>"&lt;" &amp; A2564 &amp; "&gt;" &amp; TEXT(B2564,"0.000000") &amp; "&lt;/" &amp; A2564 &amp; "&gt;"</f>
        <v>&lt;Y_Off&gt;0.000000&lt;/Y_Off&gt;</v>
      </c>
      <c r="F2564" s="6"/>
      <c r="G2564" s="6"/>
      <c r="H2564" s="6"/>
      <c r="I2564" s="6"/>
      <c r="J2564" s="6"/>
      <c r="K2564" s="6"/>
      <c r="L2564" s="6"/>
      <c r="M2564" s="6"/>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c r="BU2564" s="6"/>
      <c r="BV2564" s="6"/>
      <c r="BW2564" s="6"/>
      <c r="BX2564" s="6"/>
      <c r="BY2564" s="6"/>
      <c r="BZ2564" s="6"/>
      <c r="CA2564" s="6"/>
      <c r="CB2564" s="6"/>
      <c r="CC2564" s="6"/>
      <c r="CD2564" s="6"/>
      <c r="CE2564" s="6"/>
      <c r="CF2564" s="6"/>
      <c r="CG2564" s="6"/>
      <c r="CH2564" s="6"/>
      <c r="CI2564" s="6"/>
      <c r="CJ2564" s="6"/>
      <c r="CK2564" s="6"/>
      <c r="CL2564" s="6"/>
      <c r="CM2564" s="6"/>
      <c r="CN2564" s="6"/>
      <c r="CO2564" s="6"/>
      <c r="CP2564" s="6"/>
      <c r="CQ2564" s="6"/>
      <c r="CR2564" s="6"/>
      <c r="CS2564" s="6"/>
      <c r="CT2564" s="6"/>
      <c r="CU2564" s="6"/>
      <c r="CV2564" s="6"/>
      <c r="CW2564" s="6"/>
      <c r="CX2564" s="6"/>
      <c r="CY2564" s="6"/>
      <c r="CZ2564" s="6"/>
      <c r="DA2564" s="6"/>
      <c r="DB2564" s="6"/>
      <c r="DC2564" s="6"/>
      <c r="DD2564" s="6"/>
    </row>
    <row r="2565" spans="1:108" ht="12.75" hidden="1" customHeight="1" outlineLevel="6">
      <c r="A2565" s="104" t="s">
        <v>287</v>
      </c>
      <c r="B2565" s="28">
        <f t="shared" si="144"/>
        <v>0.02</v>
      </c>
      <c r="C2565" s="11"/>
      <c r="D2565" s="18" t="str">
        <f>"&lt;" &amp; A2565 &amp; "&gt;" &amp; TEXT(B2565,"0.000000") &amp; "&lt;/" &amp; A2565 &amp; "&gt;"</f>
        <v>&lt;Chord&gt;0.020000&lt;/Chord&gt;</v>
      </c>
      <c r="F2565" s="6"/>
      <c r="G2565" s="6"/>
      <c r="H2565" s="6"/>
      <c r="I2565" s="6"/>
      <c r="J2565" s="6"/>
      <c r="K2565" s="6"/>
      <c r="L2565" s="6"/>
      <c r="M2565" s="6"/>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c r="BU2565" s="6"/>
      <c r="BV2565" s="6"/>
      <c r="BW2565" s="6"/>
      <c r="BX2565" s="6"/>
      <c r="BY2565" s="6"/>
      <c r="BZ2565" s="6"/>
      <c r="CA2565" s="6"/>
      <c r="CB2565" s="6"/>
      <c r="CC2565" s="6"/>
      <c r="CD2565" s="6"/>
      <c r="CE2565" s="6"/>
      <c r="CF2565" s="6"/>
      <c r="CG2565" s="6"/>
      <c r="CH2565" s="6"/>
      <c r="CI2565" s="6"/>
      <c r="CJ2565" s="6"/>
      <c r="CK2565" s="6"/>
      <c r="CL2565" s="6"/>
      <c r="CM2565" s="6"/>
      <c r="CN2565" s="6"/>
      <c r="CO2565" s="6"/>
      <c r="CP2565" s="6"/>
      <c r="CQ2565" s="6"/>
      <c r="CR2565" s="6"/>
      <c r="CS2565" s="6"/>
      <c r="CT2565" s="6"/>
      <c r="CU2565" s="6"/>
      <c r="CV2565" s="6"/>
      <c r="CW2565" s="6"/>
      <c r="CX2565" s="6"/>
      <c r="CY2565" s="6"/>
      <c r="CZ2565" s="6"/>
      <c r="DA2565" s="6"/>
      <c r="DB2565" s="6"/>
      <c r="DC2565" s="6"/>
      <c r="DD2565" s="6"/>
    </row>
    <row r="2566" spans="1:108" ht="12.75" hidden="1" customHeight="1" outlineLevel="6">
      <c r="A2566" s="104" t="s">
        <v>9</v>
      </c>
      <c r="B2566" s="28">
        <f t="shared" si="144"/>
        <v>2</v>
      </c>
      <c r="C2566" s="11"/>
      <c r="D2566" s="18" t="str">
        <f>"&lt;" &amp; A2566 &amp; "&gt;" &amp; TEXT(B2566,"0.000000") &amp; "&lt;/" &amp; A2566 &amp; "&gt;"</f>
        <v>&lt;Twist&gt;2.000000&lt;/Twist&gt;</v>
      </c>
      <c r="F2566" s="6"/>
      <c r="G2566" s="6"/>
      <c r="H2566" s="6"/>
      <c r="I2566" s="6"/>
      <c r="J2566" s="6"/>
      <c r="K2566" s="6"/>
      <c r="L2566" s="6"/>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c r="BU2566" s="6"/>
      <c r="BV2566" s="6"/>
      <c r="BW2566" s="6"/>
      <c r="BX2566" s="6"/>
      <c r="BY2566" s="6"/>
      <c r="BZ2566" s="6"/>
      <c r="CA2566" s="6"/>
      <c r="CB2566" s="6"/>
      <c r="CC2566" s="6"/>
      <c r="CD2566" s="6"/>
      <c r="CE2566" s="6"/>
      <c r="CF2566" s="6"/>
      <c r="CG2566" s="6"/>
      <c r="CH2566" s="6"/>
      <c r="CI2566" s="6"/>
      <c r="CJ2566" s="6"/>
      <c r="CK2566" s="6"/>
      <c r="CL2566" s="6"/>
      <c r="CM2566" s="6"/>
      <c r="CN2566" s="6"/>
      <c r="CO2566" s="6"/>
      <c r="CP2566" s="6"/>
      <c r="CQ2566" s="6"/>
      <c r="CR2566" s="6"/>
      <c r="CS2566" s="6"/>
      <c r="CT2566" s="6"/>
      <c r="CU2566" s="6"/>
      <c r="CV2566" s="6"/>
      <c r="CW2566" s="6"/>
      <c r="CX2566" s="6"/>
      <c r="CY2566" s="6"/>
      <c r="CZ2566" s="6"/>
      <c r="DA2566" s="6"/>
      <c r="DB2566" s="6"/>
      <c r="DC2566" s="6"/>
      <c r="DD2566" s="6"/>
    </row>
    <row r="2567" spans="1:108" ht="12.75" hidden="1" customHeight="1" outlineLevel="6">
      <c r="A2567" s="104" t="s">
        <v>2</v>
      </c>
      <c r="B2567" s="100">
        <f t="shared" si="144"/>
        <v>0</v>
      </c>
      <c r="C2567" s="11"/>
      <c r="D2567" s="6" t="str">
        <f>"&lt;" &amp; A2567 &amp; "&gt;"</f>
        <v>&lt;Airfoil&gt;</v>
      </c>
      <c r="F2567" s="6"/>
      <c r="G2567" s="6"/>
      <c r="H2567" s="6"/>
      <c r="I2567" s="6"/>
      <c r="J2567" s="6"/>
      <c r="K2567" s="6"/>
      <c r="L2567" s="6"/>
      <c r="M2567" s="6"/>
      <c r="N2567" s="6"/>
      <c r="O2567" s="6"/>
      <c r="P2567" s="6"/>
      <c r="Q2567" s="6"/>
      <c r="R2567" s="6"/>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c r="BU2567" s="6"/>
      <c r="BV2567" s="6"/>
      <c r="BW2567" s="6"/>
      <c r="BX2567" s="6"/>
      <c r="BY2567" s="6"/>
      <c r="BZ2567" s="6"/>
      <c r="CA2567" s="6"/>
      <c r="CB2567" s="6"/>
      <c r="CC2567" s="6"/>
      <c r="CD2567" s="6"/>
      <c r="CE2567" s="6"/>
      <c r="CF2567" s="6"/>
      <c r="CG2567" s="6"/>
      <c r="CH2567" s="6"/>
      <c r="CI2567" s="6"/>
      <c r="CJ2567" s="6"/>
      <c r="CK2567" s="6"/>
      <c r="CL2567" s="6"/>
      <c r="CM2567" s="6"/>
      <c r="CN2567" s="6"/>
      <c r="CO2567" s="6"/>
      <c r="CP2567" s="6"/>
      <c r="CQ2567" s="6"/>
      <c r="CR2567" s="6"/>
      <c r="CS2567" s="6"/>
      <c r="CT2567" s="6"/>
      <c r="CU2567" s="6"/>
      <c r="CV2567" s="6"/>
      <c r="CW2567" s="6"/>
      <c r="CX2567" s="6"/>
      <c r="CY2567" s="6"/>
      <c r="CZ2567" s="6"/>
      <c r="DA2567" s="6"/>
      <c r="DB2567" s="6"/>
      <c r="DC2567" s="6"/>
      <c r="DD2567" s="6"/>
    </row>
    <row r="2568" spans="1:108" ht="12.75" hidden="1" customHeight="1" outlineLevel="7">
      <c r="A2568" s="104" t="s">
        <v>14</v>
      </c>
      <c r="B2568" s="28">
        <f t="shared" si="144"/>
        <v>1</v>
      </c>
      <c r="C2568" s="11"/>
      <c r="D2568" s="18" t="str">
        <f>"&lt;" &amp; A2568 &amp; "&gt;" &amp; TEXT(B2568,0) &amp; "&lt;/" &amp; A2568 &amp; "&gt;"</f>
        <v>&lt;Type&gt;1&lt;/Type&gt;</v>
      </c>
      <c r="F2568" s="6"/>
      <c r="G2568" s="6"/>
      <c r="H2568" s="6"/>
      <c r="I2568" s="6"/>
      <c r="J2568" s="6"/>
      <c r="K2568" s="6"/>
      <c r="L2568" s="6"/>
      <c r="M2568" s="6"/>
      <c r="N2568" s="6"/>
      <c r="O2568" s="6"/>
      <c r="P2568" s="6"/>
      <c r="Q2568" s="6"/>
      <c r="R2568" s="6"/>
      <c r="S2568" s="6"/>
      <c r="T2568" s="6"/>
      <c r="U2568" s="6"/>
      <c r="V2568" s="6"/>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c r="BU2568" s="6"/>
      <c r="BV2568" s="6"/>
      <c r="BW2568" s="6"/>
      <c r="BX2568" s="6"/>
      <c r="BY2568" s="6"/>
      <c r="BZ2568" s="6"/>
      <c r="CA2568" s="6"/>
      <c r="CB2568" s="6"/>
      <c r="CC2568" s="6"/>
      <c r="CD2568" s="6"/>
      <c r="CE2568" s="6"/>
      <c r="CF2568" s="6"/>
      <c r="CG2568" s="6"/>
      <c r="CH2568" s="6"/>
      <c r="CI2568" s="6"/>
      <c r="CJ2568" s="6"/>
      <c r="CK2568" s="6"/>
      <c r="CL2568" s="6"/>
      <c r="CM2568" s="6"/>
      <c r="CN2568" s="6"/>
      <c r="CO2568" s="6"/>
      <c r="CP2568" s="6"/>
      <c r="CQ2568" s="6"/>
      <c r="CR2568" s="6"/>
      <c r="CS2568" s="6"/>
      <c r="CT2568" s="6"/>
      <c r="CU2568" s="6"/>
      <c r="CV2568" s="6"/>
      <c r="CW2568" s="6"/>
      <c r="CX2568" s="6"/>
      <c r="CY2568" s="6"/>
      <c r="CZ2568" s="6"/>
      <c r="DA2568" s="6"/>
      <c r="DB2568" s="6"/>
      <c r="DC2568" s="6"/>
      <c r="DD2568" s="6"/>
    </row>
    <row r="2569" spans="1:108" ht="12.75" hidden="1" customHeight="1" outlineLevel="7">
      <c r="A2569" s="104" t="s">
        <v>102</v>
      </c>
      <c r="B2569" s="28">
        <f t="shared" si="144"/>
        <v>0</v>
      </c>
      <c r="C2569" s="11"/>
      <c r="D2569" s="18" t="str">
        <f>"&lt;" &amp; A2569 &amp; "&gt;" &amp; TEXT(B2569,0) &amp; "&lt;/" &amp; A2569 &amp; "&gt;"</f>
        <v>&lt;Inverted_Flag&gt;0&lt;/Inverted_Flag&gt;</v>
      </c>
      <c r="F2569" s="6"/>
      <c r="G2569" s="6"/>
      <c r="H2569" s="6"/>
      <c r="I2569" s="6"/>
      <c r="J2569" s="6"/>
      <c r="K2569" s="6"/>
      <c r="L2569" s="6"/>
      <c r="M2569" s="6"/>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c r="BU2569" s="6"/>
      <c r="BV2569" s="6"/>
      <c r="BW2569" s="6"/>
      <c r="BX2569" s="6"/>
      <c r="BY2569" s="6"/>
      <c r="BZ2569" s="6"/>
      <c r="CA2569" s="6"/>
      <c r="CB2569" s="6"/>
      <c r="CC2569" s="6"/>
      <c r="CD2569" s="6"/>
      <c r="CE2569" s="6"/>
      <c r="CF2569" s="6"/>
      <c r="CG2569" s="6"/>
      <c r="CH2569" s="6"/>
      <c r="CI2569" s="6"/>
      <c r="CJ2569" s="6"/>
      <c r="CK2569" s="6"/>
      <c r="CL2569" s="6"/>
      <c r="CM2569" s="6"/>
      <c r="CN2569" s="6"/>
      <c r="CO2569" s="6"/>
      <c r="CP2569" s="6"/>
      <c r="CQ2569" s="6"/>
      <c r="CR2569" s="6"/>
      <c r="CS2569" s="6"/>
      <c r="CT2569" s="6"/>
      <c r="CU2569" s="6"/>
      <c r="CV2569" s="6"/>
      <c r="CW2569" s="6"/>
      <c r="CX2569" s="6"/>
      <c r="CY2569" s="6"/>
      <c r="CZ2569" s="6"/>
      <c r="DA2569" s="6"/>
      <c r="DB2569" s="6"/>
      <c r="DC2569" s="6"/>
      <c r="DD2569" s="6"/>
    </row>
    <row r="2570" spans="1:108" ht="12.75" hidden="1" customHeight="1" outlineLevel="7">
      <c r="A2570" s="104" t="s">
        <v>4</v>
      </c>
      <c r="B2570" s="28">
        <f t="shared" si="144"/>
        <v>0</v>
      </c>
      <c r="C2570" s="11"/>
      <c r="D2570" s="18" t="str">
        <f t="shared" ref="D2570:D2575" si="145">"&lt;" &amp; A2570 &amp; "&gt;" &amp; TEXT(B2570,"0.000000") &amp; "&lt;/" &amp; A2570 &amp; "&gt;"</f>
        <v>&lt;Camber&gt;0.000000&lt;/Camber&gt;</v>
      </c>
      <c r="F2570" s="6"/>
      <c r="G2570" s="6"/>
      <c r="H2570" s="6"/>
      <c r="I2570" s="6"/>
      <c r="J2570" s="6"/>
      <c r="K2570" s="6"/>
      <c r="L2570" s="6"/>
      <c r="M2570" s="6"/>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c r="BU2570" s="6"/>
      <c r="BV2570" s="6"/>
      <c r="BW2570" s="6"/>
      <c r="BX2570" s="6"/>
      <c r="BY2570" s="6"/>
      <c r="BZ2570" s="6"/>
      <c r="CA2570" s="6"/>
      <c r="CB2570" s="6"/>
      <c r="CC2570" s="6"/>
      <c r="CD2570" s="6"/>
      <c r="CE2570" s="6"/>
      <c r="CF2570" s="6"/>
      <c r="CG2570" s="6"/>
      <c r="CH2570" s="6"/>
      <c r="CI2570" s="6"/>
      <c r="CJ2570" s="6"/>
      <c r="CK2570" s="6"/>
      <c r="CL2570" s="6"/>
      <c r="CM2570" s="6"/>
      <c r="CN2570" s="6"/>
      <c r="CO2570" s="6"/>
      <c r="CP2570" s="6"/>
      <c r="CQ2570" s="6"/>
      <c r="CR2570" s="6"/>
      <c r="CS2570" s="6"/>
      <c r="CT2570" s="6"/>
      <c r="CU2570" s="6"/>
      <c r="CV2570" s="6"/>
      <c r="CW2570" s="6"/>
      <c r="CX2570" s="6"/>
      <c r="CY2570" s="6"/>
      <c r="CZ2570" s="6"/>
      <c r="DA2570" s="6"/>
      <c r="DB2570" s="6"/>
      <c r="DC2570" s="6"/>
      <c r="DD2570" s="6"/>
    </row>
    <row r="2571" spans="1:108" ht="12.75" hidden="1" customHeight="1" outlineLevel="7">
      <c r="A2571" s="104" t="s">
        <v>103</v>
      </c>
      <c r="B2571" s="28">
        <f t="shared" si="144"/>
        <v>0.5</v>
      </c>
      <c r="C2571" s="11"/>
      <c r="D2571" s="18" t="str">
        <f t="shared" si="145"/>
        <v>&lt;Camber_Loc&gt;0.500000&lt;/Camber_Loc&gt;</v>
      </c>
      <c r="F2571" s="6"/>
      <c r="G2571" s="6"/>
      <c r="H2571" s="6"/>
      <c r="I2571" s="6"/>
      <c r="J2571" s="6"/>
      <c r="K2571" s="6"/>
      <c r="L2571" s="6"/>
      <c r="M2571" s="6"/>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c r="BU2571" s="6"/>
      <c r="BV2571" s="6"/>
      <c r="BW2571" s="6"/>
      <c r="BX2571" s="6"/>
      <c r="BY2571" s="6"/>
      <c r="BZ2571" s="6"/>
      <c r="CA2571" s="6"/>
      <c r="CB2571" s="6"/>
      <c r="CC2571" s="6"/>
      <c r="CD2571" s="6"/>
      <c r="CE2571" s="6"/>
      <c r="CF2571" s="6"/>
      <c r="CG2571" s="6"/>
      <c r="CH2571" s="6"/>
      <c r="CI2571" s="6"/>
      <c r="CJ2571" s="6"/>
      <c r="CK2571" s="6"/>
      <c r="CL2571" s="6"/>
      <c r="CM2571" s="6"/>
      <c r="CN2571" s="6"/>
      <c r="CO2571" s="6"/>
      <c r="CP2571" s="6"/>
      <c r="CQ2571" s="6"/>
      <c r="CR2571" s="6"/>
      <c r="CS2571" s="6"/>
      <c r="CT2571" s="6"/>
      <c r="CU2571" s="6"/>
      <c r="CV2571" s="6"/>
      <c r="CW2571" s="6"/>
      <c r="CX2571" s="6"/>
      <c r="CY2571" s="6"/>
      <c r="CZ2571" s="6"/>
      <c r="DA2571" s="6"/>
      <c r="DB2571" s="6"/>
      <c r="DC2571" s="6"/>
      <c r="DD2571" s="6"/>
    </row>
    <row r="2572" spans="1:108" ht="12.75" hidden="1" customHeight="1" outlineLevel="7">
      <c r="A2572" s="104" t="s">
        <v>5</v>
      </c>
      <c r="B2572" s="28">
        <f t="shared" si="144"/>
        <v>0.2</v>
      </c>
      <c r="C2572" s="11"/>
      <c r="D2572" s="18" t="str">
        <f t="shared" si="145"/>
        <v>&lt;Thickness&gt;0.200000&lt;/Thickness&gt;</v>
      </c>
      <c r="F2572" s="6"/>
      <c r="G2572" s="6"/>
      <c r="H2572" s="6"/>
      <c r="I2572" s="6"/>
      <c r="J2572" s="6"/>
      <c r="K2572" s="6"/>
      <c r="L2572" s="6"/>
      <c r="M2572" s="6"/>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c r="BU2572" s="6"/>
      <c r="BV2572" s="6"/>
      <c r="BW2572" s="6"/>
      <c r="BX2572" s="6"/>
      <c r="BY2572" s="6"/>
      <c r="BZ2572" s="6"/>
      <c r="CA2572" s="6"/>
      <c r="CB2572" s="6"/>
      <c r="CC2572" s="6"/>
      <c r="CD2572" s="6"/>
      <c r="CE2572" s="6"/>
      <c r="CF2572" s="6"/>
      <c r="CG2572" s="6"/>
      <c r="CH2572" s="6"/>
      <c r="CI2572" s="6"/>
      <c r="CJ2572" s="6"/>
      <c r="CK2572" s="6"/>
      <c r="CL2572" s="6"/>
      <c r="CM2572" s="6"/>
      <c r="CN2572" s="6"/>
      <c r="CO2572" s="6"/>
      <c r="CP2572" s="6"/>
      <c r="CQ2572" s="6"/>
      <c r="CR2572" s="6"/>
      <c r="CS2572" s="6"/>
      <c r="CT2572" s="6"/>
      <c r="CU2572" s="6"/>
      <c r="CV2572" s="6"/>
      <c r="CW2572" s="6"/>
      <c r="CX2572" s="6"/>
      <c r="CY2572" s="6"/>
      <c r="CZ2572" s="6"/>
      <c r="DA2572" s="6"/>
      <c r="DB2572" s="6"/>
      <c r="DC2572" s="6"/>
      <c r="DD2572" s="6"/>
    </row>
    <row r="2573" spans="1:108" ht="12.75" hidden="1" customHeight="1" outlineLevel="7">
      <c r="A2573" s="104" t="s">
        <v>104</v>
      </c>
      <c r="B2573" s="28">
        <f t="shared" si="144"/>
        <v>0.3</v>
      </c>
      <c r="C2573" s="11"/>
      <c r="D2573" s="18" t="str">
        <f t="shared" si="145"/>
        <v>&lt;Thickness_Loc&gt;0.300000&lt;/Thickness_Loc&gt;</v>
      </c>
      <c r="F2573" s="6"/>
      <c r="G2573" s="6"/>
      <c r="H2573" s="6"/>
      <c r="I2573" s="6"/>
      <c r="J2573" s="6"/>
      <c r="K2573" s="6"/>
      <c r="L2573" s="6"/>
      <c r="M2573" s="6"/>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c r="BU2573" s="6"/>
      <c r="BV2573" s="6"/>
      <c r="BW2573" s="6"/>
      <c r="BX2573" s="6"/>
      <c r="BY2573" s="6"/>
      <c r="BZ2573" s="6"/>
      <c r="CA2573" s="6"/>
      <c r="CB2573" s="6"/>
      <c r="CC2573" s="6"/>
      <c r="CD2573" s="6"/>
      <c r="CE2573" s="6"/>
      <c r="CF2573" s="6"/>
      <c r="CG2573" s="6"/>
      <c r="CH2573" s="6"/>
      <c r="CI2573" s="6"/>
      <c r="CJ2573" s="6"/>
      <c r="CK2573" s="6"/>
      <c r="CL2573" s="6"/>
      <c r="CM2573" s="6"/>
      <c r="CN2573" s="6"/>
      <c r="CO2573" s="6"/>
      <c r="CP2573" s="6"/>
      <c r="CQ2573" s="6"/>
      <c r="CR2573" s="6"/>
      <c r="CS2573" s="6"/>
      <c r="CT2573" s="6"/>
      <c r="CU2573" s="6"/>
      <c r="CV2573" s="6"/>
      <c r="CW2573" s="6"/>
      <c r="CX2573" s="6"/>
      <c r="CY2573" s="6"/>
      <c r="CZ2573" s="6"/>
      <c r="DA2573" s="6"/>
      <c r="DB2573" s="6"/>
      <c r="DC2573" s="6"/>
      <c r="DD2573" s="6"/>
    </row>
    <row r="2574" spans="1:108" ht="12.75" hidden="1" customHeight="1" outlineLevel="7">
      <c r="A2574" s="104" t="s">
        <v>105</v>
      </c>
      <c r="B2574" s="28">
        <f t="shared" si="144"/>
        <v>4.4075999999999997E-2</v>
      </c>
      <c r="C2574" s="11"/>
      <c r="D2574" s="18" t="str">
        <f t="shared" si="145"/>
        <v>&lt;Radius_Le&gt;0.044076&lt;/Radius_Le&gt;</v>
      </c>
      <c r="F2574" s="6"/>
      <c r="G2574" s="6"/>
      <c r="H2574" s="6"/>
      <c r="I2574" s="6"/>
      <c r="J2574" s="6"/>
      <c r="K2574" s="6"/>
      <c r="L2574" s="6"/>
      <c r="M2574" s="6"/>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c r="BU2574" s="6"/>
      <c r="BV2574" s="6"/>
      <c r="BW2574" s="6"/>
      <c r="BX2574" s="6"/>
      <c r="BY2574" s="6"/>
      <c r="BZ2574" s="6"/>
      <c r="CA2574" s="6"/>
      <c r="CB2574" s="6"/>
      <c r="CC2574" s="6"/>
      <c r="CD2574" s="6"/>
      <c r="CE2574" s="6"/>
      <c r="CF2574" s="6"/>
      <c r="CG2574" s="6"/>
      <c r="CH2574" s="6"/>
      <c r="CI2574" s="6"/>
      <c r="CJ2574" s="6"/>
      <c r="CK2574" s="6"/>
      <c r="CL2574" s="6"/>
      <c r="CM2574" s="6"/>
      <c r="CN2574" s="6"/>
      <c r="CO2574" s="6"/>
      <c r="CP2574" s="6"/>
      <c r="CQ2574" s="6"/>
      <c r="CR2574" s="6"/>
      <c r="CS2574" s="6"/>
      <c r="CT2574" s="6"/>
      <c r="CU2574" s="6"/>
      <c r="CV2574" s="6"/>
      <c r="CW2574" s="6"/>
      <c r="CX2574" s="6"/>
      <c r="CY2574" s="6"/>
      <c r="CZ2574" s="6"/>
      <c r="DA2574" s="6"/>
      <c r="DB2574" s="6"/>
      <c r="DC2574" s="6"/>
      <c r="DD2574" s="6"/>
    </row>
    <row r="2575" spans="1:108" ht="12.75" hidden="1" customHeight="1" outlineLevel="7">
      <c r="A2575" s="104" t="s">
        <v>106</v>
      </c>
      <c r="B2575" s="28">
        <f t="shared" si="144"/>
        <v>0</v>
      </c>
      <c r="C2575" s="11"/>
      <c r="D2575" s="18" t="str">
        <f t="shared" si="145"/>
        <v>&lt;Radius_Te&gt;0.000000&lt;/Radius_Te&gt;</v>
      </c>
      <c r="F2575" s="6"/>
      <c r="G2575" s="6"/>
      <c r="H2575" s="6"/>
      <c r="I2575" s="6"/>
      <c r="J2575" s="6"/>
      <c r="K2575" s="6"/>
      <c r="L2575" s="6"/>
      <c r="M2575" s="6"/>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c r="BU2575" s="6"/>
      <c r="BV2575" s="6"/>
      <c r="BW2575" s="6"/>
      <c r="BX2575" s="6"/>
      <c r="BY2575" s="6"/>
      <c r="BZ2575" s="6"/>
      <c r="CA2575" s="6"/>
      <c r="CB2575" s="6"/>
      <c r="CC2575" s="6"/>
      <c r="CD2575" s="6"/>
      <c r="CE2575" s="6"/>
      <c r="CF2575" s="6"/>
      <c r="CG2575" s="6"/>
      <c r="CH2575" s="6"/>
      <c r="CI2575" s="6"/>
      <c r="CJ2575" s="6"/>
      <c r="CK2575" s="6"/>
      <c r="CL2575" s="6"/>
      <c r="CM2575" s="6"/>
      <c r="CN2575" s="6"/>
      <c r="CO2575" s="6"/>
      <c r="CP2575" s="6"/>
      <c r="CQ2575" s="6"/>
      <c r="CR2575" s="6"/>
      <c r="CS2575" s="6"/>
      <c r="CT2575" s="6"/>
      <c r="CU2575" s="6"/>
      <c r="CV2575" s="6"/>
      <c r="CW2575" s="6"/>
      <c r="CX2575" s="6"/>
      <c r="CY2575" s="6"/>
      <c r="CZ2575" s="6"/>
      <c r="DA2575" s="6"/>
      <c r="DB2575" s="6"/>
      <c r="DC2575" s="6"/>
      <c r="DD2575" s="6"/>
    </row>
    <row r="2576" spans="1:108" ht="12.75" hidden="1" customHeight="1" outlineLevel="7">
      <c r="A2576" s="104" t="s">
        <v>107</v>
      </c>
      <c r="B2576" s="28">
        <f t="shared" si="144"/>
        <v>63</v>
      </c>
      <c r="C2576" s="11"/>
      <c r="D2576" s="18" t="str">
        <f>"&lt;" &amp; A2576 &amp; "&gt;" &amp; TEXT(B2576,0) &amp; "&lt;/" &amp; A2576 &amp; "&gt;"</f>
        <v>&lt;Six_Series&gt;63&lt;/Six_Series&gt;</v>
      </c>
      <c r="F2576" s="6"/>
      <c r="G2576" s="6"/>
      <c r="H2576" s="6"/>
      <c r="I2576" s="6"/>
      <c r="J2576" s="6"/>
      <c r="K2576" s="6"/>
      <c r="L2576" s="6"/>
      <c r="M2576" s="6"/>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c r="BU2576" s="6"/>
      <c r="BV2576" s="6"/>
      <c r="BW2576" s="6"/>
      <c r="BX2576" s="6"/>
      <c r="BY2576" s="6"/>
      <c r="BZ2576" s="6"/>
      <c r="CA2576" s="6"/>
      <c r="CB2576" s="6"/>
      <c r="CC2576" s="6"/>
      <c r="CD2576" s="6"/>
      <c r="CE2576" s="6"/>
      <c r="CF2576" s="6"/>
      <c r="CG2576" s="6"/>
      <c r="CH2576" s="6"/>
      <c r="CI2576" s="6"/>
      <c r="CJ2576" s="6"/>
      <c r="CK2576" s="6"/>
      <c r="CL2576" s="6"/>
      <c r="CM2576" s="6"/>
      <c r="CN2576" s="6"/>
      <c r="CO2576" s="6"/>
      <c r="CP2576" s="6"/>
      <c r="CQ2576" s="6"/>
      <c r="CR2576" s="6"/>
      <c r="CS2576" s="6"/>
      <c r="CT2576" s="6"/>
      <c r="CU2576" s="6"/>
      <c r="CV2576" s="6"/>
      <c r="CW2576" s="6"/>
      <c r="CX2576" s="6"/>
      <c r="CY2576" s="6"/>
      <c r="CZ2576" s="6"/>
      <c r="DA2576" s="6"/>
      <c r="DB2576" s="6"/>
      <c r="DC2576" s="6"/>
      <c r="DD2576" s="6"/>
    </row>
    <row r="2577" spans="1:108" ht="12.75" hidden="1" customHeight="1" outlineLevel="7">
      <c r="A2577" s="104" t="s">
        <v>108</v>
      </c>
      <c r="B2577" s="28">
        <f t="shared" si="144"/>
        <v>0</v>
      </c>
      <c r="C2577" s="11"/>
      <c r="D2577" s="18" t="str">
        <f>"&lt;" &amp; A2577 &amp; "&gt;" &amp; TEXT(B2577,"0.000000") &amp; "&lt;/" &amp; A2577 &amp; "&gt;"</f>
        <v>&lt;Ideal_Cl&gt;0.000000&lt;/Ideal_Cl&gt;</v>
      </c>
      <c r="F2577" s="6"/>
      <c r="G2577" s="6"/>
      <c r="H2577" s="6"/>
      <c r="I2577" s="6"/>
      <c r="J2577" s="6"/>
      <c r="K2577" s="6"/>
      <c r="L2577" s="6"/>
      <c r="M2577" s="6"/>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c r="BU2577" s="6"/>
      <c r="BV2577" s="6"/>
      <c r="BW2577" s="6"/>
      <c r="BX2577" s="6"/>
      <c r="BY2577" s="6"/>
      <c r="BZ2577" s="6"/>
      <c r="CA2577" s="6"/>
      <c r="CB2577" s="6"/>
      <c r="CC2577" s="6"/>
      <c r="CD2577" s="6"/>
      <c r="CE2577" s="6"/>
      <c r="CF2577" s="6"/>
      <c r="CG2577" s="6"/>
      <c r="CH2577" s="6"/>
      <c r="CI2577" s="6"/>
      <c r="CJ2577" s="6"/>
      <c r="CK2577" s="6"/>
      <c r="CL2577" s="6"/>
      <c r="CM2577" s="6"/>
      <c r="CN2577" s="6"/>
      <c r="CO2577" s="6"/>
      <c r="CP2577" s="6"/>
      <c r="CQ2577" s="6"/>
      <c r="CR2577" s="6"/>
      <c r="CS2577" s="6"/>
      <c r="CT2577" s="6"/>
      <c r="CU2577" s="6"/>
      <c r="CV2577" s="6"/>
      <c r="CW2577" s="6"/>
      <c r="CX2577" s="6"/>
      <c r="CY2577" s="6"/>
      <c r="CZ2577" s="6"/>
      <c r="DA2577" s="6"/>
      <c r="DB2577" s="6"/>
      <c r="DC2577" s="6"/>
      <c r="DD2577" s="6"/>
    </row>
    <row r="2578" spans="1:108" ht="12.75" hidden="1" customHeight="1" outlineLevel="7">
      <c r="A2578" s="104" t="s">
        <v>109</v>
      </c>
      <c r="B2578" s="28">
        <f t="shared" si="144"/>
        <v>0</v>
      </c>
      <c r="C2578" s="11"/>
      <c r="D2578" s="18" t="str">
        <f>"&lt;" &amp; A2578 &amp; "&gt;" &amp; TEXT(B2578,"0.000000") &amp; "&lt;/" &amp; A2578 &amp; "&gt;"</f>
        <v>&lt;A&gt;0.000000&lt;/A&gt;</v>
      </c>
      <c r="F2578" s="6"/>
      <c r="G2578" s="6"/>
      <c r="H2578" s="6"/>
      <c r="I2578" s="6"/>
      <c r="J2578" s="6"/>
      <c r="K2578" s="6"/>
      <c r="L2578" s="6"/>
      <c r="M2578" s="6"/>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c r="BU2578" s="6"/>
      <c r="BV2578" s="6"/>
      <c r="BW2578" s="6"/>
      <c r="BX2578" s="6"/>
      <c r="BY2578" s="6"/>
      <c r="BZ2578" s="6"/>
      <c r="CA2578" s="6"/>
      <c r="CB2578" s="6"/>
      <c r="CC2578" s="6"/>
      <c r="CD2578" s="6"/>
      <c r="CE2578" s="6"/>
      <c r="CF2578" s="6"/>
      <c r="CG2578" s="6"/>
      <c r="CH2578" s="6"/>
      <c r="CI2578" s="6"/>
      <c r="CJ2578" s="6"/>
      <c r="CK2578" s="6"/>
      <c r="CL2578" s="6"/>
      <c r="CM2578" s="6"/>
      <c r="CN2578" s="6"/>
      <c r="CO2578" s="6"/>
      <c r="CP2578" s="6"/>
      <c r="CQ2578" s="6"/>
      <c r="CR2578" s="6"/>
      <c r="CS2578" s="6"/>
      <c r="CT2578" s="6"/>
      <c r="CU2578" s="6"/>
      <c r="CV2578" s="6"/>
      <c r="CW2578" s="6"/>
      <c r="CX2578" s="6"/>
      <c r="CY2578" s="6"/>
      <c r="CZ2578" s="6"/>
      <c r="DA2578" s="6"/>
      <c r="DB2578" s="6"/>
      <c r="DC2578" s="6"/>
      <c r="DD2578" s="6"/>
    </row>
    <row r="2579" spans="1:108" ht="12.75" hidden="1" customHeight="1" outlineLevel="7">
      <c r="A2579" s="104" t="s">
        <v>110</v>
      </c>
      <c r="B2579" s="28">
        <f t="shared" si="144"/>
        <v>0</v>
      </c>
      <c r="C2579" s="11"/>
      <c r="D2579" s="18" t="str">
        <f>"&lt;" &amp; A2579 &amp; "&gt;" &amp; TEXT(B2579,0) &amp; "&lt;/" &amp; A2579 &amp; "&gt;"</f>
        <v>&lt;Slat_Flag&gt;0&lt;/Slat_Flag&gt;</v>
      </c>
      <c r="F2579" s="6"/>
      <c r="G2579" s="6"/>
      <c r="H2579" s="6"/>
      <c r="I2579" s="6"/>
      <c r="J2579" s="6"/>
      <c r="K2579" s="6"/>
      <c r="L2579" s="6"/>
      <c r="M2579" s="6"/>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c r="BU2579" s="6"/>
      <c r="BV2579" s="6"/>
      <c r="BW2579" s="6"/>
      <c r="BX2579" s="6"/>
      <c r="BY2579" s="6"/>
      <c r="BZ2579" s="6"/>
      <c r="CA2579" s="6"/>
      <c r="CB2579" s="6"/>
      <c r="CC2579" s="6"/>
      <c r="CD2579" s="6"/>
      <c r="CE2579" s="6"/>
      <c r="CF2579" s="6"/>
      <c r="CG2579" s="6"/>
      <c r="CH2579" s="6"/>
      <c r="CI2579" s="6"/>
      <c r="CJ2579" s="6"/>
      <c r="CK2579" s="6"/>
      <c r="CL2579" s="6"/>
      <c r="CM2579" s="6"/>
      <c r="CN2579" s="6"/>
      <c r="CO2579" s="6"/>
      <c r="CP2579" s="6"/>
      <c r="CQ2579" s="6"/>
      <c r="CR2579" s="6"/>
      <c r="CS2579" s="6"/>
      <c r="CT2579" s="6"/>
      <c r="CU2579" s="6"/>
      <c r="CV2579" s="6"/>
      <c r="CW2579" s="6"/>
      <c r="CX2579" s="6"/>
      <c r="CY2579" s="6"/>
      <c r="CZ2579" s="6"/>
      <c r="DA2579" s="6"/>
      <c r="DB2579" s="6"/>
      <c r="DC2579" s="6"/>
      <c r="DD2579" s="6"/>
    </row>
    <row r="2580" spans="1:108" ht="12.75" hidden="1" customHeight="1" outlineLevel="7">
      <c r="A2580" s="104" t="s">
        <v>111</v>
      </c>
      <c r="B2580" s="28">
        <f t="shared" si="144"/>
        <v>0</v>
      </c>
      <c r="C2580" s="11"/>
      <c r="D2580" s="18" t="str">
        <f>"&lt;" &amp; A2580 &amp; "&gt;" &amp; TEXT(B2580,0) &amp; "&lt;/" &amp; A2580 &amp; "&gt;"</f>
        <v>&lt;Slat_Shear_Flag&gt;0&lt;/Slat_Shear_Flag&gt;</v>
      </c>
      <c r="F2580" s="6"/>
      <c r="G2580" s="6"/>
      <c r="H2580" s="6"/>
      <c r="I2580" s="6"/>
      <c r="J2580" s="6"/>
      <c r="K2580" s="6"/>
      <c r="L2580" s="6"/>
      <c r="M2580" s="6"/>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c r="BU2580" s="6"/>
      <c r="BV2580" s="6"/>
      <c r="BW2580" s="6"/>
      <c r="BX2580" s="6"/>
      <c r="BY2580" s="6"/>
      <c r="BZ2580" s="6"/>
      <c r="CA2580" s="6"/>
      <c r="CB2580" s="6"/>
      <c r="CC2580" s="6"/>
      <c r="CD2580" s="6"/>
      <c r="CE2580" s="6"/>
      <c r="CF2580" s="6"/>
      <c r="CG2580" s="6"/>
      <c r="CH2580" s="6"/>
      <c r="CI2580" s="6"/>
      <c r="CJ2580" s="6"/>
      <c r="CK2580" s="6"/>
      <c r="CL2580" s="6"/>
      <c r="CM2580" s="6"/>
      <c r="CN2580" s="6"/>
      <c r="CO2580" s="6"/>
      <c r="CP2580" s="6"/>
      <c r="CQ2580" s="6"/>
      <c r="CR2580" s="6"/>
      <c r="CS2580" s="6"/>
      <c r="CT2580" s="6"/>
      <c r="CU2580" s="6"/>
      <c r="CV2580" s="6"/>
      <c r="CW2580" s="6"/>
      <c r="CX2580" s="6"/>
      <c r="CY2580" s="6"/>
      <c r="CZ2580" s="6"/>
      <c r="DA2580" s="6"/>
      <c r="DB2580" s="6"/>
      <c r="DC2580" s="6"/>
      <c r="DD2580" s="6"/>
    </row>
    <row r="2581" spans="1:108" ht="12.75" hidden="1" customHeight="1" outlineLevel="7">
      <c r="A2581" s="104" t="s">
        <v>112</v>
      </c>
      <c r="B2581" s="28">
        <f t="shared" si="144"/>
        <v>0.25</v>
      </c>
      <c r="C2581" s="11"/>
      <c r="D2581" s="18" t="str">
        <f>"&lt;" &amp; A2581 &amp; "&gt;" &amp; TEXT(B2581,"0.000000") &amp; "&lt;/" &amp; A2581 &amp; "&gt;"</f>
        <v>&lt;Slat_Chord&gt;0.250000&lt;/Slat_Chord&gt;</v>
      </c>
      <c r="F2581" s="6"/>
      <c r="G2581" s="6"/>
      <c r="H2581" s="6"/>
      <c r="I2581" s="6"/>
      <c r="J2581" s="6"/>
      <c r="K2581" s="6"/>
      <c r="L2581" s="6"/>
      <c r="M2581" s="6"/>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c r="BU2581" s="6"/>
      <c r="BV2581" s="6"/>
      <c r="BW2581" s="6"/>
      <c r="BX2581" s="6"/>
      <c r="BY2581" s="6"/>
      <c r="BZ2581" s="6"/>
      <c r="CA2581" s="6"/>
      <c r="CB2581" s="6"/>
      <c r="CC2581" s="6"/>
      <c r="CD2581" s="6"/>
      <c r="CE2581" s="6"/>
      <c r="CF2581" s="6"/>
      <c r="CG2581" s="6"/>
      <c r="CH2581" s="6"/>
      <c r="CI2581" s="6"/>
      <c r="CJ2581" s="6"/>
      <c r="CK2581" s="6"/>
      <c r="CL2581" s="6"/>
      <c r="CM2581" s="6"/>
      <c r="CN2581" s="6"/>
      <c r="CO2581" s="6"/>
      <c r="CP2581" s="6"/>
      <c r="CQ2581" s="6"/>
      <c r="CR2581" s="6"/>
      <c r="CS2581" s="6"/>
      <c r="CT2581" s="6"/>
      <c r="CU2581" s="6"/>
      <c r="CV2581" s="6"/>
      <c r="CW2581" s="6"/>
      <c r="CX2581" s="6"/>
      <c r="CY2581" s="6"/>
      <c r="CZ2581" s="6"/>
      <c r="DA2581" s="6"/>
      <c r="DB2581" s="6"/>
      <c r="DC2581" s="6"/>
      <c r="DD2581" s="6"/>
    </row>
    <row r="2582" spans="1:108" ht="12.75" hidden="1" customHeight="1" outlineLevel="7">
      <c r="A2582" s="104" t="s">
        <v>113</v>
      </c>
      <c r="B2582" s="28">
        <f t="shared" si="144"/>
        <v>10</v>
      </c>
      <c r="C2582" s="11"/>
      <c r="D2582" s="18" t="str">
        <f>"&lt;" &amp; A2582 &amp; "&gt;" &amp; TEXT(B2582,"0.000000") &amp; "&lt;/" &amp; A2582 &amp; "&gt;"</f>
        <v>&lt;Slat_Angle&gt;10.000000&lt;/Slat_Angle&gt;</v>
      </c>
      <c r="F2582" s="6"/>
      <c r="G2582" s="6"/>
      <c r="H2582" s="6"/>
      <c r="I2582" s="6"/>
      <c r="J2582" s="6"/>
      <c r="K2582" s="6"/>
      <c r="L2582" s="6"/>
      <c r="M2582" s="6"/>
      <c r="N2582" s="6"/>
      <c r="O2582" s="6"/>
      <c r="P2582" s="6"/>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c r="BU2582" s="6"/>
      <c r="BV2582" s="6"/>
      <c r="BW2582" s="6"/>
      <c r="BX2582" s="6"/>
      <c r="BY2582" s="6"/>
      <c r="BZ2582" s="6"/>
      <c r="CA2582" s="6"/>
      <c r="CB2582" s="6"/>
      <c r="CC2582" s="6"/>
      <c r="CD2582" s="6"/>
      <c r="CE2582" s="6"/>
      <c r="CF2582" s="6"/>
      <c r="CG2582" s="6"/>
      <c r="CH2582" s="6"/>
      <c r="CI2582" s="6"/>
      <c r="CJ2582" s="6"/>
      <c r="CK2582" s="6"/>
      <c r="CL2582" s="6"/>
      <c r="CM2582" s="6"/>
      <c r="CN2582" s="6"/>
      <c r="CO2582" s="6"/>
      <c r="CP2582" s="6"/>
      <c r="CQ2582" s="6"/>
      <c r="CR2582" s="6"/>
      <c r="CS2582" s="6"/>
      <c r="CT2582" s="6"/>
      <c r="CU2582" s="6"/>
      <c r="CV2582" s="6"/>
      <c r="CW2582" s="6"/>
      <c r="CX2582" s="6"/>
      <c r="CY2582" s="6"/>
      <c r="CZ2582" s="6"/>
      <c r="DA2582" s="6"/>
      <c r="DB2582" s="6"/>
      <c r="DC2582" s="6"/>
      <c r="DD2582" s="6"/>
    </row>
    <row r="2583" spans="1:108" ht="12.75" hidden="1" customHeight="1" outlineLevel="7">
      <c r="A2583" s="104" t="s">
        <v>114</v>
      </c>
      <c r="B2583" s="28">
        <f t="shared" si="144"/>
        <v>0</v>
      </c>
      <c r="C2583" s="11"/>
      <c r="D2583" s="18" t="str">
        <f>"&lt;" &amp; A2583 &amp; "&gt;" &amp; TEXT(B2583,0) &amp; "&lt;/" &amp; A2583 &amp; "&gt;"</f>
        <v>&lt;Flap_Flag&gt;0&lt;/Flap_Flag&gt;</v>
      </c>
      <c r="F2583" s="6"/>
      <c r="G2583" s="6"/>
      <c r="H2583" s="6"/>
      <c r="I2583" s="6"/>
      <c r="J2583" s="6"/>
      <c r="K2583" s="6"/>
      <c r="L2583" s="6"/>
      <c r="M2583" s="6"/>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c r="BU2583" s="6"/>
      <c r="BV2583" s="6"/>
      <c r="BW2583" s="6"/>
      <c r="BX2583" s="6"/>
      <c r="BY2583" s="6"/>
      <c r="BZ2583" s="6"/>
      <c r="CA2583" s="6"/>
      <c r="CB2583" s="6"/>
      <c r="CC2583" s="6"/>
      <c r="CD2583" s="6"/>
      <c r="CE2583" s="6"/>
      <c r="CF2583" s="6"/>
      <c r="CG2583" s="6"/>
      <c r="CH2583" s="6"/>
      <c r="CI2583" s="6"/>
      <c r="CJ2583" s="6"/>
      <c r="CK2583" s="6"/>
      <c r="CL2583" s="6"/>
      <c r="CM2583" s="6"/>
      <c r="CN2583" s="6"/>
      <c r="CO2583" s="6"/>
      <c r="CP2583" s="6"/>
      <c r="CQ2583" s="6"/>
      <c r="CR2583" s="6"/>
      <c r="CS2583" s="6"/>
      <c r="CT2583" s="6"/>
      <c r="CU2583" s="6"/>
      <c r="CV2583" s="6"/>
      <c r="CW2583" s="6"/>
      <c r="CX2583" s="6"/>
      <c r="CY2583" s="6"/>
      <c r="CZ2583" s="6"/>
      <c r="DA2583" s="6"/>
      <c r="DB2583" s="6"/>
      <c r="DC2583" s="6"/>
      <c r="DD2583" s="6"/>
    </row>
    <row r="2584" spans="1:108" ht="12.75" hidden="1" customHeight="1" outlineLevel="7">
      <c r="A2584" s="104" t="s">
        <v>115</v>
      </c>
      <c r="B2584" s="28">
        <f t="shared" si="144"/>
        <v>0</v>
      </c>
      <c r="C2584" s="11"/>
      <c r="D2584" s="18" t="str">
        <f>"&lt;" &amp; A2584 &amp; "&gt;" &amp; TEXT(B2584,0) &amp; "&lt;/" &amp; A2584 &amp; "&gt;"</f>
        <v>&lt;Flap_Shear_Flag&gt;0&lt;/Flap_Shear_Flag&gt;</v>
      </c>
      <c r="F2584" s="6"/>
      <c r="G2584" s="6"/>
      <c r="H2584" s="6"/>
      <c r="I2584" s="6"/>
      <c r="J2584" s="6"/>
      <c r="K2584" s="6"/>
      <c r="L2584" s="6"/>
      <c r="M2584" s="6"/>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c r="BU2584" s="6"/>
      <c r="BV2584" s="6"/>
      <c r="BW2584" s="6"/>
      <c r="BX2584" s="6"/>
      <c r="BY2584" s="6"/>
      <c r="BZ2584" s="6"/>
      <c r="CA2584" s="6"/>
      <c r="CB2584" s="6"/>
      <c r="CC2584" s="6"/>
      <c r="CD2584" s="6"/>
      <c r="CE2584" s="6"/>
      <c r="CF2584" s="6"/>
      <c r="CG2584" s="6"/>
      <c r="CH2584" s="6"/>
      <c r="CI2584" s="6"/>
      <c r="CJ2584" s="6"/>
      <c r="CK2584" s="6"/>
      <c r="CL2584" s="6"/>
      <c r="CM2584" s="6"/>
      <c r="CN2584" s="6"/>
      <c r="CO2584" s="6"/>
      <c r="CP2584" s="6"/>
      <c r="CQ2584" s="6"/>
      <c r="CR2584" s="6"/>
      <c r="CS2584" s="6"/>
      <c r="CT2584" s="6"/>
      <c r="CU2584" s="6"/>
      <c r="CV2584" s="6"/>
      <c r="CW2584" s="6"/>
      <c r="CX2584" s="6"/>
      <c r="CY2584" s="6"/>
      <c r="CZ2584" s="6"/>
      <c r="DA2584" s="6"/>
      <c r="DB2584" s="6"/>
      <c r="DC2584" s="6"/>
      <c r="DD2584" s="6"/>
    </row>
    <row r="2585" spans="1:108" ht="12.75" hidden="1" customHeight="1" outlineLevel="7">
      <c r="A2585" s="104" t="s">
        <v>116</v>
      </c>
      <c r="B2585" s="28">
        <f t="shared" si="144"/>
        <v>0.25</v>
      </c>
      <c r="C2585" s="11"/>
      <c r="D2585" s="18" t="str">
        <f>"&lt;" &amp; A2585 &amp; "&gt;" &amp; TEXT(B2585,"0.000000") &amp; "&lt;/" &amp; A2585 &amp; "&gt;"</f>
        <v>&lt;Flap_Chord&gt;0.250000&lt;/Flap_Chord&gt;</v>
      </c>
      <c r="F2585" s="6"/>
      <c r="G2585" s="6"/>
      <c r="H2585" s="6"/>
      <c r="I2585" s="6"/>
      <c r="J2585" s="6"/>
      <c r="K2585" s="6"/>
      <c r="L2585" s="6"/>
      <c r="M2585" s="6"/>
      <c r="N2585" s="6"/>
      <c r="O2585" s="6"/>
      <c r="P2585" s="6"/>
      <c r="Q2585" s="6"/>
      <c r="R2585" s="6"/>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c r="BU2585" s="6"/>
      <c r="BV2585" s="6"/>
      <c r="BW2585" s="6"/>
      <c r="BX2585" s="6"/>
      <c r="BY2585" s="6"/>
      <c r="BZ2585" s="6"/>
      <c r="CA2585" s="6"/>
      <c r="CB2585" s="6"/>
      <c r="CC2585" s="6"/>
      <c r="CD2585" s="6"/>
      <c r="CE2585" s="6"/>
      <c r="CF2585" s="6"/>
      <c r="CG2585" s="6"/>
      <c r="CH2585" s="6"/>
      <c r="CI2585" s="6"/>
      <c r="CJ2585" s="6"/>
      <c r="CK2585" s="6"/>
      <c r="CL2585" s="6"/>
      <c r="CM2585" s="6"/>
      <c r="CN2585" s="6"/>
      <c r="CO2585" s="6"/>
      <c r="CP2585" s="6"/>
      <c r="CQ2585" s="6"/>
      <c r="CR2585" s="6"/>
      <c r="CS2585" s="6"/>
      <c r="CT2585" s="6"/>
      <c r="CU2585" s="6"/>
      <c r="CV2585" s="6"/>
      <c r="CW2585" s="6"/>
      <c r="CX2585" s="6"/>
      <c r="CY2585" s="6"/>
      <c r="CZ2585" s="6"/>
      <c r="DA2585" s="6"/>
      <c r="DB2585" s="6"/>
      <c r="DC2585" s="6"/>
      <c r="DD2585" s="6"/>
    </row>
    <row r="2586" spans="1:108" ht="12.75" hidden="1" customHeight="1" outlineLevel="7">
      <c r="A2586" s="104" t="s">
        <v>117</v>
      </c>
      <c r="B2586" s="28">
        <f t="shared" si="144"/>
        <v>10</v>
      </c>
      <c r="C2586" s="11"/>
      <c r="D2586" s="18" t="str">
        <f>"&lt;" &amp; A2586 &amp; "&gt;" &amp; TEXT(B2586,"0.000000") &amp; "&lt;/" &amp; A2586 &amp; "&gt;"</f>
        <v>&lt;Flap_Angle&gt;10.000000&lt;/Flap_Angle&gt;</v>
      </c>
      <c r="F2586" s="6"/>
      <c r="G2586" s="6"/>
      <c r="H2586" s="6"/>
      <c r="I2586" s="6"/>
      <c r="J2586" s="6"/>
      <c r="K2586" s="6"/>
      <c r="L2586" s="6"/>
      <c r="M2586" s="6"/>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c r="BU2586" s="6"/>
      <c r="BV2586" s="6"/>
      <c r="BW2586" s="6"/>
      <c r="BX2586" s="6"/>
      <c r="BY2586" s="6"/>
      <c r="BZ2586" s="6"/>
      <c r="CA2586" s="6"/>
      <c r="CB2586" s="6"/>
      <c r="CC2586" s="6"/>
      <c r="CD2586" s="6"/>
      <c r="CE2586" s="6"/>
      <c r="CF2586" s="6"/>
      <c r="CG2586" s="6"/>
      <c r="CH2586" s="6"/>
      <c r="CI2586" s="6"/>
      <c r="CJ2586" s="6"/>
      <c r="CK2586" s="6"/>
      <c r="CL2586" s="6"/>
      <c r="CM2586" s="6"/>
      <c r="CN2586" s="6"/>
      <c r="CO2586" s="6"/>
      <c r="CP2586" s="6"/>
      <c r="CQ2586" s="6"/>
      <c r="CR2586" s="6"/>
      <c r="CS2586" s="6"/>
      <c r="CT2586" s="6"/>
      <c r="CU2586" s="6"/>
      <c r="CV2586" s="6"/>
      <c r="CW2586" s="6"/>
      <c r="CX2586" s="6"/>
      <c r="CY2586" s="6"/>
      <c r="CZ2586" s="6"/>
      <c r="DA2586" s="6"/>
      <c r="DB2586" s="6"/>
      <c r="DC2586" s="6"/>
      <c r="DD2586" s="6"/>
    </row>
    <row r="2587" spans="1:108" ht="12.75" hidden="1" customHeight="1" outlineLevel="7">
      <c r="A2587" s="104" t="s">
        <v>118</v>
      </c>
      <c r="B2587" s="100"/>
      <c r="C2587" s="11"/>
      <c r="D2587" s="6" t="str">
        <f>"&lt;" &amp; A2587 &amp; "&gt;"</f>
        <v>&lt;/Airfoil&gt;</v>
      </c>
      <c r="F2587" s="6"/>
      <c r="G2587" s="6"/>
      <c r="H2587" s="6"/>
      <c r="I2587" s="6"/>
      <c r="J2587" s="6"/>
      <c r="K2587" s="6"/>
      <c r="L2587" s="6"/>
      <c r="M2587" s="6"/>
      <c r="N2587" s="6"/>
      <c r="O2587" s="6"/>
      <c r="P2587" s="6"/>
      <c r="Q2587" s="6"/>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c r="BU2587" s="6"/>
      <c r="BV2587" s="6"/>
      <c r="BW2587" s="6"/>
      <c r="BX2587" s="6"/>
      <c r="BY2587" s="6"/>
      <c r="BZ2587" s="6"/>
      <c r="CA2587" s="6"/>
      <c r="CB2587" s="6"/>
      <c r="CC2587" s="6"/>
      <c r="CD2587" s="6"/>
      <c r="CE2587" s="6"/>
      <c r="CF2587" s="6"/>
      <c r="CG2587" s="6"/>
      <c r="CH2587" s="6"/>
      <c r="CI2587" s="6"/>
      <c r="CJ2587" s="6"/>
      <c r="CK2587" s="6"/>
      <c r="CL2587" s="6"/>
      <c r="CM2587" s="6"/>
      <c r="CN2587" s="6"/>
      <c r="CO2587" s="6"/>
      <c r="CP2587" s="6"/>
      <c r="CQ2587" s="6"/>
      <c r="CR2587" s="6"/>
      <c r="CS2587" s="6"/>
      <c r="CT2587" s="6"/>
      <c r="CU2587" s="6"/>
      <c r="CV2587" s="6"/>
      <c r="CW2587" s="6"/>
      <c r="CX2587" s="6"/>
      <c r="CY2587" s="6"/>
      <c r="CZ2587" s="6"/>
      <c r="DA2587" s="6"/>
      <c r="DB2587" s="6"/>
      <c r="DC2587" s="6"/>
      <c r="DD2587" s="6"/>
    </row>
    <row r="2588" spans="1:108" ht="12.75" hidden="1" customHeight="1" outlineLevel="6">
      <c r="A2588" s="104" t="s">
        <v>308</v>
      </c>
      <c r="B2588" s="100"/>
      <c r="C2588" s="11"/>
      <c r="D2588" s="6" t="str">
        <f>"&lt;" &amp; A2588 &amp; "&gt;"</f>
        <v>&lt;/Sect_Parms&gt;</v>
      </c>
      <c r="F2588" s="6"/>
      <c r="G2588" s="6"/>
      <c r="H2588" s="6"/>
      <c r="I2588" s="6"/>
      <c r="J2588" s="6"/>
      <c r="K2588" s="6"/>
      <c r="L2588" s="6"/>
      <c r="M2588" s="6"/>
      <c r="N2588" s="6"/>
      <c r="O2588" s="6"/>
      <c r="P2588" s="6"/>
      <c r="Q2588" s="6"/>
      <c r="R2588" s="6"/>
      <c r="S2588" s="6"/>
      <c r="T2588" s="6"/>
      <c r="U2588" s="6"/>
      <c r="V2588" s="6"/>
      <c r="W2588" s="6"/>
      <c r="X2588" s="6"/>
      <c r="Y2588" s="6"/>
      <c r="Z2588" s="6"/>
      <c r="AA2588" s="6"/>
      <c r="AB2588" s="6"/>
      <c r="AC2588" s="6"/>
      <c r="AD2588" s="6"/>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c r="BU2588" s="6"/>
      <c r="BV2588" s="6"/>
      <c r="BW2588" s="6"/>
      <c r="BX2588" s="6"/>
      <c r="BY2588" s="6"/>
      <c r="BZ2588" s="6"/>
      <c r="CA2588" s="6"/>
      <c r="CB2588" s="6"/>
      <c r="CC2588" s="6"/>
      <c r="CD2588" s="6"/>
      <c r="CE2588" s="6"/>
      <c r="CF2588" s="6"/>
      <c r="CG2588" s="6"/>
      <c r="CH2588" s="6"/>
      <c r="CI2588" s="6"/>
      <c r="CJ2588" s="6"/>
      <c r="CK2588" s="6"/>
      <c r="CL2588" s="6"/>
      <c r="CM2588" s="6"/>
      <c r="CN2588" s="6"/>
      <c r="CO2588" s="6"/>
      <c r="CP2588" s="6"/>
      <c r="CQ2588" s="6"/>
      <c r="CR2588" s="6"/>
      <c r="CS2588" s="6"/>
      <c r="CT2588" s="6"/>
      <c r="CU2588" s="6"/>
      <c r="CV2588" s="6"/>
      <c r="CW2588" s="6"/>
      <c r="CX2588" s="6"/>
      <c r="CY2588" s="6"/>
      <c r="CZ2588" s="6"/>
      <c r="DA2588" s="6"/>
      <c r="DB2588" s="6"/>
      <c r="DC2588" s="6"/>
      <c r="DD2588" s="6"/>
    </row>
    <row r="2589" spans="1:108" ht="12.75" hidden="1" customHeight="1" outlineLevel="5">
      <c r="A2589" s="104" t="s">
        <v>309</v>
      </c>
      <c r="B2589" s="100"/>
      <c r="C2589" s="11"/>
      <c r="D2589" s="6" t="str">
        <f>"&lt;" &amp; A2589 &amp; "&gt;"</f>
        <v>&lt;/Prop_Parms&gt;</v>
      </c>
      <c r="F2589" s="6"/>
      <c r="G2589" s="6"/>
      <c r="H2589" s="6"/>
      <c r="I2589" s="6"/>
      <c r="J2589" s="6"/>
      <c r="K2589" s="6"/>
      <c r="L2589" s="6"/>
      <c r="M2589" s="6"/>
      <c r="N2589" s="6"/>
      <c r="O2589" s="6"/>
      <c r="P2589" s="6"/>
      <c r="Q2589" s="6"/>
      <c r="R2589" s="6"/>
      <c r="S2589" s="6"/>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c r="BU2589" s="6"/>
      <c r="BV2589" s="6"/>
      <c r="BW2589" s="6"/>
      <c r="BX2589" s="6"/>
      <c r="BY2589" s="6"/>
      <c r="BZ2589" s="6"/>
      <c r="CA2589" s="6"/>
      <c r="CB2589" s="6"/>
      <c r="CC2589" s="6"/>
      <c r="CD2589" s="6"/>
      <c r="CE2589" s="6"/>
      <c r="CF2589" s="6"/>
      <c r="CG2589" s="6"/>
      <c r="CH2589" s="6"/>
      <c r="CI2589" s="6"/>
      <c r="CJ2589" s="6"/>
      <c r="CK2589" s="6"/>
      <c r="CL2589" s="6"/>
      <c r="CM2589" s="6"/>
      <c r="CN2589" s="6"/>
      <c r="CO2589" s="6"/>
      <c r="CP2589" s="6"/>
      <c r="CQ2589" s="6"/>
      <c r="CR2589" s="6"/>
      <c r="CS2589" s="6"/>
      <c r="CT2589" s="6"/>
      <c r="CU2589" s="6"/>
      <c r="CV2589" s="6"/>
      <c r="CW2589" s="6"/>
      <c r="CX2589" s="6"/>
      <c r="CY2589" s="6"/>
      <c r="CZ2589" s="6"/>
      <c r="DA2589" s="6"/>
      <c r="DB2589" s="6"/>
      <c r="DC2589" s="6"/>
      <c r="DD2589" s="6"/>
    </row>
    <row r="2590" spans="1:108" ht="12.75" hidden="1" customHeight="1" outlineLevel="4">
      <c r="A2590" s="104" t="s">
        <v>138</v>
      </c>
      <c r="B2590" s="104"/>
      <c r="C2590" s="11" t="str">
        <f>C2423</f>
        <v>Yes</v>
      </c>
      <c r="D2590" s="133" t="str">
        <f>IF(C2590="Yes",("&lt;"&amp;A2590&amp;"&gt;"),("&lt;"&amp;A2590&amp;"--&gt;"))</f>
        <v>&lt;/Component&gt;</v>
      </c>
      <c r="F2590" s="6"/>
      <c r="G2590" s="6"/>
      <c r="H2590" s="6"/>
      <c r="I2590" s="6"/>
      <c r="J2590" s="6"/>
      <c r="K2590" s="6"/>
      <c r="L2590" s="6"/>
      <c r="M2590" s="6"/>
      <c r="N2590" s="6"/>
      <c r="O2590" s="6"/>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c r="BU2590" s="6"/>
      <c r="BV2590" s="6"/>
      <c r="BW2590" s="6"/>
      <c r="BX2590" s="6"/>
      <c r="BY2590" s="6"/>
      <c r="BZ2590" s="6"/>
      <c r="CA2590" s="6"/>
      <c r="CB2590" s="6"/>
      <c r="CC2590" s="6"/>
      <c r="CD2590" s="6"/>
      <c r="CE2590" s="6"/>
      <c r="CF2590" s="6"/>
      <c r="CG2590" s="6"/>
      <c r="CH2590" s="6"/>
      <c r="CI2590" s="6"/>
      <c r="CJ2590" s="6"/>
      <c r="CK2590" s="6"/>
      <c r="CL2590" s="6"/>
      <c r="CM2590" s="6"/>
      <c r="CN2590" s="6"/>
      <c r="CO2590" s="6"/>
      <c r="CP2590" s="6"/>
      <c r="CQ2590" s="6"/>
      <c r="CR2590" s="6"/>
      <c r="CS2590" s="6"/>
      <c r="CT2590" s="6"/>
      <c r="CU2590" s="6"/>
      <c r="CV2590" s="6"/>
      <c r="CW2590" s="6"/>
      <c r="CX2590" s="6"/>
      <c r="CY2590" s="6"/>
      <c r="CZ2590" s="6"/>
      <c r="DA2590" s="6"/>
      <c r="DB2590" s="6"/>
      <c r="DC2590" s="6"/>
      <c r="DD2590" s="6"/>
    </row>
    <row r="2591" spans="1:108" ht="12.75" hidden="1" customHeight="1" outlineLevel="3" collapsed="1">
      <c r="A2591" s="104" t="s">
        <v>40</v>
      </c>
      <c r="B2591" s="110" t="s">
        <v>542</v>
      </c>
      <c r="C2591" s="27" t="str">
        <f>IF(Input!D27&gt;3,IF(Input!$D$26="Jet","Yes","No"),IF(Input!$D$27&lt;3,"Yes","No"))</f>
        <v>Yes</v>
      </c>
      <c r="D2591" s="6" t="str">
        <f>IF(C2591="Yes",("&lt;"&amp;A2591&amp;"&gt;"),("&lt;!--"&amp;A2591&amp;"&gt;"))</f>
        <v>&lt;Component&gt;</v>
      </c>
      <c r="F2591" s="6"/>
      <c r="G2591" s="6"/>
      <c r="H2591" s="6"/>
      <c r="I2591" s="6"/>
      <c r="J2591" s="6"/>
      <c r="K2591" s="6"/>
      <c r="L2591" s="6"/>
      <c r="M2591" s="6"/>
      <c r="N2591" s="6"/>
      <c r="O2591" s="6"/>
      <c r="P2591" s="6"/>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c r="BU2591" s="6"/>
      <c r="BV2591" s="6"/>
      <c r="BW2591" s="6"/>
      <c r="BX2591" s="6"/>
      <c r="BY2591" s="6"/>
      <c r="BZ2591" s="6"/>
      <c r="CA2591" s="6"/>
      <c r="CB2591" s="6"/>
      <c r="CC2591" s="6"/>
      <c r="CD2591" s="6"/>
      <c r="CE2591" s="6"/>
      <c r="CF2591" s="6"/>
      <c r="CG2591" s="6"/>
      <c r="CH2591" s="6"/>
      <c r="CI2591" s="6"/>
      <c r="CJ2591" s="6"/>
      <c r="CK2591" s="6"/>
      <c r="CL2591" s="6"/>
      <c r="CM2591" s="6"/>
      <c r="CN2591" s="6"/>
      <c r="CO2591" s="6"/>
      <c r="CP2591" s="6"/>
      <c r="CQ2591" s="6"/>
      <c r="CR2591" s="6"/>
      <c r="CS2591" s="6"/>
      <c r="CT2591" s="6"/>
      <c r="CU2591" s="6"/>
      <c r="CV2591" s="6"/>
      <c r="CW2591" s="6"/>
      <c r="CX2591" s="6"/>
      <c r="CY2591" s="6"/>
      <c r="CZ2591" s="6"/>
      <c r="DA2591" s="6"/>
      <c r="DB2591" s="6"/>
      <c r="DC2591" s="6"/>
      <c r="DD2591" s="6"/>
    </row>
    <row r="2592" spans="1:108" ht="12.75" hidden="1" customHeight="1" outlineLevel="4">
      <c r="A2592" s="104" t="s">
        <v>14</v>
      </c>
      <c r="B2592" s="100" t="s">
        <v>41</v>
      </c>
      <c r="C2592" s="11"/>
      <c r="D2592" s="18" t="str">
        <f>"&lt;" &amp; A2592 &amp; "&gt;" &amp; TEXT(B2592,"0.000000") &amp; "&lt;/" &amp; A2592 &amp; "&gt;"</f>
        <v>&lt;Type&gt;Mswing&lt;/Type&gt;</v>
      </c>
      <c r="F2592" s="6"/>
      <c r="G2592" s="6"/>
      <c r="H2592" s="6"/>
      <c r="I2592" s="6"/>
      <c r="J2592" s="6"/>
      <c r="K2592" s="6"/>
      <c r="L2592" s="6"/>
      <c r="M2592" s="6"/>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c r="BU2592" s="6"/>
      <c r="BV2592" s="6"/>
      <c r="BW2592" s="6"/>
      <c r="BX2592" s="6"/>
      <c r="BY2592" s="6"/>
      <c r="BZ2592" s="6"/>
      <c r="CA2592" s="6"/>
      <c r="CB2592" s="6"/>
      <c r="CC2592" s="6"/>
      <c r="CD2592" s="6"/>
      <c r="CE2592" s="6"/>
      <c r="CF2592" s="6"/>
      <c r="CG2592" s="6"/>
      <c r="CH2592" s="6"/>
      <c r="CI2592" s="6"/>
      <c r="CJ2592" s="6"/>
      <c r="CK2592" s="6"/>
      <c r="CL2592" s="6"/>
      <c r="CM2592" s="6"/>
      <c r="CN2592" s="6"/>
      <c r="CO2592" s="6"/>
      <c r="CP2592" s="6"/>
      <c r="CQ2592" s="6"/>
      <c r="CR2592" s="6"/>
      <c r="CS2592" s="6"/>
      <c r="CT2592" s="6"/>
      <c r="CU2592" s="6"/>
      <c r="CV2592" s="6"/>
      <c r="CW2592" s="6"/>
      <c r="CX2592" s="6"/>
      <c r="CY2592" s="6"/>
      <c r="CZ2592" s="6"/>
      <c r="DA2592" s="6"/>
      <c r="DB2592" s="6"/>
      <c r="DC2592" s="6"/>
      <c r="DD2592" s="6"/>
    </row>
    <row r="2593" spans="1:108" ht="12.75" hidden="1" customHeight="1" outlineLevel="4" collapsed="1">
      <c r="A2593" s="104" t="s">
        <v>42</v>
      </c>
      <c r="B2593" s="100"/>
      <c r="C2593" s="11"/>
      <c r="D2593" s="6" t="str">
        <f>"&lt;" &amp; A2593 &amp; "&gt;"</f>
        <v>&lt;General_Parms&gt;</v>
      </c>
      <c r="F2593" s="6"/>
      <c r="G2593" s="6"/>
      <c r="H2593" s="6"/>
      <c r="I2593" s="6"/>
      <c r="J2593" s="6"/>
      <c r="K2593" s="6"/>
      <c r="L2593" s="6"/>
      <c r="M2593" s="6"/>
      <c r="N2593" s="6"/>
      <c r="O2593" s="6"/>
      <c r="P2593" s="6"/>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c r="BU2593" s="6"/>
      <c r="BV2593" s="6"/>
      <c r="BW2593" s="6"/>
      <c r="BX2593" s="6"/>
      <c r="BY2593" s="6"/>
      <c r="BZ2593" s="6"/>
      <c r="CA2593" s="6"/>
      <c r="CB2593" s="6"/>
      <c r="CC2593" s="6"/>
      <c r="CD2593" s="6"/>
      <c r="CE2593" s="6"/>
      <c r="CF2593" s="6"/>
      <c r="CG2593" s="6"/>
      <c r="CH2593" s="6"/>
      <c r="CI2593" s="6"/>
      <c r="CJ2593" s="6"/>
      <c r="CK2593" s="6"/>
      <c r="CL2593" s="6"/>
      <c r="CM2593" s="6"/>
      <c r="CN2593" s="6"/>
      <c r="CO2593" s="6"/>
      <c r="CP2593" s="6"/>
      <c r="CQ2593" s="6"/>
      <c r="CR2593" s="6"/>
      <c r="CS2593" s="6"/>
      <c r="CT2593" s="6"/>
      <c r="CU2593" s="6"/>
      <c r="CV2593" s="6"/>
      <c r="CW2593" s="6"/>
      <c r="CX2593" s="6"/>
      <c r="CY2593" s="6"/>
      <c r="CZ2593" s="6"/>
      <c r="DA2593" s="6"/>
      <c r="DB2593" s="6"/>
      <c r="DC2593" s="6"/>
      <c r="DD2593" s="6"/>
    </row>
    <row r="2594" spans="1:108" ht="12.75" hidden="1" customHeight="1" outlineLevel="5">
      <c r="A2594" s="104" t="s">
        <v>1</v>
      </c>
      <c r="B2594" s="100" t="str">
        <f t="shared" ref="B2594:B2637" si="146">B2061</f>
        <v>pylon</v>
      </c>
      <c r="C2594" s="11"/>
      <c r="D2594" s="18" t="str">
        <f>"&lt;" &amp; A2594 &amp; "&gt;" &amp; TEXT(B2594,"0.000000") &amp; "&lt;/" &amp; A2594 &amp; "&gt;"</f>
        <v>&lt;Name&gt;pylon&lt;/Name&gt;</v>
      </c>
      <c r="F2594" s="6"/>
      <c r="G2594" s="6"/>
      <c r="H2594" s="6"/>
      <c r="I2594" s="6"/>
      <c r="J2594" s="6"/>
      <c r="K2594" s="6"/>
      <c r="L2594" s="6"/>
      <c r="M2594" s="6"/>
      <c r="N2594" s="6"/>
      <c r="O2594" s="6"/>
      <c r="P2594" s="6"/>
      <c r="Q2594" s="6"/>
      <c r="R2594" s="6"/>
      <c r="S2594" s="6"/>
      <c r="T2594" s="6"/>
      <c r="U2594" s="6"/>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c r="BU2594" s="6"/>
      <c r="BV2594" s="6"/>
      <c r="BW2594" s="6"/>
      <c r="BX2594" s="6"/>
      <c r="BY2594" s="6"/>
      <c r="BZ2594" s="6"/>
      <c r="CA2594" s="6"/>
      <c r="CB2594" s="6"/>
      <c r="CC2594" s="6"/>
      <c r="CD2594" s="6"/>
      <c r="CE2594" s="6"/>
      <c r="CF2594" s="6"/>
      <c r="CG2594" s="6"/>
      <c r="CH2594" s="6"/>
      <c r="CI2594" s="6"/>
      <c r="CJ2594" s="6"/>
      <c r="CK2594" s="6"/>
      <c r="CL2594" s="6"/>
      <c r="CM2594" s="6"/>
      <c r="CN2594" s="6"/>
      <c r="CO2594" s="6"/>
      <c r="CP2594" s="6"/>
      <c r="CQ2594" s="6"/>
      <c r="CR2594" s="6"/>
      <c r="CS2594" s="6"/>
      <c r="CT2594" s="6"/>
      <c r="CU2594" s="6"/>
      <c r="CV2594" s="6"/>
      <c r="CW2594" s="6"/>
      <c r="CX2594" s="6"/>
      <c r="CY2594" s="6"/>
      <c r="CZ2594" s="6"/>
      <c r="DA2594" s="6"/>
      <c r="DB2594" s="6"/>
      <c r="DC2594" s="6"/>
      <c r="DD2594" s="6"/>
    </row>
    <row r="2595" spans="1:108" ht="12.75" hidden="1" customHeight="1" outlineLevel="5">
      <c r="A2595" s="104" t="s">
        <v>43</v>
      </c>
      <c r="B2595" s="28">
        <f t="shared" si="146"/>
        <v>0</v>
      </c>
      <c r="C2595" s="11"/>
      <c r="D2595" s="18" t="str">
        <f>"&lt;" &amp; A2595 &amp; "&gt;" &amp; TEXT(B2595,"0.000000") &amp; "&lt;/" &amp; A2595 &amp; "&gt;"</f>
        <v>&lt;ColorR&gt;0.000000&lt;/ColorR&gt;</v>
      </c>
      <c r="F2595" s="6"/>
      <c r="G2595" s="6"/>
      <c r="H2595" s="6"/>
      <c r="I2595" s="6"/>
      <c r="J2595" s="6"/>
      <c r="K2595" s="6"/>
      <c r="L2595" s="6"/>
      <c r="M2595" s="6"/>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c r="BU2595" s="6"/>
      <c r="BV2595" s="6"/>
      <c r="BW2595" s="6"/>
      <c r="BX2595" s="6"/>
      <c r="BY2595" s="6"/>
      <c r="BZ2595" s="6"/>
      <c r="CA2595" s="6"/>
      <c r="CB2595" s="6"/>
      <c r="CC2595" s="6"/>
      <c r="CD2595" s="6"/>
      <c r="CE2595" s="6"/>
      <c r="CF2595" s="6"/>
      <c r="CG2595" s="6"/>
      <c r="CH2595" s="6"/>
      <c r="CI2595" s="6"/>
      <c r="CJ2595" s="6"/>
      <c r="CK2595" s="6"/>
      <c r="CL2595" s="6"/>
      <c r="CM2595" s="6"/>
      <c r="CN2595" s="6"/>
      <c r="CO2595" s="6"/>
      <c r="CP2595" s="6"/>
      <c r="CQ2595" s="6"/>
      <c r="CR2595" s="6"/>
      <c r="CS2595" s="6"/>
      <c r="CT2595" s="6"/>
      <c r="CU2595" s="6"/>
      <c r="CV2595" s="6"/>
      <c r="CW2595" s="6"/>
      <c r="CX2595" s="6"/>
      <c r="CY2595" s="6"/>
      <c r="CZ2595" s="6"/>
      <c r="DA2595" s="6"/>
      <c r="DB2595" s="6"/>
      <c r="DC2595" s="6"/>
      <c r="DD2595" s="6"/>
    </row>
    <row r="2596" spans="1:108" ht="12.75" hidden="1" customHeight="1" outlineLevel="5">
      <c r="A2596" s="104" t="s">
        <v>44</v>
      </c>
      <c r="B2596" s="28">
        <f t="shared" si="146"/>
        <v>255</v>
      </c>
      <c r="C2596" s="11"/>
      <c r="D2596" s="18" t="str">
        <f>"&lt;" &amp; A2596 &amp; "&gt;" &amp; TEXT(B2596,"0.000000") &amp; "&lt;/" &amp; A2596 &amp; "&gt;"</f>
        <v>&lt;ColorG&gt;255.000000&lt;/ColorG&gt;</v>
      </c>
      <c r="F2596" s="6"/>
      <c r="G2596" s="6"/>
      <c r="H2596" s="6"/>
      <c r="I2596" s="6"/>
      <c r="J2596" s="6"/>
      <c r="K2596" s="6"/>
      <c r="L2596" s="6"/>
      <c r="M2596" s="6"/>
      <c r="N2596" s="6"/>
      <c r="O2596" s="6"/>
      <c r="P2596" s="6"/>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c r="BU2596" s="6"/>
      <c r="BV2596" s="6"/>
      <c r="BW2596" s="6"/>
      <c r="BX2596" s="6"/>
      <c r="BY2596" s="6"/>
      <c r="BZ2596" s="6"/>
      <c r="CA2596" s="6"/>
      <c r="CB2596" s="6"/>
      <c r="CC2596" s="6"/>
      <c r="CD2596" s="6"/>
      <c r="CE2596" s="6"/>
      <c r="CF2596" s="6"/>
      <c r="CG2596" s="6"/>
      <c r="CH2596" s="6"/>
      <c r="CI2596" s="6"/>
      <c r="CJ2596" s="6"/>
      <c r="CK2596" s="6"/>
      <c r="CL2596" s="6"/>
      <c r="CM2596" s="6"/>
      <c r="CN2596" s="6"/>
      <c r="CO2596" s="6"/>
      <c r="CP2596" s="6"/>
      <c r="CQ2596" s="6"/>
      <c r="CR2596" s="6"/>
      <c r="CS2596" s="6"/>
      <c r="CT2596" s="6"/>
      <c r="CU2596" s="6"/>
      <c r="CV2596" s="6"/>
      <c r="CW2596" s="6"/>
      <c r="CX2596" s="6"/>
      <c r="CY2596" s="6"/>
      <c r="CZ2596" s="6"/>
      <c r="DA2596" s="6"/>
      <c r="DB2596" s="6"/>
      <c r="DC2596" s="6"/>
      <c r="DD2596" s="6"/>
    </row>
    <row r="2597" spans="1:108" ht="12.75" hidden="1" customHeight="1" outlineLevel="5">
      <c r="A2597" s="104" t="s">
        <v>45</v>
      </c>
      <c r="B2597" s="28">
        <f t="shared" si="146"/>
        <v>0</v>
      </c>
      <c r="C2597" s="11"/>
      <c r="D2597" s="18" t="str">
        <f>"&lt;" &amp; A2597 &amp; "&gt;" &amp; TEXT(B2597,"0.000000") &amp; "&lt;/" &amp; A2597 &amp; "&gt;"</f>
        <v>&lt;ColorB&gt;0.000000&lt;/ColorB&gt;</v>
      </c>
      <c r="F2597" s="6"/>
      <c r="G2597" s="6"/>
      <c r="H2597" s="6"/>
      <c r="I2597" s="6"/>
      <c r="J2597" s="6"/>
      <c r="K2597" s="6"/>
      <c r="L2597" s="6"/>
      <c r="M2597" s="6"/>
      <c r="N2597" s="6"/>
      <c r="O2597" s="6"/>
      <c r="P2597" s="6"/>
      <c r="Q2597" s="6"/>
      <c r="R2597" s="6"/>
      <c r="S2597" s="6"/>
      <c r="T2597" s="6"/>
      <c r="U2597" s="6"/>
      <c r="V2597" s="6"/>
      <c r="W2597" s="6"/>
      <c r="X2597" s="6"/>
      <c r="Y2597" s="6"/>
      <c r="Z2597" s="6"/>
      <c r="AA2597" s="6"/>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c r="BU2597" s="6"/>
      <c r="BV2597" s="6"/>
      <c r="BW2597" s="6"/>
      <c r="BX2597" s="6"/>
      <c r="BY2597" s="6"/>
      <c r="BZ2597" s="6"/>
      <c r="CA2597" s="6"/>
      <c r="CB2597" s="6"/>
      <c r="CC2597" s="6"/>
      <c r="CD2597" s="6"/>
      <c r="CE2597" s="6"/>
      <c r="CF2597" s="6"/>
      <c r="CG2597" s="6"/>
      <c r="CH2597" s="6"/>
      <c r="CI2597" s="6"/>
      <c r="CJ2597" s="6"/>
      <c r="CK2597" s="6"/>
      <c r="CL2597" s="6"/>
      <c r="CM2597" s="6"/>
      <c r="CN2597" s="6"/>
      <c r="CO2597" s="6"/>
      <c r="CP2597" s="6"/>
      <c r="CQ2597" s="6"/>
      <c r="CR2597" s="6"/>
      <c r="CS2597" s="6"/>
      <c r="CT2597" s="6"/>
      <c r="CU2597" s="6"/>
      <c r="CV2597" s="6"/>
      <c r="CW2597" s="6"/>
      <c r="CX2597" s="6"/>
      <c r="CY2597" s="6"/>
      <c r="CZ2597" s="6"/>
      <c r="DA2597" s="6"/>
      <c r="DB2597" s="6"/>
      <c r="DC2597" s="6"/>
      <c r="DD2597" s="6"/>
    </row>
    <row r="2598" spans="1:108" ht="12.75" hidden="1" customHeight="1" outlineLevel="5">
      <c r="A2598" s="104" t="s">
        <v>46</v>
      </c>
      <c r="B2598" s="28">
        <f t="shared" si="146"/>
        <v>0</v>
      </c>
      <c r="C2598" s="11"/>
      <c r="D2598" s="18" t="str">
        <f t="shared" ref="D2598:D2607" si="147">"&lt;" &amp; A2598 &amp; "&gt;" &amp; TEXT(B2598,0) &amp; "&lt;/" &amp; A2598 &amp; "&gt;"</f>
        <v>&lt;Symmetry&gt;0&lt;/Symmetry&gt;</v>
      </c>
      <c r="F2598" s="6"/>
      <c r="G2598" s="6"/>
      <c r="H2598" s="6"/>
      <c r="I2598" s="6"/>
      <c r="J2598" s="6"/>
      <c r="K2598" s="6"/>
      <c r="L2598" s="6"/>
      <c r="M2598" s="6"/>
      <c r="N2598" s="6"/>
      <c r="O2598" s="6"/>
      <c r="P2598" s="6"/>
      <c r="Q2598" s="6"/>
      <c r="R2598" s="6"/>
      <c r="S2598" s="6"/>
      <c r="T2598" s="6"/>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c r="BU2598" s="6"/>
      <c r="BV2598" s="6"/>
      <c r="BW2598" s="6"/>
      <c r="BX2598" s="6"/>
      <c r="BY2598" s="6"/>
      <c r="BZ2598" s="6"/>
      <c r="CA2598" s="6"/>
      <c r="CB2598" s="6"/>
      <c r="CC2598" s="6"/>
      <c r="CD2598" s="6"/>
      <c r="CE2598" s="6"/>
      <c r="CF2598" s="6"/>
      <c r="CG2598" s="6"/>
      <c r="CH2598" s="6"/>
      <c r="CI2598" s="6"/>
      <c r="CJ2598" s="6"/>
      <c r="CK2598" s="6"/>
      <c r="CL2598" s="6"/>
      <c r="CM2598" s="6"/>
      <c r="CN2598" s="6"/>
      <c r="CO2598" s="6"/>
      <c r="CP2598" s="6"/>
      <c r="CQ2598" s="6"/>
      <c r="CR2598" s="6"/>
      <c r="CS2598" s="6"/>
      <c r="CT2598" s="6"/>
      <c r="CU2598" s="6"/>
      <c r="CV2598" s="6"/>
      <c r="CW2598" s="6"/>
      <c r="CX2598" s="6"/>
      <c r="CY2598" s="6"/>
      <c r="CZ2598" s="6"/>
      <c r="DA2598" s="6"/>
      <c r="DB2598" s="6"/>
      <c r="DC2598" s="6"/>
      <c r="DD2598" s="6"/>
    </row>
    <row r="2599" spans="1:108" ht="12.75" hidden="1" customHeight="1" outlineLevel="5">
      <c r="A2599" s="104" t="s">
        <v>47</v>
      </c>
      <c r="B2599" s="28">
        <f t="shared" si="146"/>
        <v>0</v>
      </c>
      <c r="C2599" s="11"/>
      <c r="D2599" s="18" t="str">
        <f t="shared" si="147"/>
        <v>&lt;RelXFormFlag&gt;0&lt;/RelXFormFlag&gt;</v>
      </c>
      <c r="F2599" s="6"/>
      <c r="G2599" s="6"/>
      <c r="H2599" s="6"/>
      <c r="I2599" s="6"/>
      <c r="J2599" s="6"/>
      <c r="K2599" s="6"/>
      <c r="L2599" s="6"/>
      <c r="M2599" s="6"/>
      <c r="N2599" s="6"/>
      <c r="O2599" s="6"/>
      <c r="P2599" s="6"/>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c r="BU2599" s="6"/>
      <c r="BV2599" s="6"/>
      <c r="BW2599" s="6"/>
      <c r="BX2599" s="6"/>
      <c r="BY2599" s="6"/>
      <c r="BZ2599" s="6"/>
      <c r="CA2599" s="6"/>
      <c r="CB2599" s="6"/>
      <c r="CC2599" s="6"/>
      <c r="CD2599" s="6"/>
      <c r="CE2599" s="6"/>
      <c r="CF2599" s="6"/>
      <c r="CG2599" s="6"/>
      <c r="CH2599" s="6"/>
      <c r="CI2599" s="6"/>
      <c r="CJ2599" s="6"/>
      <c r="CK2599" s="6"/>
      <c r="CL2599" s="6"/>
      <c r="CM2599" s="6"/>
      <c r="CN2599" s="6"/>
      <c r="CO2599" s="6"/>
      <c r="CP2599" s="6"/>
      <c r="CQ2599" s="6"/>
      <c r="CR2599" s="6"/>
      <c r="CS2599" s="6"/>
      <c r="CT2599" s="6"/>
      <c r="CU2599" s="6"/>
      <c r="CV2599" s="6"/>
      <c r="CW2599" s="6"/>
      <c r="CX2599" s="6"/>
      <c r="CY2599" s="6"/>
      <c r="CZ2599" s="6"/>
      <c r="DA2599" s="6"/>
      <c r="DB2599" s="6"/>
      <c r="DC2599" s="6"/>
      <c r="DD2599" s="6"/>
    </row>
    <row r="2600" spans="1:108" ht="12.75" hidden="1" customHeight="1" outlineLevel="5">
      <c r="A2600" s="104" t="s">
        <v>48</v>
      </c>
      <c r="B2600" s="28">
        <f t="shared" si="146"/>
        <v>2</v>
      </c>
      <c r="C2600" s="11"/>
      <c r="D2600" s="18" t="str">
        <f t="shared" si="147"/>
        <v>&lt;MaterialID&gt;2&lt;/MaterialID&gt;</v>
      </c>
      <c r="F2600" s="6"/>
      <c r="G2600" s="6"/>
      <c r="H2600" s="6"/>
      <c r="I2600" s="6"/>
      <c r="J2600" s="6"/>
      <c r="K2600" s="6"/>
      <c r="L2600" s="6"/>
      <c r="M2600" s="6"/>
      <c r="N2600" s="6"/>
      <c r="O2600" s="6"/>
      <c r="P2600" s="6"/>
      <c r="Q2600" s="6"/>
      <c r="R2600" s="6"/>
      <c r="S2600" s="6"/>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c r="BU2600" s="6"/>
      <c r="BV2600" s="6"/>
      <c r="BW2600" s="6"/>
      <c r="BX2600" s="6"/>
      <c r="BY2600" s="6"/>
      <c r="BZ2600" s="6"/>
      <c r="CA2600" s="6"/>
      <c r="CB2600" s="6"/>
      <c r="CC2600" s="6"/>
      <c r="CD2600" s="6"/>
      <c r="CE2600" s="6"/>
      <c r="CF2600" s="6"/>
      <c r="CG2600" s="6"/>
      <c r="CH2600" s="6"/>
      <c r="CI2600" s="6"/>
      <c r="CJ2600" s="6"/>
      <c r="CK2600" s="6"/>
      <c r="CL2600" s="6"/>
      <c r="CM2600" s="6"/>
      <c r="CN2600" s="6"/>
      <c r="CO2600" s="6"/>
      <c r="CP2600" s="6"/>
      <c r="CQ2600" s="6"/>
      <c r="CR2600" s="6"/>
      <c r="CS2600" s="6"/>
      <c r="CT2600" s="6"/>
      <c r="CU2600" s="6"/>
      <c r="CV2600" s="6"/>
      <c r="CW2600" s="6"/>
      <c r="CX2600" s="6"/>
      <c r="CY2600" s="6"/>
      <c r="CZ2600" s="6"/>
      <c r="DA2600" s="6"/>
      <c r="DB2600" s="6"/>
      <c r="DC2600" s="6"/>
      <c r="DD2600" s="6"/>
    </row>
    <row r="2601" spans="1:108" ht="12.75" hidden="1" customHeight="1" outlineLevel="5">
      <c r="A2601" s="104" t="s">
        <v>49</v>
      </c>
      <c r="B2601" s="28">
        <f t="shared" si="146"/>
        <v>1</v>
      </c>
      <c r="C2601" s="11"/>
      <c r="D2601" s="18" t="str">
        <f t="shared" si="147"/>
        <v>&lt;OutputFlag&gt;1&lt;/OutputFlag&gt;</v>
      </c>
      <c r="F2601" s="6"/>
      <c r="G2601" s="6"/>
      <c r="H2601" s="6"/>
      <c r="I2601" s="6"/>
      <c r="J2601" s="6"/>
      <c r="K2601" s="6"/>
      <c r="L2601" s="6"/>
      <c r="M2601" s="6"/>
      <c r="N2601" s="6"/>
      <c r="O2601" s="6"/>
      <c r="P2601" s="6"/>
      <c r="Q2601" s="6"/>
      <c r="R2601" s="6"/>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c r="BU2601" s="6"/>
      <c r="BV2601" s="6"/>
      <c r="BW2601" s="6"/>
      <c r="BX2601" s="6"/>
      <c r="BY2601" s="6"/>
      <c r="BZ2601" s="6"/>
      <c r="CA2601" s="6"/>
      <c r="CB2601" s="6"/>
      <c r="CC2601" s="6"/>
      <c r="CD2601" s="6"/>
      <c r="CE2601" s="6"/>
      <c r="CF2601" s="6"/>
      <c r="CG2601" s="6"/>
      <c r="CH2601" s="6"/>
      <c r="CI2601" s="6"/>
      <c r="CJ2601" s="6"/>
      <c r="CK2601" s="6"/>
      <c r="CL2601" s="6"/>
      <c r="CM2601" s="6"/>
      <c r="CN2601" s="6"/>
      <c r="CO2601" s="6"/>
      <c r="CP2601" s="6"/>
      <c r="CQ2601" s="6"/>
      <c r="CR2601" s="6"/>
      <c r="CS2601" s="6"/>
      <c r="CT2601" s="6"/>
      <c r="CU2601" s="6"/>
      <c r="CV2601" s="6"/>
      <c r="CW2601" s="6"/>
      <c r="CX2601" s="6"/>
      <c r="CY2601" s="6"/>
      <c r="CZ2601" s="6"/>
      <c r="DA2601" s="6"/>
      <c r="DB2601" s="6"/>
      <c r="DC2601" s="6"/>
      <c r="DD2601" s="6"/>
    </row>
    <row r="2602" spans="1:108" ht="12.75" hidden="1" customHeight="1" outlineLevel="5">
      <c r="A2602" s="104" t="s">
        <v>50</v>
      </c>
      <c r="B2602" s="28">
        <f t="shared" si="146"/>
        <v>0</v>
      </c>
      <c r="C2602" s="11"/>
      <c r="D2602" s="18" t="str">
        <f t="shared" si="147"/>
        <v>&lt;OutputNameID&gt;0&lt;/OutputNameID&gt;</v>
      </c>
      <c r="F2602" s="6"/>
      <c r="G2602" s="6"/>
      <c r="H2602" s="6"/>
      <c r="I2602" s="6"/>
      <c r="J2602" s="6"/>
      <c r="K2602" s="6"/>
      <c r="L2602" s="6"/>
      <c r="M2602" s="6"/>
      <c r="N2602" s="6"/>
      <c r="O2602" s="6"/>
      <c r="P2602" s="6"/>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c r="BU2602" s="6"/>
      <c r="BV2602" s="6"/>
      <c r="BW2602" s="6"/>
      <c r="BX2602" s="6"/>
      <c r="BY2602" s="6"/>
      <c r="BZ2602" s="6"/>
      <c r="CA2602" s="6"/>
      <c r="CB2602" s="6"/>
      <c r="CC2602" s="6"/>
      <c r="CD2602" s="6"/>
      <c r="CE2602" s="6"/>
      <c r="CF2602" s="6"/>
      <c r="CG2602" s="6"/>
      <c r="CH2602" s="6"/>
      <c r="CI2602" s="6"/>
      <c r="CJ2602" s="6"/>
      <c r="CK2602" s="6"/>
      <c r="CL2602" s="6"/>
      <c r="CM2602" s="6"/>
      <c r="CN2602" s="6"/>
      <c r="CO2602" s="6"/>
      <c r="CP2602" s="6"/>
      <c r="CQ2602" s="6"/>
      <c r="CR2602" s="6"/>
      <c r="CS2602" s="6"/>
      <c r="CT2602" s="6"/>
      <c r="CU2602" s="6"/>
      <c r="CV2602" s="6"/>
      <c r="CW2602" s="6"/>
      <c r="CX2602" s="6"/>
      <c r="CY2602" s="6"/>
      <c r="CZ2602" s="6"/>
      <c r="DA2602" s="6"/>
      <c r="DB2602" s="6"/>
      <c r="DC2602" s="6"/>
      <c r="DD2602" s="6"/>
    </row>
    <row r="2603" spans="1:108" ht="12.75" hidden="1" customHeight="1" outlineLevel="5">
      <c r="A2603" s="104" t="s">
        <v>51</v>
      </c>
      <c r="B2603" s="28">
        <f t="shared" si="146"/>
        <v>1</v>
      </c>
      <c r="C2603" s="11"/>
      <c r="D2603" s="18" t="str">
        <f t="shared" si="147"/>
        <v>&lt;DisplayChildrenFlag&gt;1&lt;/DisplayChildrenFlag&gt;</v>
      </c>
      <c r="F2603" s="6"/>
      <c r="G2603" s="6"/>
      <c r="H2603" s="6"/>
      <c r="I2603" s="6"/>
      <c r="J2603" s="6"/>
      <c r="K2603" s="6"/>
      <c r="L2603" s="6"/>
      <c r="M2603" s="6"/>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c r="BU2603" s="6"/>
      <c r="BV2603" s="6"/>
      <c r="BW2603" s="6"/>
      <c r="BX2603" s="6"/>
      <c r="BY2603" s="6"/>
      <c r="BZ2603" s="6"/>
      <c r="CA2603" s="6"/>
      <c r="CB2603" s="6"/>
      <c r="CC2603" s="6"/>
      <c r="CD2603" s="6"/>
      <c r="CE2603" s="6"/>
      <c r="CF2603" s="6"/>
      <c r="CG2603" s="6"/>
      <c r="CH2603" s="6"/>
      <c r="CI2603" s="6"/>
      <c r="CJ2603" s="6"/>
      <c r="CK2603" s="6"/>
      <c r="CL2603" s="6"/>
      <c r="CM2603" s="6"/>
      <c r="CN2603" s="6"/>
      <c r="CO2603" s="6"/>
      <c r="CP2603" s="6"/>
      <c r="CQ2603" s="6"/>
      <c r="CR2603" s="6"/>
      <c r="CS2603" s="6"/>
      <c r="CT2603" s="6"/>
      <c r="CU2603" s="6"/>
      <c r="CV2603" s="6"/>
      <c r="CW2603" s="6"/>
      <c r="CX2603" s="6"/>
      <c r="CY2603" s="6"/>
      <c r="CZ2603" s="6"/>
      <c r="DA2603" s="6"/>
      <c r="DB2603" s="6"/>
      <c r="DC2603" s="6"/>
      <c r="DD2603" s="6"/>
    </row>
    <row r="2604" spans="1:108" ht="12.75" hidden="1" customHeight="1" outlineLevel="5">
      <c r="A2604" s="104" t="s">
        <v>52</v>
      </c>
      <c r="B2604" s="28">
        <f t="shared" si="146"/>
        <v>21</v>
      </c>
      <c r="C2604" s="11"/>
      <c r="D2604" s="18" t="str">
        <f t="shared" si="147"/>
        <v>&lt;NumPnts&gt;21&lt;/NumPnts&gt;</v>
      </c>
      <c r="F2604" s="6"/>
      <c r="G2604" s="6"/>
      <c r="H2604" s="6"/>
      <c r="I2604" s="6"/>
      <c r="J2604" s="6"/>
      <c r="K2604" s="6"/>
      <c r="L2604" s="6"/>
      <c r="M2604" s="6"/>
      <c r="N2604" s="6"/>
      <c r="O2604" s="6"/>
      <c r="P2604" s="6"/>
      <c r="Q2604" s="6"/>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c r="BU2604" s="6"/>
      <c r="BV2604" s="6"/>
      <c r="BW2604" s="6"/>
      <c r="BX2604" s="6"/>
      <c r="BY2604" s="6"/>
      <c r="BZ2604" s="6"/>
      <c r="CA2604" s="6"/>
      <c r="CB2604" s="6"/>
      <c r="CC2604" s="6"/>
      <c r="CD2604" s="6"/>
      <c r="CE2604" s="6"/>
      <c r="CF2604" s="6"/>
      <c r="CG2604" s="6"/>
      <c r="CH2604" s="6"/>
      <c r="CI2604" s="6"/>
      <c r="CJ2604" s="6"/>
      <c r="CK2604" s="6"/>
      <c r="CL2604" s="6"/>
      <c r="CM2604" s="6"/>
      <c r="CN2604" s="6"/>
      <c r="CO2604" s="6"/>
      <c r="CP2604" s="6"/>
      <c r="CQ2604" s="6"/>
      <c r="CR2604" s="6"/>
      <c r="CS2604" s="6"/>
      <c r="CT2604" s="6"/>
      <c r="CU2604" s="6"/>
      <c r="CV2604" s="6"/>
      <c r="CW2604" s="6"/>
      <c r="CX2604" s="6"/>
      <c r="CY2604" s="6"/>
      <c r="CZ2604" s="6"/>
      <c r="DA2604" s="6"/>
      <c r="DB2604" s="6"/>
      <c r="DC2604" s="6"/>
      <c r="DD2604" s="6"/>
    </row>
    <row r="2605" spans="1:108" ht="12.75" hidden="1" customHeight="1" outlineLevel="5">
      <c r="A2605" s="104" t="s">
        <v>53</v>
      </c>
      <c r="B2605" s="28">
        <f t="shared" si="146"/>
        <v>11</v>
      </c>
      <c r="C2605" s="11"/>
      <c r="D2605" s="18" t="str">
        <f t="shared" si="147"/>
        <v>&lt;NumXsecs&gt;11&lt;/NumXsecs&gt;</v>
      </c>
      <c r="F2605" s="6"/>
      <c r="G2605" s="6"/>
      <c r="H2605" s="6"/>
      <c r="I2605" s="6"/>
      <c r="J2605" s="6"/>
      <c r="K2605" s="6"/>
      <c r="L2605" s="6"/>
      <c r="M2605" s="6"/>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c r="BU2605" s="6"/>
      <c r="BV2605" s="6"/>
      <c r="BW2605" s="6"/>
      <c r="BX2605" s="6"/>
      <c r="BY2605" s="6"/>
      <c r="BZ2605" s="6"/>
      <c r="CA2605" s="6"/>
      <c r="CB2605" s="6"/>
      <c r="CC2605" s="6"/>
      <c r="CD2605" s="6"/>
      <c r="CE2605" s="6"/>
      <c r="CF2605" s="6"/>
      <c r="CG2605" s="6"/>
      <c r="CH2605" s="6"/>
      <c r="CI2605" s="6"/>
      <c r="CJ2605" s="6"/>
      <c r="CK2605" s="6"/>
      <c r="CL2605" s="6"/>
      <c r="CM2605" s="6"/>
      <c r="CN2605" s="6"/>
      <c r="CO2605" s="6"/>
      <c r="CP2605" s="6"/>
      <c r="CQ2605" s="6"/>
      <c r="CR2605" s="6"/>
      <c r="CS2605" s="6"/>
      <c r="CT2605" s="6"/>
      <c r="CU2605" s="6"/>
      <c r="CV2605" s="6"/>
      <c r="CW2605" s="6"/>
      <c r="CX2605" s="6"/>
      <c r="CY2605" s="6"/>
      <c r="CZ2605" s="6"/>
      <c r="DA2605" s="6"/>
      <c r="DB2605" s="6"/>
      <c r="DC2605" s="6"/>
      <c r="DD2605" s="6"/>
    </row>
    <row r="2606" spans="1:108" ht="12.75" hidden="1" customHeight="1" outlineLevel="5">
      <c r="A2606" s="104" t="s">
        <v>54</v>
      </c>
      <c r="B2606" s="28">
        <f t="shared" si="146"/>
        <v>0</v>
      </c>
      <c r="C2606" s="11"/>
      <c r="D2606" s="18" t="str">
        <f t="shared" si="147"/>
        <v>&lt;MassPrior&gt;0&lt;/MassPrior&gt;</v>
      </c>
      <c r="F2606" s="6"/>
      <c r="G2606" s="6"/>
      <c r="H2606" s="6"/>
      <c r="I2606" s="6"/>
      <c r="J2606" s="6"/>
      <c r="K2606" s="6"/>
      <c r="L2606" s="6"/>
      <c r="M2606" s="6"/>
      <c r="N2606" s="6"/>
      <c r="O2606" s="6"/>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c r="BU2606" s="6"/>
      <c r="BV2606" s="6"/>
      <c r="BW2606" s="6"/>
      <c r="BX2606" s="6"/>
      <c r="BY2606" s="6"/>
      <c r="BZ2606" s="6"/>
      <c r="CA2606" s="6"/>
      <c r="CB2606" s="6"/>
      <c r="CC2606" s="6"/>
      <c r="CD2606" s="6"/>
      <c r="CE2606" s="6"/>
      <c r="CF2606" s="6"/>
      <c r="CG2606" s="6"/>
      <c r="CH2606" s="6"/>
      <c r="CI2606" s="6"/>
      <c r="CJ2606" s="6"/>
      <c r="CK2606" s="6"/>
      <c r="CL2606" s="6"/>
      <c r="CM2606" s="6"/>
      <c r="CN2606" s="6"/>
      <c r="CO2606" s="6"/>
      <c r="CP2606" s="6"/>
      <c r="CQ2606" s="6"/>
      <c r="CR2606" s="6"/>
      <c r="CS2606" s="6"/>
      <c r="CT2606" s="6"/>
      <c r="CU2606" s="6"/>
      <c r="CV2606" s="6"/>
      <c r="CW2606" s="6"/>
      <c r="CX2606" s="6"/>
      <c r="CY2606" s="6"/>
      <c r="CZ2606" s="6"/>
      <c r="DA2606" s="6"/>
      <c r="DB2606" s="6"/>
      <c r="DC2606" s="6"/>
      <c r="DD2606" s="6"/>
    </row>
    <row r="2607" spans="1:108" ht="12.75" hidden="1" customHeight="1" outlineLevel="5">
      <c r="A2607" s="104" t="s">
        <v>55</v>
      </c>
      <c r="B2607" s="28">
        <f t="shared" si="146"/>
        <v>0</v>
      </c>
      <c r="C2607" s="11"/>
      <c r="D2607" s="18" t="str">
        <f t="shared" si="147"/>
        <v>&lt;ShellFlag&gt;0&lt;/ShellFlag&gt;</v>
      </c>
      <c r="F2607" s="6"/>
      <c r="G2607" s="6"/>
      <c r="H2607" s="6"/>
      <c r="I2607" s="6"/>
      <c r="J2607" s="6"/>
      <c r="K2607" s="6"/>
      <c r="L2607" s="6"/>
      <c r="M2607" s="6"/>
      <c r="N2607" s="6"/>
      <c r="O2607" s="6"/>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c r="BU2607" s="6"/>
      <c r="BV2607" s="6"/>
      <c r="BW2607" s="6"/>
      <c r="BX2607" s="6"/>
      <c r="BY2607" s="6"/>
      <c r="BZ2607" s="6"/>
      <c r="CA2607" s="6"/>
      <c r="CB2607" s="6"/>
      <c r="CC2607" s="6"/>
      <c r="CD2607" s="6"/>
      <c r="CE2607" s="6"/>
      <c r="CF2607" s="6"/>
      <c r="CG2607" s="6"/>
      <c r="CH2607" s="6"/>
      <c r="CI2607" s="6"/>
      <c r="CJ2607" s="6"/>
      <c r="CK2607" s="6"/>
      <c r="CL2607" s="6"/>
      <c r="CM2607" s="6"/>
      <c r="CN2607" s="6"/>
      <c r="CO2607" s="6"/>
      <c r="CP2607" s="6"/>
      <c r="CQ2607" s="6"/>
      <c r="CR2607" s="6"/>
      <c r="CS2607" s="6"/>
      <c r="CT2607" s="6"/>
      <c r="CU2607" s="6"/>
      <c r="CV2607" s="6"/>
      <c r="CW2607" s="6"/>
      <c r="CX2607" s="6"/>
      <c r="CY2607" s="6"/>
      <c r="CZ2607" s="6"/>
      <c r="DA2607" s="6"/>
      <c r="DB2607" s="6"/>
      <c r="DC2607" s="6"/>
      <c r="DD2607" s="6"/>
    </row>
    <row r="2608" spans="1:108" ht="12.75" hidden="1" customHeight="1" outlineLevel="5">
      <c r="A2608" s="104" t="s">
        <v>56</v>
      </c>
      <c r="B2608" s="38">
        <f t="shared" si="146"/>
        <v>0</v>
      </c>
      <c r="C2608" s="11"/>
      <c r="D2608" s="18" t="str">
        <f t="shared" ref="D2608:D2622" si="148">"&lt;" &amp; A2608 &amp; "&gt;" &amp; TEXT(B2608,"0.000000") &amp; "&lt;/" &amp; A2608 &amp; "&gt;"</f>
        <v>&lt;Tran_X&gt;0.000000&lt;/Tran_X&gt;</v>
      </c>
      <c r="F2608" s="6"/>
      <c r="G2608" s="6"/>
      <c r="H2608" s="6"/>
      <c r="I2608" s="6"/>
      <c r="J2608" s="6"/>
      <c r="K2608" s="6"/>
      <c r="L2608" s="6"/>
      <c r="M2608" s="6"/>
      <c r="N2608" s="6"/>
      <c r="O2608" s="6"/>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c r="BU2608" s="6"/>
      <c r="BV2608" s="6"/>
      <c r="BW2608" s="6"/>
      <c r="BX2608" s="6"/>
      <c r="BY2608" s="6"/>
      <c r="BZ2608" s="6"/>
      <c r="CA2608" s="6"/>
      <c r="CB2608" s="6"/>
      <c r="CC2608" s="6"/>
      <c r="CD2608" s="6"/>
      <c r="CE2608" s="6"/>
      <c r="CF2608" s="6"/>
      <c r="CG2608" s="6"/>
      <c r="CH2608" s="6"/>
      <c r="CI2608" s="6"/>
      <c r="CJ2608" s="6"/>
      <c r="CK2608" s="6"/>
      <c r="CL2608" s="6"/>
      <c r="CM2608" s="6"/>
      <c r="CN2608" s="6"/>
      <c r="CO2608" s="6"/>
      <c r="CP2608" s="6"/>
      <c r="CQ2608" s="6"/>
      <c r="CR2608" s="6"/>
      <c r="CS2608" s="6"/>
      <c r="CT2608" s="6"/>
      <c r="CU2608" s="6"/>
      <c r="CV2608" s="6"/>
      <c r="CW2608" s="6"/>
      <c r="CX2608" s="6"/>
      <c r="CY2608" s="6"/>
      <c r="CZ2608" s="6"/>
      <c r="DA2608" s="6"/>
      <c r="DB2608" s="6"/>
      <c r="DC2608" s="6"/>
      <c r="DD2608" s="6"/>
    </row>
    <row r="2609" spans="1:108" ht="12.75" hidden="1" customHeight="1" outlineLevel="5">
      <c r="A2609" s="104" t="s">
        <v>57</v>
      </c>
      <c r="B2609" s="38">
        <f t="shared" si="146"/>
        <v>0</v>
      </c>
      <c r="C2609" s="11"/>
      <c r="D2609" s="18" t="str">
        <f t="shared" si="148"/>
        <v>&lt;Tran_Y&gt;0.000000&lt;/Tran_Y&gt;</v>
      </c>
      <c r="F2609" s="6"/>
      <c r="G2609" s="6"/>
      <c r="H2609" s="6"/>
      <c r="I2609" s="6"/>
      <c r="J2609" s="6"/>
      <c r="K2609" s="6"/>
      <c r="L2609" s="6"/>
      <c r="M2609" s="6"/>
      <c r="N2609" s="6"/>
      <c r="O2609" s="6"/>
      <c r="P2609" s="6"/>
      <c r="Q2609" s="6"/>
      <c r="R2609" s="6"/>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c r="BU2609" s="6"/>
      <c r="BV2609" s="6"/>
      <c r="BW2609" s="6"/>
      <c r="BX2609" s="6"/>
      <c r="BY2609" s="6"/>
      <c r="BZ2609" s="6"/>
      <c r="CA2609" s="6"/>
      <c r="CB2609" s="6"/>
      <c r="CC2609" s="6"/>
      <c r="CD2609" s="6"/>
      <c r="CE2609" s="6"/>
      <c r="CF2609" s="6"/>
      <c r="CG2609" s="6"/>
      <c r="CH2609" s="6"/>
      <c r="CI2609" s="6"/>
      <c r="CJ2609" s="6"/>
      <c r="CK2609" s="6"/>
      <c r="CL2609" s="6"/>
      <c r="CM2609" s="6"/>
      <c r="CN2609" s="6"/>
      <c r="CO2609" s="6"/>
      <c r="CP2609" s="6"/>
      <c r="CQ2609" s="6"/>
      <c r="CR2609" s="6"/>
      <c r="CS2609" s="6"/>
      <c r="CT2609" s="6"/>
      <c r="CU2609" s="6"/>
      <c r="CV2609" s="6"/>
      <c r="CW2609" s="6"/>
      <c r="CX2609" s="6"/>
      <c r="CY2609" s="6"/>
      <c r="CZ2609" s="6"/>
      <c r="DA2609" s="6"/>
      <c r="DB2609" s="6"/>
      <c r="DC2609" s="6"/>
      <c r="DD2609" s="6"/>
    </row>
    <row r="2610" spans="1:108" ht="12.75" hidden="1" customHeight="1" outlineLevel="5">
      <c r="A2610" s="104" t="s">
        <v>58</v>
      </c>
      <c r="B2610" s="38">
        <f t="shared" si="146"/>
        <v>0.82173499999999999</v>
      </c>
      <c r="C2610" s="11"/>
      <c r="D2610" s="18" t="str">
        <f t="shared" si="148"/>
        <v>&lt;Tran_Z&gt;0.821735&lt;/Tran_Z&gt;</v>
      </c>
      <c r="F2610" s="6"/>
      <c r="G2610" s="6"/>
      <c r="H2610" s="6"/>
      <c r="I2610" s="6"/>
      <c r="J2610" s="6"/>
      <c r="K2610" s="6"/>
      <c r="L2610" s="6"/>
      <c r="M2610" s="6"/>
      <c r="N2610" s="6"/>
      <c r="O2610" s="6"/>
      <c r="P2610" s="6"/>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c r="BU2610" s="6"/>
      <c r="BV2610" s="6"/>
      <c r="BW2610" s="6"/>
      <c r="BX2610" s="6"/>
      <c r="BY2610" s="6"/>
      <c r="BZ2610" s="6"/>
      <c r="CA2610" s="6"/>
      <c r="CB2610" s="6"/>
      <c r="CC2610" s="6"/>
      <c r="CD2610" s="6"/>
      <c r="CE2610" s="6"/>
      <c r="CF2610" s="6"/>
      <c r="CG2610" s="6"/>
      <c r="CH2610" s="6"/>
      <c r="CI2610" s="6"/>
      <c r="CJ2610" s="6"/>
      <c r="CK2610" s="6"/>
      <c r="CL2610" s="6"/>
      <c r="CM2610" s="6"/>
      <c r="CN2610" s="6"/>
      <c r="CO2610" s="6"/>
      <c r="CP2610" s="6"/>
      <c r="CQ2610" s="6"/>
      <c r="CR2610" s="6"/>
      <c r="CS2610" s="6"/>
      <c r="CT2610" s="6"/>
      <c r="CU2610" s="6"/>
      <c r="CV2610" s="6"/>
      <c r="CW2610" s="6"/>
      <c r="CX2610" s="6"/>
      <c r="CY2610" s="6"/>
      <c r="CZ2610" s="6"/>
      <c r="DA2610" s="6"/>
      <c r="DB2610" s="6"/>
      <c r="DC2610" s="6"/>
      <c r="DD2610" s="6"/>
    </row>
    <row r="2611" spans="1:108" ht="12.75" hidden="1" customHeight="1" outlineLevel="5">
      <c r="A2611" s="104" t="s">
        <v>59</v>
      </c>
      <c r="B2611" s="28">
        <f t="shared" si="146"/>
        <v>0</v>
      </c>
      <c r="C2611" s="11"/>
      <c r="D2611" s="18" t="str">
        <f t="shared" si="148"/>
        <v>&lt;TranRel_X&gt;0.000000&lt;/TranRel_X&gt;</v>
      </c>
      <c r="F2611" s="6"/>
      <c r="G2611" s="6"/>
      <c r="H2611" s="6"/>
      <c r="I2611" s="6"/>
      <c r="J2611" s="6"/>
      <c r="K2611" s="6"/>
      <c r="L2611" s="6"/>
      <c r="M2611" s="6"/>
      <c r="N2611" s="6"/>
      <c r="O2611" s="6"/>
      <c r="P2611" s="6"/>
      <c r="Q2611" s="6"/>
      <c r="R2611" s="6"/>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c r="BU2611" s="6"/>
      <c r="BV2611" s="6"/>
      <c r="BW2611" s="6"/>
      <c r="BX2611" s="6"/>
      <c r="BY2611" s="6"/>
      <c r="BZ2611" s="6"/>
      <c r="CA2611" s="6"/>
      <c r="CB2611" s="6"/>
      <c r="CC2611" s="6"/>
      <c r="CD2611" s="6"/>
      <c r="CE2611" s="6"/>
      <c r="CF2611" s="6"/>
      <c r="CG2611" s="6"/>
      <c r="CH2611" s="6"/>
      <c r="CI2611" s="6"/>
      <c r="CJ2611" s="6"/>
      <c r="CK2611" s="6"/>
      <c r="CL2611" s="6"/>
      <c r="CM2611" s="6"/>
      <c r="CN2611" s="6"/>
      <c r="CO2611" s="6"/>
      <c r="CP2611" s="6"/>
      <c r="CQ2611" s="6"/>
      <c r="CR2611" s="6"/>
      <c r="CS2611" s="6"/>
      <c r="CT2611" s="6"/>
      <c r="CU2611" s="6"/>
      <c r="CV2611" s="6"/>
      <c r="CW2611" s="6"/>
      <c r="CX2611" s="6"/>
      <c r="CY2611" s="6"/>
      <c r="CZ2611" s="6"/>
      <c r="DA2611" s="6"/>
      <c r="DB2611" s="6"/>
      <c r="DC2611" s="6"/>
      <c r="DD2611" s="6"/>
    </row>
    <row r="2612" spans="1:108" ht="12.75" hidden="1" customHeight="1" outlineLevel="5">
      <c r="A2612" s="104" t="s">
        <v>60</v>
      </c>
      <c r="B2612" s="28">
        <f t="shared" si="146"/>
        <v>0</v>
      </c>
      <c r="C2612" s="11"/>
      <c r="D2612" s="18" t="str">
        <f t="shared" si="148"/>
        <v>&lt;TranRel_Y&gt;0.000000&lt;/TranRel_Y&gt;</v>
      </c>
      <c r="F2612" s="6"/>
      <c r="G2612" s="6"/>
      <c r="H2612" s="6"/>
      <c r="I2612" s="6"/>
      <c r="J2612" s="6"/>
      <c r="K2612" s="6"/>
      <c r="L2612" s="6"/>
      <c r="M2612" s="6"/>
      <c r="N2612" s="6"/>
      <c r="O2612" s="6"/>
      <c r="P2612" s="6"/>
      <c r="Q2612" s="6"/>
      <c r="R2612" s="6"/>
      <c r="S2612" s="6"/>
      <c r="T2612" s="6"/>
      <c r="U2612" s="6"/>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c r="BU2612" s="6"/>
      <c r="BV2612" s="6"/>
      <c r="BW2612" s="6"/>
      <c r="BX2612" s="6"/>
      <c r="BY2612" s="6"/>
      <c r="BZ2612" s="6"/>
      <c r="CA2612" s="6"/>
      <c r="CB2612" s="6"/>
      <c r="CC2612" s="6"/>
      <c r="CD2612" s="6"/>
      <c r="CE2612" s="6"/>
      <c r="CF2612" s="6"/>
      <c r="CG2612" s="6"/>
      <c r="CH2612" s="6"/>
      <c r="CI2612" s="6"/>
      <c r="CJ2612" s="6"/>
      <c r="CK2612" s="6"/>
      <c r="CL2612" s="6"/>
      <c r="CM2612" s="6"/>
      <c r="CN2612" s="6"/>
      <c r="CO2612" s="6"/>
      <c r="CP2612" s="6"/>
      <c r="CQ2612" s="6"/>
      <c r="CR2612" s="6"/>
      <c r="CS2612" s="6"/>
      <c r="CT2612" s="6"/>
      <c r="CU2612" s="6"/>
      <c r="CV2612" s="6"/>
      <c r="CW2612" s="6"/>
      <c r="CX2612" s="6"/>
      <c r="CY2612" s="6"/>
      <c r="CZ2612" s="6"/>
      <c r="DA2612" s="6"/>
      <c r="DB2612" s="6"/>
      <c r="DC2612" s="6"/>
      <c r="DD2612" s="6"/>
    </row>
    <row r="2613" spans="1:108" ht="12.75" hidden="1" customHeight="1" outlineLevel="5">
      <c r="A2613" s="104" t="s">
        <v>61</v>
      </c>
      <c r="B2613" s="28">
        <f t="shared" si="146"/>
        <v>0</v>
      </c>
      <c r="C2613" s="11"/>
      <c r="D2613" s="18" t="str">
        <f t="shared" si="148"/>
        <v>&lt;TranRel_Z&gt;0.000000&lt;/TranRel_Z&gt;</v>
      </c>
      <c r="F2613" s="6"/>
      <c r="G2613" s="6"/>
      <c r="H2613" s="6"/>
      <c r="I2613" s="6"/>
      <c r="J2613" s="6"/>
      <c r="K2613" s="6"/>
      <c r="L2613" s="6"/>
      <c r="M2613" s="6"/>
      <c r="N2613" s="6"/>
      <c r="O2613" s="6"/>
      <c r="P2613" s="6"/>
      <c r="Q2613" s="6"/>
      <c r="R2613" s="6"/>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c r="BU2613" s="6"/>
      <c r="BV2613" s="6"/>
      <c r="BW2613" s="6"/>
      <c r="BX2613" s="6"/>
      <c r="BY2613" s="6"/>
      <c r="BZ2613" s="6"/>
      <c r="CA2613" s="6"/>
      <c r="CB2613" s="6"/>
      <c r="CC2613" s="6"/>
      <c r="CD2613" s="6"/>
      <c r="CE2613" s="6"/>
      <c r="CF2613" s="6"/>
      <c r="CG2613" s="6"/>
      <c r="CH2613" s="6"/>
      <c r="CI2613" s="6"/>
      <c r="CJ2613" s="6"/>
      <c r="CK2613" s="6"/>
      <c r="CL2613" s="6"/>
      <c r="CM2613" s="6"/>
      <c r="CN2613" s="6"/>
      <c r="CO2613" s="6"/>
      <c r="CP2613" s="6"/>
      <c r="CQ2613" s="6"/>
      <c r="CR2613" s="6"/>
      <c r="CS2613" s="6"/>
      <c r="CT2613" s="6"/>
      <c r="CU2613" s="6"/>
      <c r="CV2613" s="6"/>
      <c r="CW2613" s="6"/>
      <c r="CX2613" s="6"/>
      <c r="CY2613" s="6"/>
      <c r="CZ2613" s="6"/>
      <c r="DA2613" s="6"/>
      <c r="DB2613" s="6"/>
      <c r="DC2613" s="6"/>
      <c r="DD2613" s="6"/>
    </row>
    <row r="2614" spans="1:108" ht="12.75" hidden="1" customHeight="1" outlineLevel="5">
      <c r="A2614" s="104" t="s">
        <v>62</v>
      </c>
      <c r="B2614" s="28">
        <f t="shared" si="146"/>
        <v>90</v>
      </c>
      <c r="C2614" s="11"/>
      <c r="D2614" s="18" t="str">
        <f t="shared" si="148"/>
        <v>&lt;Rot_X&gt;90.000000&lt;/Rot_X&gt;</v>
      </c>
      <c r="F2614" s="6"/>
      <c r="G2614" s="6"/>
      <c r="H2614" s="6"/>
      <c r="I2614" s="6"/>
      <c r="J2614" s="6"/>
      <c r="K2614" s="6"/>
      <c r="L2614" s="6"/>
      <c r="M2614" s="6"/>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c r="BU2614" s="6"/>
      <c r="BV2614" s="6"/>
      <c r="BW2614" s="6"/>
      <c r="BX2614" s="6"/>
      <c r="BY2614" s="6"/>
      <c r="BZ2614" s="6"/>
      <c r="CA2614" s="6"/>
      <c r="CB2614" s="6"/>
      <c r="CC2614" s="6"/>
      <c r="CD2614" s="6"/>
      <c r="CE2614" s="6"/>
      <c r="CF2614" s="6"/>
      <c r="CG2614" s="6"/>
      <c r="CH2614" s="6"/>
      <c r="CI2614" s="6"/>
      <c r="CJ2614" s="6"/>
      <c r="CK2614" s="6"/>
      <c r="CL2614" s="6"/>
      <c r="CM2614" s="6"/>
      <c r="CN2614" s="6"/>
      <c r="CO2614" s="6"/>
      <c r="CP2614" s="6"/>
      <c r="CQ2614" s="6"/>
      <c r="CR2614" s="6"/>
      <c r="CS2614" s="6"/>
      <c r="CT2614" s="6"/>
      <c r="CU2614" s="6"/>
      <c r="CV2614" s="6"/>
      <c r="CW2614" s="6"/>
      <c r="CX2614" s="6"/>
      <c r="CY2614" s="6"/>
      <c r="CZ2614" s="6"/>
      <c r="DA2614" s="6"/>
      <c r="DB2614" s="6"/>
      <c r="DC2614" s="6"/>
      <c r="DD2614" s="6"/>
    </row>
    <row r="2615" spans="1:108" ht="12.75" hidden="1" customHeight="1" outlineLevel="5">
      <c r="A2615" s="104" t="s">
        <v>63</v>
      </c>
      <c r="B2615" s="28">
        <f t="shared" si="146"/>
        <v>0</v>
      </c>
      <c r="C2615" s="11"/>
      <c r="D2615" s="18" t="str">
        <f t="shared" si="148"/>
        <v>&lt;Rot_Y&gt;0.000000&lt;/Rot_Y&gt;</v>
      </c>
      <c r="F2615" s="6"/>
      <c r="G2615" s="6"/>
      <c r="H2615" s="6"/>
      <c r="I2615" s="6"/>
      <c r="J2615" s="6"/>
      <c r="K2615" s="6"/>
      <c r="L2615" s="6"/>
      <c r="M2615" s="6"/>
      <c r="N2615" s="6"/>
      <c r="O2615" s="6"/>
      <c r="P2615" s="6"/>
      <c r="Q2615" s="6"/>
      <c r="R2615" s="6"/>
      <c r="S2615" s="6"/>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c r="BU2615" s="6"/>
      <c r="BV2615" s="6"/>
      <c r="BW2615" s="6"/>
      <c r="BX2615" s="6"/>
      <c r="BY2615" s="6"/>
      <c r="BZ2615" s="6"/>
      <c r="CA2615" s="6"/>
      <c r="CB2615" s="6"/>
      <c r="CC2615" s="6"/>
      <c r="CD2615" s="6"/>
      <c r="CE2615" s="6"/>
      <c r="CF2615" s="6"/>
      <c r="CG2615" s="6"/>
      <c r="CH2615" s="6"/>
      <c r="CI2615" s="6"/>
      <c r="CJ2615" s="6"/>
      <c r="CK2615" s="6"/>
      <c r="CL2615" s="6"/>
      <c r="CM2615" s="6"/>
      <c r="CN2615" s="6"/>
      <c r="CO2615" s="6"/>
      <c r="CP2615" s="6"/>
      <c r="CQ2615" s="6"/>
      <c r="CR2615" s="6"/>
      <c r="CS2615" s="6"/>
      <c r="CT2615" s="6"/>
      <c r="CU2615" s="6"/>
      <c r="CV2615" s="6"/>
      <c r="CW2615" s="6"/>
      <c r="CX2615" s="6"/>
      <c r="CY2615" s="6"/>
      <c r="CZ2615" s="6"/>
      <c r="DA2615" s="6"/>
      <c r="DB2615" s="6"/>
      <c r="DC2615" s="6"/>
      <c r="DD2615" s="6"/>
    </row>
    <row r="2616" spans="1:108" ht="12.75" hidden="1" customHeight="1" outlineLevel="5">
      <c r="A2616" s="104" t="s">
        <v>64</v>
      </c>
      <c r="B2616" s="28">
        <f t="shared" si="146"/>
        <v>0</v>
      </c>
      <c r="C2616" s="11"/>
      <c r="D2616" s="18" t="str">
        <f t="shared" si="148"/>
        <v>&lt;Rot_Z&gt;0.000000&lt;/Rot_Z&gt;</v>
      </c>
      <c r="F2616" s="6"/>
      <c r="G2616" s="6"/>
      <c r="H2616" s="6"/>
      <c r="I2616" s="6"/>
      <c r="J2616" s="6"/>
      <c r="K2616" s="6"/>
      <c r="L2616" s="6"/>
      <c r="M2616" s="6"/>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c r="BU2616" s="6"/>
      <c r="BV2616" s="6"/>
      <c r="BW2616" s="6"/>
      <c r="BX2616" s="6"/>
      <c r="BY2616" s="6"/>
      <c r="BZ2616" s="6"/>
      <c r="CA2616" s="6"/>
      <c r="CB2616" s="6"/>
      <c r="CC2616" s="6"/>
      <c r="CD2616" s="6"/>
      <c r="CE2616" s="6"/>
      <c r="CF2616" s="6"/>
      <c r="CG2616" s="6"/>
      <c r="CH2616" s="6"/>
      <c r="CI2616" s="6"/>
      <c r="CJ2616" s="6"/>
      <c r="CK2616" s="6"/>
      <c r="CL2616" s="6"/>
      <c r="CM2616" s="6"/>
      <c r="CN2616" s="6"/>
      <c r="CO2616" s="6"/>
      <c r="CP2616" s="6"/>
      <c r="CQ2616" s="6"/>
      <c r="CR2616" s="6"/>
      <c r="CS2616" s="6"/>
      <c r="CT2616" s="6"/>
      <c r="CU2616" s="6"/>
      <c r="CV2616" s="6"/>
      <c r="CW2616" s="6"/>
      <c r="CX2616" s="6"/>
      <c r="CY2616" s="6"/>
      <c r="CZ2616" s="6"/>
      <c r="DA2616" s="6"/>
      <c r="DB2616" s="6"/>
      <c r="DC2616" s="6"/>
      <c r="DD2616" s="6"/>
    </row>
    <row r="2617" spans="1:108" ht="12.75" hidden="1" customHeight="1" outlineLevel="5">
      <c r="A2617" s="104" t="s">
        <v>65</v>
      </c>
      <c r="B2617" s="28">
        <f t="shared" si="146"/>
        <v>0</v>
      </c>
      <c r="C2617" s="11"/>
      <c r="D2617" s="18" t="str">
        <f t="shared" si="148"/>
        <v>&lt;RotRel_X&gt;0.000000&lt;/RotRel_X&gt;</v>
      </c>
      <c r="F2617" s="6"/>
      <c r="G2617" s="6"/>
      <c r="H2617" s="6"/>
      <c r="I2617" s="6"/>
      <c r="J2617" s="6"/>
      <c r="K2617" s="6"/>
      <c r="L2617" s="6"/>
      <c r="M2617" s="6"/>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c r="BU2617" s="6"/>
      <c r="BV2617" s="6"/>
      <c r="BW2617" s="6"/>
      <c r="BX2617" s="6"/>
      <c r="BY2617" s="6"/>
      <c r="BZ2617" s="6"/>
      <c r="CA2617" s="6"/>
      <c r="CB2617" s="6"/>
      <c r="CC2617" s="6"/>
      <c r="CD2617" s="6"/>
      <c r="CE2617" s="6"/>
      <c r="CF2617" s="6"/>
      <c r="CG2617" s="6"/>
      <c r="CH2617" s="6"/>
      <c r="CI2617" s="6"/>
      <c r="CJ2617" s="6"/>
      <c r="CK2617" s="6"/>
      <c r="CL2617" s="6"/>
      <c r="CM2617" s="6"/>
      <c r="CN2617" s="6"/>
      <c r="CO2617" s="6"/>
      <c r="CP2617" s="6"/>
      <c r="CQ2617" s="6"/>
      <c r="CR2617" s="6"/>
      <c r="CS2617" s="6"/>
      <c r="CT2617" s="6"/>
      <c r="CU2617" s="6"/>
      <c r="CV2617" s="6"/>
      <c r="CW2617" s="6"/>
      <c r="CX2617" s="6"/>
      <c r="CY2617" s="6"/>
      <c r="CZ2617" s="6"/>
      <c r="DA2617" s="6"/>
      <c r="DB2617" s="6"/>
      <c r="DC2617" s="6"/>
      <c r="DD2617" s="6"/>
    </row>
    <row r="2618" spans="1:108" ht="12.75" hidden="1" customHeight="1" outlineLevel="5">
      <c r="A2618" s="104" t="s">
        <v>66</v>
      </c>
      <c r="B2618" s="28">
        <f t="shared" si="146"/>
        <v>0</v>
      </c>
      <c r="C2618" s="11"/>
      <c r="D2618" s="18" t="str">
        <f t="shared" si="148"/>
        <v>&lt;RotRel_Y&gt;0.000000&lt;/RotRel_Y&gt;</v>
      </c>
      <c r="F2618" s="6"/>
      <c r="G2618" s="6"/>
      <c r="H2618" s="6"/>
      <c r="I2618" s="6"/>
      <c r="J2618" s="6"/>
      <c r="K2618" s="6"/>
      <c r="L2618" s="6"/>
      <c r="M2618" s="6"/>
      <c r="N2618" s="6"/>
      <c r="O2618" s="6"/>
      <c r="P2618" s="6"/>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c r="BU2618" s="6"/>
      <c r="BV2618" s="6"/>
      <c r="BW2618" s="6"/>
      <c r="BX2618" s="6"/>
      <c r="BY2618" s="6"/>
      <c r="BZ2618" s="6"/>
      <c r="CA2618" s="6"/>
      <c r="CB2618" s="6"/>
      <c r="CC2618" s="6"/>
      <c r="CD2618" s="6"/>
      <c r="CE2618" s="6"/>
      <c r="CF2618" s="6"/>
      <c r="CG2618" s="6"/>
      <c r="CH2618" s="6"/>
      <c r="CI2618" s="6"/>
      <c r="CJ2618" s="6"/>
      <c r="CK2618" s="6"/>
      <c r="CL2618" s="6"/>
      <c r="CM2618" s="6"/>
      <c r="CN2618" s="6"/>
      <c r="CO2618" s="6"/>
      <c r="CP2618" s="6"/>
      <c r="CQ2618" s="6"/>
      <c r="CR2618" s="6"/>
      <c r="CS2618" s="6"/>
      <c r="CT2618" s="6"/>
      <c r="CU2618" s="6"/>
      <c r="CV2618" s="6"/>
      <c r="CW2618" s="6"/>
      <c r="CX2618" s="6"/>
      <c r="CY2618" s="6"/>
      <c r="CZ2618" s="6"/>
      <c r="DA2618" s="6"/>
      <c r="DB2618" s="6"/>
      <c r="DC2618" s="6"/>
      <c r="DD2618" s="6"/>
    </row>
    <row r="2619" spans="1:108" ht="12.75" hidden="1" customHeight="1" outlineLevel="5">
      <c r="A2619" s="104" t="s">
        <v>67</v>
      </c>
      <c r="B2619" s="28">
        <f t="shared" si="146"/>
        <v>0</v>
      </c>
      <c r="C2619" s="11"/>
      <c r="D2619" s="18" t="str">
        <f t="shared" si="148"/>
        <v>&lt;RotRel_Z&gt;0.000000&lt;/RotRel_Z&gt;</v>
      </c>
      <c r="F2619" s="6"/>
      <c r="G2619" s="6"/>
      <c r="H2619" s="6"/>
      <c r="I2619" s="6"/>
      <c r="J2619" s="6"/>
      <c r="K2619" s="6"/>
      <c r="L2619" s="6"/>
      <c r="M2619" s="6"/>
      <c r="N2619" s="6"/>
      <c r="O2619" s="6"/>
      <c r="P2619" s="6"/>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c r="BU2619" s="6"/>
      <c r="BV2619" s="6"/>
      <c r="BW2619" s="6"/>
      <c r="BX2619" s="6"/>
      <c r="BY2619" s="6"/>
      <c r="BZ2619" s="6"/>
      <c r="CA2619" s="6"/>
      <c r="CB2619" s="6"/>
      <c r="CC2619" s="6"/>
      <c r="CD2619" s="6"/>
      <c r="CE2619" s="6"/>
      <c r="CF2619" s="6"/>
      <c r="CG2619" s="6"/>
      <c r="CH2619" s="6"/>
      <c r="CI2619" s="6"/>
      <c r="CJ2619" s="6"/>
      <c r="CK2619" s="6"/>
      <c r="CL2619" s="6"/>
      <c r="CM2619" s="6"/>
      <c r="CN2619" s="6"/>
      <c r="CO2619" s="6"/>
      <c r="CP2619" s="6"/>
      <c r="CQ2619" s="6"/>
      <c r="CR2619" s="6"/>
      <c r="CS2619" s="6"/>
      <c r="CT2619" s="6"/>
      <c r="CU2619" s="6"/>
      <c r="CV2619" s="6"/>
      <c r="CW2619" s="6"/>
      <c r="CX2619" s="6"/>
      <c r="CY2619" s="6"/>
      <c r="CZ2619" s="6"/>
      <c r="DA2619" s="6"/>
      <c r="DB2619" s="6"/>
      <c r="DC2619" s="6"/>
      <c r="DD2619" s="6"/>
    </row>
    <row r="2620" spans="1:108" ht="12.75" hidden="1" customHeight="1" outlineLevel="5">
      <c r="A2620" s="104" t="s">
        <v>68</v>
      </c>
      <c r="B2620" s="28">
        <f t="shared" si="146"/>
        <v>0</v>
      </c>
      <c r="C2620" s="11"/>
      <c r="D2620" s="18" t="str">
        <f t="shared" si="148"/>
        <v>&lt;Origin&gt;0.000000&lt;/Origin&gt;</v>
      </c>
      <c r="F2620" s="6"/>
      <c r="G2620" s="6"/>
      <c r="H2620" s="6"/>
      <c r="I2620" s="6"/>
      <c r="J2620" s="6"/>
      <c r="K2620" s="6"/>
      <c r="L2620" s="6"/>
      <c r="M2620" s="6"/>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c r="BU2620" s="6"/>
      <c r="BV2620" s="6"/>
      <c r="BW2620" s="6"/>
      <c r="BX2620" s="6"/>
      <c r="BY2620" s="6"/>
      <c r="BZ2620" s="6"/>
      <c r="CA2620" s="6"/>
      <c r="CB2620" s="6"/>
      <c r="CC2620" s="6"/>
      <c r="CD2620" s="6"/>
      <c r="CE2620" s="6"/>
      <c r="CF2620" s="6"/>
      <c r="CG2620" s="6"/>
      <c r="CH2620" s="6"/>
      <c r="CI2620" s="6"/>
      <c r="CJ2620" s="6"/>
      <c r="CK2620" s="6"/>
      <c r="CL2620" s="6"/>
      <c r="CM2620" s="6"/>
      <c r="CN2620" s="6"/>
      <c r="CO2620" s="6"/>
      <c r="CP2620" s="6"/>
      <c r="CQ2620" s="6"/>
      <c r="CR2620" s="6"/>
      <c r="CS2620" s="6"/>
      <c r="CT2620" s="6"/>
      <c r="CU2620" s="6"/>
      <c r="CV2620" s="6"/>
      <c r="CW2620" s="6"/>
      <c r="CX2620" s="6"/>
      <c r="CY2620" s="6"/>
      <c r="CZ2620" s="6"/>
      <c r="DA2620" s="6"/>
      <c r="DB2620" s="6"/>
      <c r="DC2620" s="6"/>
      <c r="DD2620" s="6"/>
    </row>
    <row r="2621" spans="1:108" ht="12.75" hidden="1" customHeight="1" outlineLevel="5">
      <c r="A2621" s="104" t="s">
        <v>69</v>
      </c>
      <c r="B2621" s="28">
        <f t="shared" si="146"/>
        <v>1</v>
      </c>
      <c r="C2621" s="11"/>
      <c r="D2621" s="18" t="str">
        <f t="shared" si="148"/>
        <v>&lt;Density&gt;1.000000&lt;/Density&gt;</v>
      </c>
      <c r="F2621" s="6"/>
      <c r="G2621" s="6"/>
      <c r="H2621" s="6"/>
      <c r="I2621" s="6"/>
      <c r="J2621" s="6"/>
      <c r="K2621" s="6"/>
      <c r="L2621" s="6"/>
      <c r="M2621" s="6"/>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c r="BU2621" s="6"/>
      <c r="BV2621" s="6"/>
      <c r="BW2621" s="6"/>
      <c r="BX2621" s="6"/>
      <c r="BY2621" s="6"/>
      <c r="BZ2621" s="6"/>
      <c r="CA2621" s="6"/>
      <c r="CB2621" s="6"/>
      <c r="CC2621" s="6"/>
      <c r="CD2621" s="6"/>
      <c r="CE2621" s="6"/>
      <c r="CF2621" s="6"/>
      <c r="CG2621" s="6"/>
      <c r="CH2621" s="6"/>
      <c r="CI2621" s="6"/>
      <c r="CJ2621" s="6"/>
      <c r="CK2621" s="6"/>
      <c r="CL2621" s="6"/>
      <c r="CM2621" s="6"/>
      <c r="CN2621" s="6"/>
      <c r="CO2621" s="6"/>
      <c r="CP2621" s="6"/>
      <c r="CQ2621" s="6"/>
      <c r="CR2621" s="6"/>
      <c r="CS2621" s="6"/>
      <c r="CT2621" s="6"/>
      <c r="CU2621" s="6"/>
      <c r="CV2621" s="6"/>
      <c r="CW2621" s="6"/>
      <c r="CX2621" s="6"/>
      <c r="CY2621" s="6"/>
      <c r="CZ2621" s="6"/>
      <c r="DA2621" s="6"/>
      <c r="DB2621" s="6"/>
      <c r="DC2621" s="6"/>
      <c r="DD2621" s="6"/>
    </row>
    <row r="2622" spans="1:108" ht="12.75" hidden="1" customHeight="1" outlineLevel="5">
      <c r="A2622" s="104" t="s">
        <v>70</v>
      </c>
      <c r="B2622" s="28">
        <f t="shared" si="146"/>
        <v>1</v>
      </c>
      <c r="C2622" s="11"/>
      <c r="D2622" s="18" t="str">
        <f t="shared" si="148"/>
        <v>&lt;ShellMassArea&gt;1.000000&lt;/ShellMassArea&gt;</v>
      </c>
      <c r="F2622" s="6"/>
      <c r="G2622" s="6"/>
      <c r="H2622" s="6"/>
      <c r="I2622" s="6"/>
      <c r="J2622" s="6"/>
      <c r="K2622" s="6"/>
      <c r="L2622" s="6"/>
      <c r="M2622" s="6"/>
      <c r="N2622" s="6"/>
      <c r="O2622" s="6"/>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c r="BU2622" s="6"/>
      <c r="BV2622" s="6"/>
      <c r="BW2622" s="6"/>
      <c r="BX2622" s="6"/>
      <c r="BY2622" s="6"/>
      <c r="BZ2622" s="6"/>
      <c r="CA2622" s="6"/>
      <c r="CB2622" s="6"/>
      <c r="CC2622" s="6"/>
      <c r="CD2622" s="6"/>
      <c r="CE2622" s="6"/>
      <c r="CF2622" s="6"/>
      <c r="CG2622" s="6"/>
      <c r="CH2622" s="6"/>
      <c r="CI2622" s="6"/>
      <c r="CJ2622" s="6"/>
      <c r="CK2622" s="6"/>
      <c r="CL2622" s="6"/>
      <c r="CM2622" s="6"/>
      <c r="CN2622" s="6"/>
      <c r="CO2622" s="6"/>
      <c r="CP2622" s="6"/>
      <c r="CQ2622" s="6"/>
      <c r="CR2622" s="6"/>
      <c r="CS2622" s="6"/>
      <c r="CT2622" s="6"/>
      <c r="CU2622" s="6"/>
      <c r="CV2622" s="6"/>
      <c r="CW2622" s="6"/>
      <c r="CX2622" s="6"/>
      <c r="CY2622" s="6"/>
      <c r="CZ2622" s="6"/>
      <c r="DA2622" s="6"/>
      <c r="DB2622" s="6"/>
      <c r="DC2622" s="6"/>
      <c r="DD2622" s="6"/>
    </row>
    <row r="2623" spans="1:108" ht="12.75" hidden="1" customHeight="1" outlineLevel="5">
      <c r="A2623" s="104" t="s">
        <v>71</v>
      </c>
      <c r="B2623" s="28">
        <f t="shared" si="146"/>
        <v>0</v>
      </c>
      <c r="C2623" s="11"/>
      <c r="D2623" s="18" t="str">
        <f>"&lt;" &amp; A2623 &amp; "&gt;" &amp; TEXT(B2623,0) &amp; "&lt;/" &amp; A2623 &amp; "&gt;"</f>
        <v>&lt;RefFlag&gt;0&lt;/RefFlag&gt;</v>
      </c>
      <c r="F2623" s="6"/>
      <c r="G2623" s="6"/>
      <c r="H2623" s="6"/>
      <c r="I2623" s="6"/>
      <c r="J2623" s="6"/>
      <c r="K2623" s="6"/>
      <c r="L2623" s="6"/>
      <c r="M2623" s="6"/>
      <c r="N2623" s="6"/>
      <c r="O2623" s="6"/>
      <c r="P2623" s="6"/>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c r="BU2623" s="6"/>
      <c r="BV2623" s="6"/>
      <c r="BW2623" s="6"/>
      <c r="BX2623" s="6"/>
      <c r="BY2623" s="6"/>
      <c r="BZ2623" s="6"/>
      <c r="CA2623" s="6"/>
      <c r="CB2623" s="6"/>
      <c r="CC2623" s="6"/>
      <c r="CD2623" s="6"/>
      <c r="CE2623" s="6"/>
      <c r="CF2623" s="6"/>
      <c r="CG2623" s="6"/>
      <c r="CH2623" s="6"/>
      <c r="CI2623" s="6"/>
      <c r="CJ2623" s="6"/>
      <c r="CK2623" s="6"/>
      <c r="CL2623" s="6"/>
      <c r="CM2623" s="6"/>
      <c r="CN2623" s="6"/>
      <c r="CO2623" s="6"/>
      <c r="CP2623" s="6"/>
      <c r="CQ2623" s="6"/>
      <c r="CR2623" s="6"/>
      <c r="CS2623" s="6"/>
      <c r="CT2623" s="6"/>
      <c r="CU2623" s="6"/>
      <c r="CV2623" s="6"/>
      <c r="CW2623" s="6"/>
      <c r="CX2623" s="6"/>
      <c r="CY2623" s="6"/>
      <c r="CZ2623" s="6"/>
      <c r="DA2623" s="6"/>
      <c r="DB2623" s="6"/>
      <c r="DC2623" s="6"/>
      <c r="DD2623" s="6"/>
    </row>
    <row r="2624" spans="1:108" ht="12.75" hidden="1" customHeight="1" outlineLevel="5">
      <c r="A2624" s="104" t="s">
        <v>72</v>
      </c>
      <c r="B2624" s="28">
        <f t="shared" si="146"/>
        <v>100</v>
      </c>
      <c r="C2624" s="11"/>
      <c r="D2624" s="18" t="str">
        <f>"&lt;" &amp; A2624 &amp; "&gt;" &amp; TEXT(B2624,"0.000000") &amp; "&lt;/" &amp; A2624 &amp; "&gt;"</f>
        <v>&lt;RefArea&gt;100.000000&lt;/RefArea&gt;</v>
      </c>
      <c r="F2624" s="6"/>
      <c r="G2624" s="6"/>
      <c r="H2624" s="6"/>
      <c r="I2624" s="6"/>
      <c r="J2624" s="6"/>
      <c r="K2624" s="6"/>
      <c r="L2624" s="6"/>
      <c r="M2624" s="6"/>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c r="BU2624" s="6"/>
      <c r="BV2624" s="6"/>
      <c r="BW2624" s="6"/>
      <c r="BX2624" s="6"/>
      <c r="BY2624" s="6"/>
      <c r="BZ2624" s="6"/>
      <c r="CA2624" s="6"/>
      <c r="CB2624" s="6"/>
      <c r="CC2624" s="6"/>
      <c r="CD2624" s="6"/>
      <c r="CE2624" s="6"/>
      <c r="CF2624" s="6"/>
      <c r="CG2624" s="6"/>
      <c r="CH2624" s="6"/>
      <c r="CI2624" s="6"/>
      <c r="CJ2624" s="6"/>
      <c r="CK2624" s="6"/>
      <c r="CL2624" s="6"/>
      <c r="CM2624" s="6"/>
      <c r="CN2624" s="6"/>
      <c r="CO2624" s="6"/>
      <c r="CP2624" s="6"/>
      <c r="CQ2624" s="6"/>
      <c r="CR2624" s="6"/>
      <c r="CS2624" s="6"/>
      <c r="CT2624" s="6"/>
      <c r="CU2624" s="6"/>
      <c r="CV2624" s="6"/>
      <c r="CW2624" s="6"/>
      <c r="CX2624" s="6"/>
      <c r="CY2624" s="6"/>
      <c r="CZ2624" s="6"/>
      <c r="DA2624" s="6"/>
      <c r="DB2624" s="6"/>
      <c r="DC2624" s="6"/>
      <c r="DD2624" s="6"/>
    </row>
    <row r="2625" spans="1:108" ht="12.75" hidden="1" customHeight="1" outlineLevel="5">
      <c r="A2625" s="104" t="s">
        <v>73</v>
      </c>
      <c r="B2625" s="28">
        <f t="shared" si="146"/>
        <v>10</v>
      </c>
      <c r="C2625" s="11"/>
      <c r="D2625" s="18" t="str">
        <f>"&lt;" &amp; A2625 &amp; "&gt;" &amp; TEXT(B2625,"0.000000") &amp; "&lt;/" &amp; A2625 &amp; "&gt;"</f>
        <v>&lt;RefSpan&gt;10.000000&lt;/RefSpan&gt;</v>
      </c>
      <c r="F2625" s="6"/>
      <c r="G2625" s="6"/>
      <c r="H2625" s="6"/>
      <c r="I2625" s="6"/>
      <c r="J2625" s="6"/>
      <c r="K2625" s="6"/>
      <c r="L2625" s="6"/>
      <c r="M2625" s="6"/>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c r="BU2625" s="6"/>
      <c r="BV2625" s="6"/>
      <c r="BW2625" s="6"/>
      <c r="BX2625" s="6"/>
      <c r="BY2625" s="6"/>
      <c r="BZ2625" s="6"/>
      <c r="CA2625" s="6"/>
      <c r="CB2625" s="6"/>
      <c r="CC2625" s="6"/>
      <c r="CD2625" s="6"/>
      <c r="CE2625" s="6"/>
      <c r="CF2625" s="6"/>
      <c r="CG2625" s="6"/>
      <c r="CH2625" s="6"/>
      <c r="CI2625" s="6"/>
      <c r="CJ2625" s="6"/>
      <c r="CK2625" s="6"/>
      <c r="CL2625" s="6"/>
      <c r="CM2625" s="6"/>
      <c r="CN2625" s="6"/>
      <c r="CO2625" s="6"/>
      <c r="CP2625" s="6"/>
      <c r="CQ2625" s="6"/>
      <c r="CR2625" s="6"/>
      <c r="CS2625" s="6"/>
      <c r="CT2625" s="6"/>
      <c r="CU2625" s="6"/>
      <c r="CV2625" s="6"/>
      <c r="CW2625" s="6"/>
      <c r="CX2625" s="6"/>
      <c r="CY2625" s="6"/>
      <c r="CZ2625" s="6"/>
      <c r="DA2625" s="6"/>
      <c r="DB2625" s="6"/>
      <c r="DC2625" s="6"/>
      <c r="DD2625" s="6"/>
    </row>
    <row r="2626" spans="1:108" ht="12.75" hidden="1" customHeight="1" outlineLevel="5">
      <c r="A2626" s="104" t="s">
        <v>74</v>
      </c>
      <c r="B2626" s="28">
        <f t="shared" si="146"/>
        <v>1</v>
      </c>
      <c r="C2626" s="11"/>
      <c r="D2626" s="18" t="str">
        <f>"&lt;" &amp; A2626 &amp; "&gt;" &amp; TEXT(B2626,"0.000000") &amp; "&lt;/" &amp; A2626 &amp; "&gt;"</f>
        <v>&lt;RefCbar&gt;1.000000&lt;/RefCbar&gt;</v>
      </c>
      <c r="F2626" s="6"/>
      <c r="G2626" s="6"/>
      <c r="H2626" s="6"/>
      <c r="I2626" s="6"/>
      <c r="J2626" s="6"/>
      <c r="K2626" s="6"/>
      <c r="L2626" s="6"/>
      <c r="M2626" s="6"/>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c r="BU2626" s="6"/>
      <c r="BV2626" s="6"/>
      <c r="BW2626" s="6"/>
      <c r="BX2626" s="6"/>
      <c r="BY2626" s="6"/>
      <c r="BZ2626" s="6"/>
      <c r="CA2626" s="6"/>
      <c r="CB2626" s="6"/>
      <c r="CC2626" s="6"/>
      <c r="CD2626" s="6"/>
      <c r="CE2626" s="6"/>
      <c r="CF2626" s="6"/>
      <c r="CG2626" s="6"/>
      <c r="CH2626" s="6"/>
      <c r="CI2626" s="6"/>
      <c r="CJ2626" s="6"/>
      <c r="CK2626" s="6"/>
      <c r="CL2626" s="6"/>
      <c r="CM2626" s="6"/>
      <c r="CN2626" s="6"/>
      <c r="CO2626" s="6"/>
      <c r="CP2626" s="6"/>
      <c r="CQ2626" s="6"/>
      <c r="CR2626" s="6"/>
      <c r="CS2626" s="6"/>
      <c r="CT2626" s="6"/>
      <c r="CU2626" s="6"/>
      <c r="CV2626" s="6"/>
      <c r="CW2626" s="6"/>
      <c r="CX2626" s="6"/>
      <c r="CY2626" s="6"/>
      <c r="CZ2626" s="6"/>
      <c r="DA2626" s="6"/>
      <c r="DB2626" s="6"/>
      <c r="DC2626" s="6"/>
      <c r="DD2626" s="6"/>
    </row>
    <row r="2627" spans="1:108" ht="12.75" hidden="1" customHeight="1" outlineLevel="5">
      <c r="A2627" s="104" t="s">
        <v>75</v>
      </c>
      <c r="B2627" s="28">
        <f t="shared" si="146"/>
        <v>1</v>
      </c>
      <c r="C2627" s="11"/>
      <c r="D2627" s="18" t="str">
        <f>"&lt;" &amp; A2627 &amp; "&gt;" &amp; TEXT(B2627,0) &amp; "&lt;/" &amp; A2627 &amp; "&gt;"</f>
        <v>&lt;AutoRefAreaFlag&gt;1&lt;/AutoRefAreaFlag&gt;</v>
      </c>
      <c r="F2627" s="6"/>
      <c r="G2627" s="6"/>
      <c r="H2627" s="6"/>
      <c r="I2627" s="6"/>
      <c r="J2627" s="6"/>
      <c r="K2627" s="6"/>
      <c r="L2627" s="6"/>
      <c r="M2627" s="6"/>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c r="BU2627" s="6"/>
      <c r="BV2627" s="6"/>
      <c r="BW2627" s="6"/>
      <c r="BX2627" s="6"/>
      <c r="BY2627" s="6"/>
      <c r="BZ2627" s="6"/>
      <c r="CA2627" s="6"/>
      <c r="CB2627" s="6"/>
      <c r="CC2627" s="6"/>
      <c r="CD2627" s="6"/>
      <c r="CE2627" s="6"/>
      <c r="CF2627" s="6"/>
      <c r="CG2627" s="6"/>
      <c r="CH2627" s="6"/>
      <c r="CI2627" s="6"/>
      <c r="CJ2627" s="6"/>
      <c r="CK2627" s="6"/>
      <c r="CL2627" s="6"/>
      <c r="CM2627" s="6"/>
      <c r="CN2627" s="6"/>
      <c r="CO2627" s="6"/>
      <c r="CP2627" s="6"/>
      <c r="CQ2627" s="6"/>
      <c r="CR2627" s="6"/>
      <c r="CS2627" s="6"/>
      <c r="CT2627" s="6"/>
      <c r="CU2627" s="6"/>
      <c r="CV2627" s="6"/>
      <c r="CW2627" s="6"/>
      <c r="CX2627" s="6"/>
      <c r="CY2627" s="6"/>
      <c r="CZ2627" s="6"/>
      <c r="DA2627" s="6"/>
      <c r="DB2627" s="6"/>
      <c r="DC2627" s="6"/>
      <c r="DD2627" s="6"/>
    </row>
    <row r="2628" spans="1:108" ht="12.75" hidden="1" customHeight="1" outlineLevel="5">
      <c r="A2628" s="104" t="s">
        <v>76</v>
      </c>
      <c r="B2628" s="28">
        <f t="shared" si="146"/>
        <v>1</v>
      </c>
      <c r="C2628" s="11"/>
      <c r="D2628" s="18" t="str">
        <f>"&lt;" &amp; A2628 &amp; "&gt;" &amp; TEXT(B2628,0) &amp; "&lt;/" &amp; A2628 &amp; "&gt;"</f>
        <v>&lt;AutoRefSpanFlag&gt;1&lt;/AutoRefSpanFlag&gt;</v>
      </c>
      <c r="F2628" s="6"/>
      <c r="G2628" s="6"/>
      <c r="H2628" s="6"/>
      <c r="I2628" s="6"/>
      <c r="J2628" s="6"/>
      <c r="K2628" s="6"/>
      <c r="L2628" s="6"/>
      <c r="M2628" s="6"/>
      <c r="N2628" s="6"/>
      <c r="O2628" s="6"/>
      <c r="P2628" s="6"/>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c r="BU2628" s="6"/>
      <c r="BV2628" s="6"/>
      <c r="BW2628" s="6"/>
      <c r="BX2628" s="6"/>
      <c r="BY2628" s="6"/>
      <c r="BZ2628" s="6"/>
      <c r="CA2628" s="6"/>
      <c r="CB2628" s="6"/>
      <c r="CC2628" s="6"/>
      <c r="CD2628" s="6"/>
      <c r="CE2628" s="6"/>
      <c r="CF2628" s="6"/>
      <c r="CG2628" s="6"/>
      <c r="CH2628" s="6"/>
      <c r="CI2628" s="6"/>
      <c r="CJ2628" s="6"/>
      <c r="CK2628" s="6"/>
      <c r="CL2628" s="6"/>
      <c r="CM2628" s="6"/>
      <c r="CN2628" s="6"/>
      <c r="CO2628" s="6"/>
      <c r="CP2628" s="6"/>
      <c r="CQ2628" s="6"/>
      <c r="CR2628" s="6"/>
      <c r="CS2628" s="6"/>
      <c r="CT2628" s="6"/>
      <c r="CU2628" s="6"/>
      <c r="CV2628" s="6"/>
      <c r="CW2628" s="6"/>
      <c r="CX2628" s="6"/>
      <c r="CY2628" s="6"/>
      <c r="CZ2628" s="6"/>
      <c r="DA2628" s="6"/>
      <c r="DB2628" s="6"/>
      <c r="DC2628" s="6"/>
      <c r="DD2628" s="6"/>
    </row>
    <row r="2629" spans="1:108" ht="12.75" hidden="1" customHeight="1" outlineLevel="5">
      <c r="A2629" s="104" t="s">
        <v>77</v>
      </c>
      <c r="B2629" s="28">
        <f t="shared" si="146"/>
        <v>1</v>
      </c>
      <c r="C2629" s="11"/>
      <c r="D2629" s="18" t="str">
        <f>"&lt;" &amp; A2629 &amp; "&gt;" &amp; TEXT(B2629,0) &amp; "&lt;/" &amp; A2629 &amp; "&gt;"</f>
        <v>&lt;AutoRefCbarFlag&gt;1&lt;/AutoRefCbarFlag&gt;</v>
      </c>
      <c r="F2629" s="6"/>
      <c r="G2629" s="6"/>
      <c r="H2629" s="6"/>
      <c r="I2629" s="6"/>
      <c r="J2629" s="6"/>
      <c r="K2629" s="6"/>
      <c r="L2629" s="6"/>
      <c r="M2629" s="6"/>
      <c r="N2629" s="6"/>
      <c r="O2629" s="6"/>
      <c r="P2629" s="6"/>
      <c r="Q2629" s="6"/>
      <c r="R2629" s="6"/>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c r="BU2629" s="6"/>
      <c r="BV2629" s="6"/>
      <c r="BW2629" s="6"/>
      <c r="BX2629" s="6"/>
      <c r="BY2629" s="6"/>
      <c r="BZ2629" s="6"/>
      <c r="CA2629" s="6"/>
      <c r="CB2629" s="6"/>
      <c r="CC2629" s="6"/>
      <c r="CD2629" s="6"/>
      <c r="CE2629" s="6"/>
      <c r="CF2629" s="6"/>
      <c r="CG2629" s="6"/>
      <c r="CH2629" s="6"/>
      <c r="CI2629" s="6"/>
      <c r="CJ2629" s="6"/>
      <c r="CK2629" s="6"/>
      <c r="CL2629" s="6"/>
      <c r="CM2629" s="6"/>
      <c r="CN2629" s="6"/>
      <c r="CO2629" s="6"/>
      <c r="CP2629" s="6"/>
      <c r="CQ2629" s="6"/>
      <c r="CR2629" s="6"/>
      <c r="CS2629" s="6"/>
      <c r="CT2629" s="6"/>
      <c r="CU2629" s="6"/>
      <c r="CV2629" s="6"/>
      <c r="CW2629" s="6"/>
      <c r="CX2629" s="6"/>
      <c r="CY2629" s="6"/>
      <c r="CZ2629" s="6"/>
      <c r="DA2629" s="6"/>
      <c r="DB2629" s="6"/>
      <c r="DC2629" s="6"/>
      <c r="DD2629" s="6"/>
    </row>
    <row r="2630" spans="1:108" ht="12.75" hidden="1" customHeight="1" outlineLevel="5">
      <c r="A2630" s="104" t="s">
        <v>78</v>
      </c>
      <c r="B2630" s="28">
        <f t="shared" si="146"/>
        <v>0</v>
      </c>
      <c r="C2630" s="11"/>
      <c r="D2630" s="18" t="str">
        <f>"&lt;" &amp; A2630 &amp; "&gt;" &amp; TEXT(B2630,"0.000000") &amp; "&lt;/" &amp; A2630 &amp; "&gt;"</f>
        <v>&lt;AeroCenter_X&gt;0.000000&lt;/AeroCenter_X&gt;</v>
      </c>
      <c r="F2630" s="6"/>
      <c r="G2630" s="6"/>
      <c r="H2630" s="6"/>
      <c r="I2630" s="6"/>
      <c r="J2630" s="6"/>
      <c r="K2630" s="6"/>
      <c r="L2630" s="6"/>
      <c r="M2630" s="6"/>
      <c r="N2630" s="6"/>
      <c r="O2630" s="6"/>
      <c r="P2630" s="6"/>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c r="BU2630" s="6"/>
      <c r="BV2630" s="6"/>
      <c r="BW2630" s="6"/>
      <c r="BX2630" s="6"/>
      <c r="BY2630" s="6"/>
      <c r="BZ2630" s="6"/>
      <c r="CA2630" s="6"/>
      <c r="CB2630" s="6"/>
      <c r="CC2630" s="6"/>
      <c r="CD2630" s="6"/>
      <c r="CE2630" s="6"/>
      <c r="CF2630" s="6"/>
      <c r="CG2630" s="6"/>
      <c r="CH2630" s="6"/>
      <c r="CI2630" s="6"/>
      <c r="CJ2630" s="6"/>
      <c r="CK2630" s="6"/>
      <c r="CL2630" s="6"/>
      <c r="CM2630" s="6"/>
      <c r="CN2630" s="6"/>
      <c r="CO2630" s="6"/>
      <c r="CP2630" s="6"/>
      <c r="CQ2630" s="6"/>
      <c r="CR2630" s="6"/>
      <c r="CS2630" s="6"/>
      <c r="CT2630" s="6"/>
      <c r="CU2630" s="6"/>
      <c r="CV2630" s="6"/>
      <c r="CW2630" s="6"/>
      <c r="CX2630" s="6"/>
      <c r="CY2630" s="6"/>
      <c r="CZ2630" s="6"/>
      <c r="DA2630" s="6"/>
      <c r="DB2630" s="6"/>
      <c r="DC2630" s="6"/>
      <c r="DD2630" s="6"/>
    </row>
    <row r="2631" spans="1:108" ht="12.75" hidden="1" customHeight="1" outlineLevel="5">
      <c r="A2631" s="104" t="s">
        <v>79</v>
      </c>
      <c r="B2631" s="28">
        <f t="shared" si="146"/>
        <v>0</v>
      </c>
      <c r="C2631" s="11"/>
      <c r="D2631" s="18" t="str">
        <f>"&lt;" &amp; A2631 &amp; "&gt;" &amp; TEXT(B2631,"0.000000") &amp; "&lt;/" &amp; A2631 &amp; "&gt;"</f>
        <v>&lt;AeroCenter_Y&gt;0.000000&lt;/AeroCenter_Y&gt;</v>
      </c>
      <c r="F2631" s="6"/>
      <c r="G2631" s="6"/>
      <c r="H2631" s="6"/>
      <c r="I2631" s="6"/>
      <c r="J2631" s="6"/>
      <c r="K2631" s="6"/>
      <c r="L2631" s="6"/>
      <c r="M2631" s="6"/>
      <c r="N2631" s="6"/>
      <c r="O2631" s="6"/>
      <c r="P2631" s="6"/>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c r="BU2631" s="6"/>
      <c r="BV2631" s="6"/>
      <c r="BW2631" s="6"/>
      <c r="BX2631" s="6"/>
      <c r="BY2631" s="6"/>
      <c r="BZ2631" s="6"/>
      <c r="CA2631" s="6"/>
      <c r="CB2631" s="6"/>
      <c r="CC2631" s="6"/>
      <c r="CD2631" s="6"/>
      <c r="CE2631" s="6"/>
      <c r="CF2631" s="6"/>
      <c r="CG2631" s="6"/>
      <c r="CH2631" s="6"/>
      <c r="CI2631" s="6"/>
      <c r="CJ2631" s="6"/>
      <c r="CK2631" s="6"/>
      <c r="CL2631" s="6"/>
      <c r="CM2631" s="6"/>
      <c r="CN2631" s="6"/>
      <c r="CO2631" s="6"/>
      <c r="CP2631" s="6"/>
      <c r="CQ2631" s="6"/>
      <c r="CR2631" s="6"/>
      <c r="CS2631" s="6"/>
      <c r="CT2631" s="6"/>
      <c r="CU2631" s="6"/>
      <c r="CV2631" s="6"/>
      <c r="CW2631" s="6"/>
      <c r="CX2631" s="6"/>
      <c r="CY2631" s="6"/>
      <c r="CZ2631" s="6"/>
      <c r="DA2631" s="6"/>
      <c r="DB2631" s="6"/>
      <c r="DC2631" s="6"/>
      <c r="DD2631" s="6"/>
    </row>
    <row r="2632" spans="1:108" ht="12.75" hidden="1" customHeight="1" outlineLevel="5">
      <c r="A2632" s="104" t="s">
        <v>80</v>
      </c>
      <c r="B2632" s="28">
        <f t="shared" si="146"/>
        <v>0</v>
      </c>
      <c r="C2632" s="11"/>
      <c r="D2632" s="18" t="str">
        <f>"&lt;" &amp; A2632 &amp; "&gt;" &amp; TEXT(B2632,"0.000000") &amp; "&lt;/" &amp; A2632 &amp; "&gt;"</f>
        <v>&lt;AeroCenter_Z&gt;0.000000&lt;/AeroCenter_Z&gt;</v>
      </c>
      <c r="F2632" s="6"/>
      <c r="G2632" s="6"/>
      <c r="H2632" s="6"/>
      <c r="I2632" s="6"/>
      <c r="J2632" s="6"/>
      <c r="K2632" s="6"/>
      <c r="L2632" s="6"/>
      <c r="M2632" s="6"/>
      <c r="N2632" s="6"/>
      <c r="O2632" s="6"/>
      <c r="P2632" s="6"/>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c r="BU2632" s="6"/>
      <c r="BV2632" s="6"/>
      <c r="BW2632" s="6"/>
      <c r="BX2632" s="6"/>
      <c r="BY2632" s="6"/>
      <c r="BZ2632" s="6"/>
      <c r="CA2632" s="6"/>
      <c r="CB2632" s="6"/>
      <c r="CC2632" s="6"/>
      <c r="CD2632" s="6"/>
      <c r="CE2632" s="6"/>
      <c r="CF2632" s="6"/>
      <c r="CG2632" s="6"/>
      <c r="CH2632" s="6"/>
      <c r="CI2632" s="6"/>
      <c r="CJ2632" s="6"/>
      <c r="CK2632" s="6"/>
      <c r="CL2632" s="6"/>
      <c r="CM2632" s="6"/>
      <c r="CN2632" s="6"/>
      <c r="CO2632" s="6"/>
      <c r="CP2632" s="6"/>
      <c r="CQ2632" s="6"/>
      <c r="CR2632" s="6"/>
      <c r="CS2632" s="6"/>
      <c r="CT2632" s="6"/>
      <c r="CU2632" s="6"/>
      <c r="CV2632" s="6"/>
      <c r="CW2632" s="6"/>
      <c r="CX2632" s="6"/>
      <c r="CY2632" s="6"/>
      <c r="CZ2632" s="6"/>
      <c r="DA2632" s="6"/>
      <c r="DB2632" s="6"/>
      <c r="DC2632" s="6"/>
      <c r="DD2632" s="6"/>
    </row>
    <row r="2633" spans="1:108" ht="12.75" hidden="1" customHeight="1" outlineLevel="5">
      <c r="A2633" s="104" t="s">
        <v>81</v>
      </c>
      <c r="B2633" s="28">
        <f t="shared" si="146"/>
        <v>1</v>
      </c>
      <c r="C2633" s="11"/>
      <c r="D2633" s="18" t="str">
        <f>"&lt;" &amp; A2633 &amp; "&gt;" &amp; TEXT(B2633,0) &amp; "&lt;/" &amp; A2633 &amp; "&gt;"</f>
        <v>&lt;AutoAeroCenterFlag&gt;1&lt;/AutoAeroCenterFlag&gt;</v>
      </c>
      <c r="F2633" s="6"/>
      <c r="G2633" s="6"/>
      <c r="H2633" s="6"/>
      <c r="I2633" s="6"/>
      <c r="J2633" s="6"/>
      <c r="K2633" s="6"/>
      <c r="L2633" s="6"/>
      <c r="M2633" s="6"/>
      <c r="N2633" s="6"/>
      <c r="O2633" s="6"/>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c r="BU2633" s="6"/>
      <c r="BV2633" s="6"/>
      <c r="BW2633" s="6"/>
      <c r="BX2633" s="6"/>
      <c r="BY2633" s="6"/>
      <c r="BZ2633" s="6"/>
      <c r="CA2633" s="6"/>
      <c r="CB2633" s="6"/>
      <c r="CC2633" s="6"/>
      <c r="CD2633" s="6"/>
      <c r="CE2633" s="6"/>
      <c r="CF2633" s="6"/>
      <c r="CG2633" s="6"/>
      <c r="CH2633" s="6"/>
      <c r="CI2633" s="6"/>
      <c r="CJ2633" s="6"/>
      <c r="CK2633" s="6"/>
      <c r="CL2633" s="6"/>
      <c r="CM2633" s="6"/>
      <c r="CN2633" s="6"/>
      <c r="CO2633" s="6"/>
      <c r="CP2633" s="6"/>
      <c r="CQ2633" s="6"/>
      <c r="CR2633" s="6"/>
      <c r="CS2633" s="6"/>
      <c r="CT2633" s="6"/>
      <c r="CU2633" s="6"/>
      <c r="CV2633" s="6"/>
      <c r="CW2633" s="6"/>
      <c r="CX2633" s="6"/>
      <c r="CY2633" s="6"/>
      <c r="CZ2633" s="6"/>
      <c r="DA2633" s="6"/>
      <c r="DB2633" s="6"/>
      <c r="DC2633" s="6"/>
      <c r="DD2633" s="6"/>
    </row>
    <row r="2634" spans="1:108" ht="12.75" hidden="1" customHeight="1" outlineLevel="5">
      <c r="A2634" s="104" t="s">
        <v>82</v>
      </c>
      <c r="B2634" s="28">
        <f t="shared" si="146"/>
        <v>0</v>
      </c>
      <c r="C2634" s="11"/>
      <c r="D2634" s="18" t="str">
        <f>"&lt;" &amp; A2634 &amp; "&gt;" &amp; TEXT(B2634,0) &amp; "&lt;/" &amp; A2634 &amp; "&gt;"</f>
        <v>&lt;WakeActiveFlag&gt;0&lt;/WakeActiveFlag&gt;</v>
      </c>
      <c r="F2634" s="6"/>
      <c r="G2634" s="6"/>
      <c r="H2634" s="6"/>
      <c r="I2634" s="6"/>
      <c r="J2634" s="6"/>
      <c r="K2634" s="6"/>
      <c r="L2634" s="6"/>
      <c r="M2634" s="6"/>
      <c r="N2634" s="6"/>
      <c r="O2634" s="6"/>
      <c r="P2634" s="6"/>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c r="BU2634" s="6"/>
      <c r="BV2634" s="6"/>
      <c r="BW2634" s="6"/>
      <c r="BX2634" s="6"/>
      <c r="BY2634" s="6"/>
      <c r="BZ2634" s="6"/>
      <c r="CA2634" s="6"/>
      <c r="CB2634" s="6"/>
      <c r="CC2634" s="6"/>
      <c r="CD2634" s="6"/>
      <c r="CE2634" s="6"/>
      <c r="CF2634" s="6"/>
      <c r="CG2634" s="6"/>
      <c r="CH2634" s="6"/>
      <c r="CI2634" s="6"/>
      <c r="CJ2634" s="6"/>
      <c r="CK2634" s="6"/>
      <c r="CL2634" s="6"/>
      <c r="CM2634" s="6"/>
      <c r="CN2634" s="6"/>
      <c r="CO2634" s="6"/>
      <c r="CP2634" s="6"/>
      <c r="CQ2634" s="6"/>
      <c r="CR2634" s="6"/>
      <c r="CS2634" s="6"/>
      <c r="CT2634" s="6"/>
      <c r="CU2634" s="6"/>
      <c r="CV2634" s="6"/>
      <c r="CW2634" s="6"/>
      <c r="CX2634" s="6"/>
      <c r="CY2634" s="6"/>
      <c r="CZ2634" s="6"/>
      <c r="DA2634" s="6"/>
      <c r="DB2634" s="6"/>
      <c r="DC2634" s="6"/>
      <c r="DD2634" s="6"/>
    </row>
    <row r="2635" spans="1:108" ht="12.75" hidden="1" customHeight="1" outlineLevel="5">
      <c r="A2635" s="104" t="s">
        <v>83</v>
      </c>
      <c r="B2635" s="28">
        <f t="shared" si="146"/>
        <v>3</v>
      </c>
      <c r="C2635" s="11"/>
      <c r="D2635" s="18" t="str">
        <f>"&lt;" &amp; A2635 &amp; "&gt;" &amp; TEXT(B2635,0) &amp; "&lt;/" &amp; A2635 &amp; "&gt;"</f>
        <v>&lt;PosAttachFlag&gt;3&lt;/PosAttachFlag&gt;</v>
      </c>
      <c r="F2635" s="6"/>
      <c r="G2635" s="6"/>
      <c r="H2635" s="6"/>
      <c r="I2635" s="6"/>
      <c r="J2635" s="6"/>
      <c r="K2635" s="6"/>
      <c r="L2635" s="6"/>
      <c r="M2635" s="6"/>
      <c r="N2635" s="6"/>
      <c r="O2635" s="6"/>
      <c r="P2635" s="6"/>
      <c r="Q2635" s="6"/>
      <c r="R2635" s="6"/>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c r="BU2635" s="6"/>
      <c r="BV2635" s="6"/>
      <c r="BW2635" s="6"/>
      <c r="BX2635" s="6"/>
      <c r="BY2635" s="6"/>
      <c r="BZ2635" s="6"/>
      <c r="CA2635" s="6"/>
      <c r="CB2635" s="6"/>
      <c r="CC2635" s="6"/>
      <c r="CD2635" s="6"/>
      <c r="CE2635" s="6"/>
      <c r="CF2635" s="6"/>
      <c r="CG2635" s="6"/>
      <c r="CH2635" s="6"/>
      <c r="CI2635" s="6"/>
      <c r="CJ2635" s="6"/>
      <c r="CK2635" s="6"/>
      <c r="CL2635" s="6"/>
      <c r="CM2635" s="6"/>
      <c r="CN2635" s="6"/>
      <c r="CO2635" s="6"/>
      <c r="CP2635" s="6"/>
      <c r="CQ2635" s="6"/>
      <c r="CR2635" s="6"/>
      <c r="CS2635" s="6"/>
      <c r="CT2635" s="6"/>
      <c r="CU2635" s="6"/>
      <c r="CV2635" s="6"/>
      <c r="CW2635" s="6"/>
      <c r="CX2635" s="6"/>
      <c r="CY2635" s="6"/>
      <c r="CZ2635" s="6"/>
      <c r="DA2635" s="6"/>
      <c r="DB2635" s="6"/>
      <c r="DC2635" s="6"/>
      <c r="DD2635" s="6"/>
    </row>
    <row r="2636" spans="1:108" ht="12.75" hidden="1" customHeight="1" outlineLevel="5">
      <c r="A2636" s="104" t="s">
        <v>84</v>
      </c>
      <c r="B2636" s="28">
        <f t="shared" si="146"/>
        <v>0</v>
      </c>
      <c r="C2636" s="11"/>
      <c r="D2636" s="18" t="str">
        <f>"&lt;" &amp; A2636 &amp; "&gt;" &amp; TEXT(B2636,"0.000000") &amp; "&lt;/" &amp; A2636 &amp; "&gt;"</f>
        <v>&lt;U_Attach&gt;0.000000&lt;/U_Attach&gt;</v>
      </c>
      <c r="F2636" s="6"/>
      <c r="G2636" s="6"/>
      <c r="H2636" s="6"/>
      <c r="I2636" s="6"/>
      <c r="J2636" s="6"/>
      <c r="K2636" s="6"/>
      <c r="L2636" s="6"/>
      <c r="M2636" s="6"/>
      <c r="N2636" s="6"/>
      <c r="O2636" s="6"/>
      <c r="P2636" s="6"/>
      <c r="Q2636" s="6"/>
      <c r="R2636" s="6"/>
      <c r="S2636" s="6"/>
      <c r="T2636" s="6"/>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c r="BU2636" s="6"/>
      <c r="BV2636" s="6"/>
      <c r="BW2636" s="6"/>
      <c r="BX2636" s="6"/>
      <c r="BY2636" s="6"/>
      <c r="BZ2636" s="6"/>
      <c r="CA2636" s="6"/>
      <c r="CB2636" s="6"/>
      <c r="CC2636" s="6"/>
      <c r="CD2636" s="6"/>
      <c r="CE2636" s="6"/>
      <c r="CF2636" s="6"/>
      <c r="CG2636" s="6"/>
      <c r="CH2636" s="6"/>
      <c r="CI2636" s="6"/>
      <c r="CJ2636" s="6"/>
      <c r="CK2636" s="6"/>
      <c r="CL2636" s="6"/>
      <c r="CM2636" s="6"/>
      <c r="CN2636" s="6"/>
      <c r="CO2636" s="6"/>
      <c r="CP2636" s="6"/>
      <c r="CQ2636" s="6"/>
      <c r="CR2636" s="6"/>
      <c r="CS2636" s="6"/>
      <c r="CT2636" s="6"/>
      <c r="CU2636" s="6"/>
      <c r="CV2636" s="6"/>
      <c r="CW2636" s="6"/>
      <c r="CX2636" s="6"/>
      <c r="CY2636" s="6"/>
      <c r="CZ2636" s="6"/>
      <c r="DA2636" s="6"/>
      <c r="DB2636" s="6"/>
      <c r="DC2636" s="6"/>
      <c r="DD2636" s="6"/>
    </row>
    <row r="2637" spans="1:108" ht="12.75" hidden="1" customHeight="1" outlineLevel="5">
      <c r="A2637" s="104" t="s">
        <v>85</v>
      </c>
      <c r="B2637" s="28">
        <f t="shared" si="146"/>
        <v>0</v>
      </c>
      <c r="C2637" s="11"/>
      <c r="D2637" s="18" t="str">
        <f>"&lt;" &amp; A2637 &amp; "&gt;" &amp; TEXT(B2637,"0.000000") &amp; "&lt;/" &amp; A2637 &amp; "&gt;"</f>
        <v>&lt;V_Attach&gt;0.000000&lt;/V_Attach&gt;</v>
      </c>
      <c r="F2637" s="6"/>
      <c r="G2637" s="6"/>
      <c r="H2637" s="6"/>
      <c r="I2637" s="6"/>
      <c r="J2637" s="6"/>
      <c r="K2637" s="6"/>
      <c r="L2637" s="6"/>
      <c r="M2637" s="6"/>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c r="BU2637" s="6"/>
      <c r="BV2637" s="6"/>
      <c r="BW2637" s="6"/>
      <c r="BX2637" s="6"/>
      <c r="BY2637" s="6"/>
      <c r="BZ2637" s="6"/>
      <c r="CA2637" s="6"/>
      <c r="CB2637" s="6"/>
      <c r="CC2637" s="6"/>
      <c r="CD2637" s="6"/>
      <c r="CE2637" s="6"/>
      <c r="CF2637" s="6"/>
      <c r="CG2637" s="6"/>
      <c r="CH2637" s="6"/>
      <c r="CI2637" s="6"/>
      <c r="CJ2637" s="6"/>
      <c r="CK2637" s="6"/>
      <c r="CL2637" s="6"/>
      <c r="CM2637" s="6"/>
      <c r="CN2637" s="6"/>
      <c r="CO2637" s="6"/>
      <c r="CP2637" s="6"/>
      <c r="CQ2637" s="6"/>
      <c r="CR2637" s="6"/>
      <c r="CS2637" s="6"/>
      <c r="CT2637" s="6"/>
      <c r="CU2637" s="6"/>
      <c r="CV2637" s="6"/>
      <c r="CW2637" s="6"/>
      <c r="CX2637" s="6"/>
      <c r="CY2637" s="6"/>
      <c r="CZ2637" s="6"/>
      <c r="DA2637" s="6"/>
      <c r="DB2637" s="6"/>
      <c r="DC2637" s="6"/>
      <c r="DD2637" s="6"/>
    </row>
    <row r="2638" spans="1:108" ht="12.75" hidden="1" customHeight="1" outlineLevel="5">
      <c r="A2638" s="104" t="s">
        <v>86</v>
      </c>
      <c r="B2638" s="28">
        <v>148458298</v>
      </c>
      <c r="C2638" s="11"/>
      <c r="D2638" s="18" t="str">
        <f>"&lt;" &amp; A2638 &amp; "&gt;" &amp; TEXT(B2638,0) &amp; "&lt;/" &amp; A2638 &amp; "&gt;"</f>
        <v>&lt;PtrID&gt;148458298&lt;/PtrID&gt;</v>
      </c>
      <c r="F2638" s="6"/>
      <c r="G2638" s="6"/>
      <c r="H2638" s="6"/>
      <c r="I2638" s="6"/>
      <c r="J2638" s="6"/>
      <c r="K2638" s="6"/>
      <c r="L2638" s="6"/>
      <c r="M2638" s="6"/>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c r="BU2638" s="6"/>
      <c r="BV2638" s="6"/>
      <c r="BW2638" s="6"/>
      <c r="BX2638" s="6"/>
      <c r="BY2638" s="6"/>
      <c r="BZ2638" s="6"/>
      <c r="CA2638" s="6"/>
      <c r="CB2638" s="6"/>
      <c r="CC2638" s="6"/>
      <c r="CD2638" s="6"/>
      <c r="CE2638" s="6"/>
      <c r="CF2638" s="6"/>
      <c r="CG2638" s="6"/>
      <c r="CH2638" s="6"/>
      <c r="CI2638" s="6"/>
      <c r="CJ2638" s="6"/>
      <c r="CK2638" s="6"/>
      <c r="CL2638" s="6"/>
      <c r="CM2638" s="6"/>
      <c r="CN2638" s="6"/>
      <c r="CO2638" s="6"/>
      <c r="CP2638" s="6"/>
      <c r="CQ2638" s="6"/>
      <c r="CR2638" s="6"/>
      <c r="CS2638" s="6"/>
      <c r="CT2638" s="6"/>
      <c r="CU2638" s="6"/>
      <c r="CV2638" s="6"/>
      <c r="CW2638" s="6"/>
      <c r="CX2638" s="6"/>
      <c r="CY2638" s="6"/>
      <c r="CZ2638" s="6"/>
      <c r="DA2638" s="6"/>
      <c r="DB2638" s="6"/>
      <c r="DC2638" s="6"/>
      <c r="DD2638" s="6"/>
    </row>
    <row r="2639" spans="1:108" ht="12.75" hidden="1" customHeight="1" outlineLevel="5">
      <c r="A2639" s="104" t="s">
        <v>87</v>
      </c>
      <c r="B2639" s="28">
        <v>149096552</v>
      </c>
      <c r="C2639" s="11"/>
      <c r="D2639" s="18" t="str">
        <f>"&lt;" &amp; A2639 &amp; "&gt;" &amp; TEXT(B2639,0) &amp; "&lt;/" &amp; A2639 &amp; "&gt;"</f>
        <v>&lt;Parent_PtrID&gt;149096552&lt;/Parent_PtrID&gt;</v>
      </c>
      <c r="F2639" s="6"/>
      <c r="G2639" s="6"/>
      <c r="H2639" s="6"/>
      <c r="I2639" s="6"/>
      <c r="J2639" s="6"/>
      <c r="K2639" s="6"/>
      <c r="L2639" s="6"/>
      <c r="M2639" s="6"/>
      <c r="N2639" s="6"/>
      <c r="O2639" s="6"/>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c r="BU2639" s="6"/>
      <c r="BV2639" s="6"/>
      <c r="BW2639" s="6"/>
      <c r="BX2639" s="6"/>
      <c r="BY2639" s="6"/>
      <c r="BZ2639" s="6"/>
      <c r="CA2639" s="6"/>
      <c r="CB2639" s="6"/>
      <c r="CC2639" s="6"/>
      <c r="CD2639" s="6"/>
      <c r="CE2639" s="6"/>
      <c r="CF2639" s="6"/>
      <c r="CG2639" s="6"/>
      <c r="CH2639" s="6"/>
      <c r="CI2639" s="6"/>
      <c r="CJ2639" s="6"/>
      <c r="CK2639" s="6"/>
      <c r="CL2639" s="6"/>
      <c r="CM2639" s="6"/>
      <c r="CN2639" s="6"/>
      <c r="CO2639" s="6"/>
      <c r="CP2639" s="6"/>
      <c r="CQ2639" s="6"/>
      <c r="CR2639" s="6"/>
      <c r="CS2639" s="6"/>
      <c r="CT2639" s="6"/>
      <c r="CU2639" s="6"/>
      <c r="CV2639" s="6"/>
      <c r="CW2639" s="6"/>
      <c r="CX2639" s="6"/>
      <c r="CY2639" s="6"/>
      <c r="CZ2639" s="6"/>
      <c r="DA2639" s="6"/>
      <c r="DB2639" s="6"/>
      <c r="DC2639" s="6"/>
      <c r="DD2639" s="6"/>
    </row>
    <row r="2640" spans="1:108" ht="12.75" hidden="1" customHeight="1" outlineLevel="5">
      <c r="A2640" s="104" t="s">
        <v>88</v>
      </c>
      <c r="B2640" s="100"/>
      <c r="C2640" s="11"/>
      <c r="D2640" s="6" t="str">
        <f>"&lt;" &amp; A2640 &amp; "&gt;"</f>
        <v>&lt;/General_Parms&gt;</v>
      </c>
      <c r="F2640" s="6"/>
      <c r="G2640" s="6"/>
      <c r="H2640" s="6"/>
      <c r="I2640" s="6"/>
      <c r="J2640" s="6"/>
      <c r="K2640" s="6"/>
      <c r="L2640" s="6"/>
      <c r="M2640" s="6"/>
      <c r="N2640" s="6"/>
      <c r="O2640" s="6"/>
      <c r="P2640" s="6"/>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c r="BU2640" s="6"/>
      <c r="BV2640" s="6"/>
      <c r="BW2640" s="6"/>
      <c r="BX2640" s="6"/>
      <c r="BY2640" s="6"/>
      <c r="BZ2640" s="6"/>
      <c r="CA2640" s="6"/>
      <c r="CB2640" s="6"/>
      <c r="CC2640" s="6"/>
      <c r="CD2640" s="6"/>
      <c r="CE2640" s="6"/>
      <c r="CF2640" s="6"/>
      <c r="CG2640" s="6"/>
      <c r="CH2640" s="6"/>
      <c r="CI2640" s="6"/>
      <c r="CJ2640" s="6"/>
      <c r="CK2640" s="6"/>
      <c r="CL2640" s="6"/>
      <c r="CM2640" s="6"/>
      <c r="CN2640" s="6"/>
      <c r="CO2640" s="6"/>
      <c r="CP2640" s="6"/>
      <c r="CQ2640" s="6"/>
      <c r="CR2640" s="6"/>
      <c r="CS2640" s="6"/>
      <c r="CT2640" s="6"/>
      <c r="CU2640" s="6"/>
      <c r="CV2640" s="6"/>
      <c r="CW2640" s="6"/>
      <c r="CX2640" s="6"/>
      <c r="CY2640" s="6"/>
      <c r="CZ2640" s="6"/>
      <c r="DA2640" s="6"/>
      <c r="DB2640" s="6"/>
      <c r="DC2640" s="6"/>
      <c r="DD2640" s="6"/>
    </row>
    <row r="2641" spans="1:108" ht="12.75" hidden="1" customHeight="1" outlineLevel="4">
      <c r="A2641" s="104" t="s">
        <v>89</v>
      </c>
      <c r="B2641" s="100"/>
      <c r="C2641" s="11"/>
      <c r="D2641" s="6" t="str">
        <f>"&lt;" &amp; A2641 &amp; "&gt;"</f>
        <v>&lt;Mswing_Parms&gt;</v>
      </c>
      <c r="F2641" s="6"/>
      <c r="G2641" s="6"/>
      <c r="H2641" s="6"/>
      <c r="I2641" s="6"/>
      <c r="J2641" s="6"/>
      <c r="K2641" s="6"/>
      <c r="L2641" s="6"/>
      <c r="M2641" s="6"/>
      <c r="N2641" s="6"/>
      <c r="O2641" s="6"/>
      <c r="P2641" s="6"/>
      <c r="Q2641" s="6"/>
      <c r="R2641" s="6"/>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c r="BU2641" s="6"/>
      <c r="BV2641" s="6"/>
      <c r="BW2641" s="6"/>
      <c r="BX2641" s="6"/>
      <c r="BY2641" s="6"/>
      <c r="BZ2641" s="6"/>
      <c r="CA2641" s="6"/>
      <c r="CB2641" s="6"/>
      <c r="CC2641" s="6"/>
      <c r="CD2641" s="6"/>
      <c r="CE2641" s="6"/>
      <c r="CF2641" s="6"/>
      <c r="CG2641" s="6"/>
      <c r="CH2641" s="6"/>
      <c r="CI2641" s="6"/>
      <c r="CJ2641" s="6"/>
      <c r="CK2641" s="6"/>
      <c r="CL2641" s="6"/>
      <c r="CM2641" s="6"/>
      <c r="CN2641" s="6"/>
      <c r="CO2641" s="6"/>
      <c r="CP2641" s="6"/>
      <c r="CQ2641" s="6"/>
      <c r="CR2641" s="6"/>
      <c r="CS2641" s="6"/>
      <c r="CT2641" s="6"/>
      <c r="CU2641" s="6"/>
      <c r="CV2641" s="6"/>
      <c r="CW2641" s="6"/>
      <c r="CX2641" s="6"/>
      <c r="CY2641" s="6"/>
      <c r="CZ2641" s="6"/>
      <c r="DA2641" s="6"/>
      <c r="DB2641" s="6"/>
      <c r="DC2641" s="6"/>
      <c r="DD2641" s="6"/>
    </row>
    <row r="2642" spans="1:108" ht="12.75" hidden="1" customHeight="1" outlineLevel="5">
      <c r="A2642" s="104" t="s">
        <v>90</v>
      </c>
      <c r="B2642" s="40" t="e">
        <f ca="1">B2702</f>
        <v>#VALUE!</v>
      </c>
      <c r="C2642" s="11"/>
      <c r="D2642" s="18" t="e">
        <f ca="1">"&lt;" &amp; A2642 &amp; "&gt;" &amp; TEXT(B2642,"0.000000") &amp; "&lt;/" &amp; A2642 &amp; "&gt;"</f>
        <v>#VALUE!</v>
      </c>
      <c r="F2642" s="6"/>
      <c r="G2642" s="6"/>
      <c r="H2642" s="6"/>
      <c r="I2642" s="6"/>
      <c r="J2642" s="6"/>
      <c r="K2642" s="6"/>
      <c r="L2642" s="6"/>
      <c r="M2642" s="6"/>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c r="BU2642" s="6"/>
      <c r="BV2642" s="6"/>
      <c r="BW2642" s="6"/>
      <c r="BX2642" s="6"/>
      <c r="BY2642" s="6"/>
      <c r="BZ2642" s="6"/>
      <c r="CA2642" s="6"/>
      <c r="CB2642" s="6"/>
      <c r="CC2642" s="6"/>
      <c r="CD2642" s="6"/>
      <c r="CE2642" s="6"/>
      <c r="CF2642" s="6"/>
      <c r="CG2642" s="6"/>
      <c r="CH2642" s="6"/>
      <c r="CI2642" s="6"/>
      <c r="CJ2642" s="6"/>
      <c r="CK2642" s="6"/>
      <c r="CL2642" s="6"/>
      <c r="CM2642" s="6"/>
      <c r="CN2642" s="6"/>
      <c r="CO2642" s="6"/>
      <c r="CP2642" s="6"/>
      <c r="CQ2642" s="6"/>
      <c r="CR2642" s="6"/>
      <c r="CS2642" s="6"/>
      <c r="CT2642" s="6"/>
      <c r="CU2642" s="6"/>
      <c r="CV2642" s="6"/>
      <c r="CW2642" s="6"/>
      <c r="CX2642" s="6"/>
      <c r="CY2642" s="6"/>
      <c r="CZ2642" s="6"/>
      <c r="DA2642" s="6"/>
      <c r="DB2642" s="6"/>
      <c r="DC2642" s="6"/>
      <c r="DD2642" s="6"/>
    </row>
    <row r="2643" spans="1:108" ht="12.75" hidden="1" customHeight="1" outlineLevel="5">
      <c r="A2643" s="104" t="s">
        <v>91</v>
      </c>
      <c r="B2643" s="37">
        <f>B2703</f>
        <v>0.9</v>
      </c>
      <c r="C2643" s="11"/>
      <c r="D2643" s="18" t="str">
        <f>"&lt;" &amp; A2643 &amp; "&gt;" &amp; TEXT(B2643,"0.000000") &amp; "&lt;/" &amp; A2643 &amp; "&gt;"</f>
        <v>&lt;Total_Span&gt;0.900000&lt;/Total_Span&gt;</v>
      </c>
      <c r="F2643" s="6"/>
      <c r="G2643" s="6"/>
      <c r="H2643" s="6"/>
      <c r="I2643" s="6"/>
      <c r="J2643" s="6"/>
      <c r="K2643" s="6"/>
      <c r="L2643" s="6"/>
      <c r="M2643" s="6"/>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c r="BU2643" s="6"/>
      <c r="BV2643" s="6"/>
      <c r="BW2643" s="6"/>
      <c r="BX2643" s="6"/>
      <c r="BY2643" s="6"/>
      <c r="BZ2643" s="6"/>
      <c r="CA2643" s="6"/>
      <c r="CB2643" s="6"/>
      <c r="CC2643" s="6"/>
      <c r="CD2643" s="6"/>
      <c r="CE2643" s="6"/>
      <c r="CF2643" s="6"/>
      <c r="CG2643" s="6"/>
      <c r="CH2643" s="6"/>
      <c r="CI2643" s="6"/>
      <c r="CJ2643" s="6"/>
      <c r="CK2643" s="6"/>
      <c r="CL2643" s="6"/>
      <c r="CM2643" s="6"/>
      <c r="CN2643" s="6"/>
      <c r="CO2643" s="6"/>
      <c r="CP2643" s="6"/>
      <c r="CQ2643" s="6"/>
      <c r="CR2643" s="6"/>
      <c r="CS2643" s="6"/>
      <c r="CT2643" s="6"/>
      <c r="CU2643" s="6"/>
      <c r="CV2643" s="6"/>
      <c r="CW2643" s="6"/>
      <c r="CX2643" s="6"/>
      <c r="CY2643" s="6"/>
      <c r="CZ2643" s="6"/>
      <c r="DA2643" s="6"/>
      <c r="DB2643" s="6"/>
      <c r="DC2643" s="6"/>
      <c r="DD2643" s="6"/>
    </row>
    <row r="2644" spans="1:108" ht="12.75" hidden="1" customHeight="1" outlineLevel="5">
      <c r="A2644" s="104" t="s">
        <v>92</v>
      </c>
      <c r="B2644" s="37">
        <f>B2703*COS(B2710*PI()/180)</f>
        <v>0.9</v>
      </c>
      <c r="C2644" s="11"/>
      <c r="D2644" s="18" t="str">
        <f>"&lt;" &amp; A2644 &amp; "&gt;" &amp; TEXT(B2644,"0.000000") &amp; "&lt;/" &amp; A2644 &amp; "&gt;"</f>
        <v>&lt;Total_Proj_Span&gt;0.900000&lt;/Total_Proj_Span&gt;</v>
      </c>
      <c r="F2644" s="6"/>
      <c r="G2644" s="6"/>
      <c r="H2644" s="6"/>
      <c r="I2644" s="6"/>
      <c r="J2644" s="6"/>
      <c r="K2644" s="6"/>
      <c r="L2644" s="6"/>
      <c r="M2644" s="6"/>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c r="BU2644" s="6"/>
      <c r="BV2644" s="6"/>
      <c r="BW2644" s="6"/>
      <c r="BX2644" s="6"/>
      <c r="BY2644" s="6"/>
      <c r="BZ2644" s="6"/>
      <c r="CA2644" s="6"/>
      <c r="CB2644" s="6"/>
      <c r="CC2644" s="6"/>
      <c r="CD2644" s="6"/>
      <c r="CE2644" s="6"/>
      <c r="CF2644" s="6"/>
      <c r="CG2644" s="6"/>
      <c r="CH2644" s="6"/>
      <c r="CI2644" s="6"/>
      <c r="CJ2644" s="6"/>
      <c r="CK2644" s="6"/>
      <c r="CL2644" s="6"/>
      <c r="CM2644" s="6"/>
      <c r="CN2644" s="6"/>
      <c r="CO2644" s="6"/>
      <c r="CP2644" s="6"/>
      <c r="CQ2644" s="6"/>
      <c r="CR2644" s="6"/>
      <c r="CS2644" s="6"/>
      <c r="CT2644" s="6"/>
      <c r="CU2644" s="6"/>
      <c r="CV2644" s="6"/>
      <c r="CW2644" s="6"/>
      <c r="CX2644" s="6"/>
      <c r="CY2644" s="6"/>
      <c r="CZ2644" s="6"/>
      <c r="DA2644" s="6"/>
      <c r="DB2644" s="6"/>
      <c r="DC2644" s="6"/>
      <c r="DD2644" s="6"/>
    </row>
    <row r="2645" spans="1:108" ht="12.75" hidden="1" customHeight="1" outlineLevel="5">
      <c r="A2645" s="104" t="s">
        <v>93</v>
      </c>
      <c r="B2645" s="37" t="e">
        <f ca="1">B2642/B2643</f>
        <v>#VALUE!</v>
      </c>
      <c r="C2645" s="11"/>
      <c r="D2645" s="18" t="e">
        <f ca="1">"&lt;" &amp; A2645 &amp; "&gt;" &amp; TEXT(B2645,"0.000000") &amp; "&lt;/" &amp; A2645 &amp; "&gt;"</f>
        <v>#VALUE!</v>
      </c>
      <c r="F2645" s="6"/>
      <c r="G2645" s="6"/>
      <c r="H2645" s="6"/>
      <c r="I2645" s="6"/>
      <c r="J2645" s="6"/>
      <c r="K2645" s="6"/>
      <c r="L2645" s="6"/>
      <c r="M2645" s="6"/>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c r="BU2645" s="6"/>
      <c r="BV2645" s="6"/>
      <c r="BW2645" s="6"/>
      <c r="BX2645" s="6"/>
      <c r="BY2645" s="6"/>
      <c r="BZ2645" s="6"/>
      <c r="CA2645" s="6"/>
      <c r="CB2645" s="6"/>
      <c r="CC2645" s="6"/>
      <c r="CD2645" s="6"/>
      <c r="CE2645" s="6"/>
      <c r="CF2645" s="6"/>
      <c r="CG2645" s="6"/>
      <c r="CH2645" s="6"/>
      <c r="CI2645" s="6"/>
      <c r="CJ2645" s="6"/>
      <c r="CK2645" s="6"/>
      <c r="CL2645" s="6"/>
      <c r="CM2645" s="6"/>
      <c r="CN2645" s="6"/>
      <c r="CO2645" s="6"/>
      <c r="CP2645" s="6"/>
      <c r="CQ2645" s="6"/>
      <c r="CR2645" s="6"/>
      <c r="CS2645" s="6"/>
      <c r="CT2645" s="6"/>
      <c r="CU2645" s="6"/>
      <c r="CV2645" s="6"/>
      <c r="CW2645" s="6"/>
      <c r="CX2645" s="6"/>
      <c r="CY2645" s="6"/>
      <c r="CZ2645" s="6"/>
      <c r="DA2645" s="6"/>
      <c r="DB2645" s="6"/>
      <c r="DC2645" s="6"/>
      <c r="DD2645" s="6"/>
    </row>
    <row r="2646" spans="1:108" ht="12.75" hidden="1" customHeight="1" outlineLevel="5">
      <c r="A2646" s="104" t="s">
        <v>94</v>
      </c>
      <c r="B2646" s="28">
        <f t="shared" ref="B2646:B2651" si="149">B2113</f>
        <v>0</v>
      </c>
      <c r="C2646" s="11"/>
      <c r="D2646" s="18" t="str">
        <f>"&lt;" &amp; A2646 &amp; "&gt;" &amp; TEXT(B2646,"0.000000") &amp; "&lt;/" &amp; A2646 &amp; "&gt;"</f>
        <v>&lt;Sweep_Off&gt;0.000000&lt;/Sweep_Off&gt;</v>
      </c>
      <c r="F2646" s="6"/>
      <c r="G2646" s="6"/>
      <c r="H2646" s="6"/>
      <c r="I2646" s="6"/>
      <c r="J2646" s="6"/>
      <c r="K2646" s="6"/>
      <c r="L2646" s="6"/>
      <c r="M2646" s="6"/>
      <c r="N2646" s="6"/>
      <c r="O2646" s="6"/>
      <c r="P2646" s="6"/>
      <c r="Q2646" s="6"/>
      <c r="R2646" s="6"/>
      <c r="S2646" s="6"/>
      <c r="T2646" s="6"/>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c r="BU2646" s="6"/>
      <c r="BV2646" s="6"/>
      <c r="BW2646" s="6"/>
      <c r="BX2646" s="6"/>
      <c r="BY2646" s="6"/>
      <c r="BZ2646" s="6"/>
      <c r="CA2646" s="6"/>
      <c r="CB2646" s="6"/>
      <c r="CC2646" s="6"/>
      <c r="CD2646" s="6"/>
      <c r="CE2646" s="6"/>
      <c r="CF2646" s="6"/>
      <c r="CG2646" s="6"/>
      <c r="CH2646" s="6"/>
      <c r="CI2646" s="6"/>
      <c r="CJ2646" s="6"/>
      <c r="CK2646" s="6"/>
      <c r="CL2646" s="6"/>
      <c r="CM2646" s="6"/>
      <c r="CN2646" s="6"/>
      <c r="CO2646" s="6"/>
      <c r="CP2646" s="6"/>
      <c r="CQ2646" s="6"/>
      <c r="CR2646" s="6"/>
      <c r="CS2646" s="6"/>
      <c r="CT2646" s="6"/>
      <c r="CU2646" s="6"/>
      <c r="CV2646" s="6"/>
      <c r="CW2646" s="6"/>
      <c r="CX2646" s="6"/>
      <c r="CY2646" s="6"/>
      <c r="CZ2646" s="6"/>
      <c r="DA2646" s="6"/>
      <c r="DB2646" s="6"/>
      <c r="DC2646" s="6"/>
      <c r="DD2646" s="6"/>
    </row>
    <row r="2647" spans="1:108" ht="12.75" hidden="1" customHeight="1" outlineLevel="5">
      <c r="A2647" s="104" t="s">
        <v>95</v>
      </c>
      <c r="B2647" s="28">
        <f t="shared" si="149"/>
        <v>9</v>
      </c>
      <c r="C2647" s="11"/>
      <c r="D2647" s="18" t="str">
        <f>"&lt;" &amp; A2647 &amp; "&gt;" &amp; TEXT(B2647,0) &amp; "&lt;/" &amp; A2647 &amp; "&gt;"</f>
        <v>&lt;Deg_Per_Seg&gt;9&lt;/Deg_Per_Seg&gt;</v>
      </c>
      <c r="F2647" s="6"/>
      <c r="G2647" s="6"/>
      <c r="H2647" s="6"/>
      <c r="I2647" s="6"/>
      <c r="J2647" s="6"/>
      <c r="K2647" s="6"/>
      <c r="L2647" s="6"/>
      <c r="M2647" s="6"/>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c r="BU2647" s="6"/>
      <c r="BV2647" s="6"/>
      <c r="BW2647" s="6"/>
      <c r="BX2647" s="6"/>
      <c r="BY2647" s="6"/>
      <c r="BZ2647" s="6"/>
      <c r="CA2647" s="6"/>
      <c r="CB2647" s="6"/>
      <c r="CC2647" s="6"/>
      <c r="CD2647" s="6"/>
      <c r="CE2647" s="6"/>
      <c r="CF2647" s="6"/>
      <c r="CG2647" s="6"/>
      <c r="CH2647" s="6"/>
      <c r="CI2647" s="6"/>
      <c r="CJ2647" s="6"/>
      <c r="CK2647" s="6"/>
      <c r="CL2647" s="6"/>
      <c r="CM2647" s="6"/>
      <c r="CN2647" s="6"/>
      <c r="CO2647" s="6"/>
      <c r="CP2647" s="6"/>
      <c r="CQ2647" s="6"/>
      <c r="CR2647" s="6"/>
      <c r="CS2647" s="6"/>
      <c r="CT2647" s="6"/>
      <c r="CU2647" s="6"/>
      <c r="CV2647" s="6"/>
      <c r="CW2647" s="6"/>
      <c r="CX2647" s="6"/>
      <c r="CY2647" s="6"/>
      <c r="CZ2647" s="6"/>
      <c r="DA2647" s="6"/>
      <c r="DB2647" s="6"/>
      <c r="DC2647" s="6"/>
      <c r="DD2647" s="6"/>
    </row>
    <row r="2648" spans="1:108" ht="12.75" hidden="1" customHeight="1" outlineLevel="5">
      <c r="A2648" s="104" t="s">
        <v>96</v>
      </c>
      <c r="B2648" s="28">
        <f t="shared" si="149"/>
        <v>9</v>
      </c>
      <c r="C2648" s="11"/>
      <c r="D2648" s="18" t="str">
        <f>"&lt;" &amp; A2648 &amp; "&gt;" &amp; TEXT(B2648,0) &amp; "&lt;/" &amp; A2648 &amp; "&gt;"</f>
        <v>&lt;Max_Num_Seg&gt;9&lt;/Max_Num_Seg&gt;</v>
      </c>
      <c r="F2648" s="6"/>
      <c r="G2648" s="6"/>
      <c r="H2648" s="6"/>
      <c r="I2648" s="6"/>
      <c r="J2648" s="6"/>
      <c r="K2648" s="6"/>
      <c r="L2648" s="6"/>
      <c r="M2648" s="6"/>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c r="BU2648" s="6"/>
      <c r="BV2648" s="6"/>
      <c r="BW2648" s="6"/>
      <c r="BX2648" s="6"/>
      <c r="BY2648" s="6"/>
      <c r="BZ2648" s="6"/>
      <c r="CA2648" s="6"/>
      <c r="CB2648" s="6"/>
      <c r="CC2648" s="6"/>
      <c r="CD2648" s="6"/>
      <c r="CE2648" s="6"/>
      <c r="CF2648" s="6"/>
      <c r="CG2648" s="6"/>
      <c r="CH2648" s="6"/>
      <c r="CI2648" s="6"/>
      <c r="CJ2648" s="6"/>
      <c r="CK2648" s="6"/>
      <c r="CL2648" s="6"/>
      <c r="CM2648" s="6"/>
      <c r="CN2648" s="6"/>
      <c r="CO2648" s="6"/>
      <c r="CP2648" s="6"/>
      <c r="CQ2648" s="6"/>
      <c r="CR2648" s="6"/>
      <c r="CS2648" s="6"/>
      <c r="CT2648" s="6"/>
      <c r="CU2648" s="6"/>
      <c r="CV2648" s="6"/>
      <c r="CW2648" s="6"/>
      <c r="CX2648" s="6"/>
      <c r="CY2648" s="6"/>
      <c r="CZ2648" s="6"/>
      <c r="DA2648" s="6"/>
      <c r="DB2648" s="6"/>
      <c r="DC2648" s="6"/>
      <c r="DD2648" s="6"/>
    </row>
    <row r="2649" spans="1:108" ht="12.75" hidden="1" customHeight="1" outlineLevel="5">
      <c r="A2649" s="104" t="s">
        <v>97</v>
      </c>
      <c r="B2649" s="28">
        <f t="shared" si="149"/>
        <v>0</v>
      </c>
      <c r="C2649" s="11"/>
      <c r="D2649" s="18" t="str">
        <f>"&lt;" &amp; A2649 &amp; "&gt;" &amp; TEXT(B2649,0) &amp; "&lt;/" &amp; A2649 &amp; "&gt;"</f>
        <v>&lt;Rel_Dihedral_Flag&gt;0&lt;/Rel_Dihedral_Flag&gt;</v>
      </c>
      <c r="F2649" s="6"/>
      <c r="G2649" s="6"/>
      <c r="H2649" s="6"/>
      <c r="I2649" s="6"/>
      <c r="J2649" s="6"/>
      <c r="K2649" s="6"/>
      <c r="L2649" s="6"/>
      <c r="M2649" s="6"/>
      <c r="N2649" s="6"/>
      <c r="O2649" s="6"/>
      <c r="P2649" s="6"/>
      <c r="Q2649" s="6"/>
      <c r="R2649" s="6"/>
      <c r="S2649" s="6"/>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c r="BU2649" s="6"/>
      <c r="BV2649" s="6"/>
      <c r="BW2649" s="6"/>
      <c r="BX2649" s="6"/>
      <c r="BY2649" s="6"/>
      <c r="BZ2649" s="6"/>
      <c r="CA2649" s="6"/>
      <c r="CB2649" s="6"/>
      <c r="CC2649" s="6"/>
      <c r="CD2649" s="6"/>
      <c r="CE2649" s="6"/>
      <c r="CF2649" s="6"/>
      <c r="CG2649" s="6"/>
      <c r="CH2649" s="6"/>
      <c r="CI2649" s="6"/>
      <c r="CJ2649" s="6"/>
      <c r="CK2649" s="6"/>
      <c r="CL2649" s="6"/>
      <c r="CM2649" s="6"/>
      <c r="CN2649" s="6"/>
      <c r="CO2649" s="6"/>
      <c r="CP2649" s="6"/>
      <c r="CQ2649" s="6"/>
      <c r="CR2649" s="6"/>
      <c r="CS2649" s="6"/>
      <c r="CT2649" s="6"/>
      <c r="CU2649" s="6"/>
      <c r="CV2649" s="6"/>
      <c r="CW2649" s="6"/>
      <c r="CX2649" s="6"/>
      <c r="CY2649" s="6"/>
      <c r="CZ2649" s="6"/>
      <c r="DA2649" s="6"/>
      <c r="DB2649" s="6"/>
      <c r="DC2649" s="6"/>
      <c r="DD2649" s="6"/>
    </row>
    <row r="2650" spans="1:108" ht="12.75" hidden="1" customHeight="1" outlineLevel="5">
      <c r="A2650" s="104" t="s">
        <v>98</v>
      </c>
      <c r="B2650" s="28">
        <f t="shared" si="149"/>
        <v>0</v>
      </c>
      <c r="C2650" s="11"/>
      <c r="D2650" s="18" t="str">
        <f>"&lt;" &amp; A2650 &amp; "&gt;" &amp; TEXT(B2650,0) &amp; "&lt;/" &amp; A2650 &amp; "&gt;"</f>
        <v>&lt;Rel_Twist_Flag&gt;0&lt;/Rel_Twist_Flag&gt;</v>
      </c>
      <c r="F2650" s="6"/>
      <c r="G2650" s="6"/>
      <c r="H2650" s="6"/>
      <c r="I2650" s="6"/>
      <c r="J2650" s="6"/>
      <c r="K2650" s="6"/>
      <c r="L2650" s="6"/>
      <c r="M2650" s="6"/>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c r="BU2650" s="6"/>
      <c r="BV2650" s="6"/>
      <c r="BW2650" s="6"/>
      <c r="BX2650" s="6"/>
      <c r="BY2650" s="6"/>
      <c r="BZ2650" s="6"/>
      <c r="CA2650" s="6"/>
      <c r="CB2650" s="6"/>
      <c r="CC2650" s="6"/>
      <c r="CD2650" s="6"/>
      <c r="CE2650" s="6"/>
      <c r="CF2650" s="6"/>
      <c r="CG2650" s="6"/>
      <c r="CH2650" s="6"/>
      <c r="CI2650" s="6"/>
      <c r="CJ2650" s="6"/>
      <c r="CK2650" s="6"/>
      <c r="CL2650" s="6"/>
      <c r="CM2650" s="6"/>
      <c r="CN2650" s="6"/>
      <c r="CO2650" s="6"/>
      <c r="CP2650" s="6"/>
      <c r="CQ2650" s="6"/>
      <c r="CR2650" s="6"/>
      <c r="CS2650" s="6"/>
      <c r="CT2650" s="6"/>
      <c r="CU2650" s="6"/>
      <c r="CV2650" s="6"/>
      <c r="CW2650" s="6"/>
      <c r="CX2650" s="6"/>
      <c r="CY2650" s="6"/>
      <c r="CZ2650" s="6"/>
      <c r="DA2650" s="6"/>
      <c r="DB2650" s="6"/>
      <c r="DC2650" s="6"/>
      <c r="DD2650" s="6"/>
    </row>
    <row r="2651" spans="1:108" ht="12.75" hidden="1" customHeight="1" outlineLevel="5">
      <c r="A2651" s="104" t="s">
        <v>99</v>
      </c>
      <c r="B2651" s="28">
        <f t="shared" si="149"/>
        <v>0</v>
      </c>
      <c r="C2651" s="11"/>
      <c r="D2651" s="18" t="str">
        <f>"&lt;" &amp; A2651 &amp; "&gt;" &amp; TEXT(B2651,0) &amp; "&lt;/" &amp; A2651 &amp; "&gt;"</f>
        <v>&lt;Round_End_Cap_Flag&gt;0&lt;/Round_End_Cap_Flag&gt;</v>
      </c>
      <c r="F2651" s="6"/>
      <c r="G2651" s="6"/>
      <c r="H2651" s="6"/>
      <c r="I2651" s="6"/>
      <c r="J2651" s="6"/>
      <c r="K2651" s="6"/>
      <c r="L2651" s="6"/>
      <c r="M2651" s="6"/>
      <c r="N2651" s="6"/>
      <c r="O2651" s="6"/>
      <c r="P2651" s="6"/>
      <c r="Q2651" s="6"/>
      <c r="R2651" s="6"/>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c r="BU2651" s="6"/>
      <c r="BV2651" s="6"/>
      <c r="BW2651" s="6"/>
      <c r="BX2651" s="6"/>
      <c r="BY2651" s="6"/>
      <c r="BZ2651" s="6"/>
      <c r="CA2651" s="6"/>
      <c r="CB2651" s="6"/>
      <c r="CC2651" s="6"/>
      <c r="CD2651" s="6"/>
      <c r="CE2651" s="6"/>
      <c r="CF2651" s="6"/>
      <c r="CG2651" s="6"/>
      <c r="CH2651" s="6"/>
      <c r="CI2651" s="6"/>
      <c r="CJ2651" s="6"/>
      <c r="CK2651" s="6"/>
      <c r="CL2651" s="6"/>
      <c r="CM2651" s="6"/>
      <c r="CN2651" s="6"/>
      <c r="CO2651" s="6"/>
      <c r="CP2651" s="6"/>
      <c r="CQ2651" s="6"/>
      <c r="CR2651" s="6"/>
      <c r="CS2651" s="6"/>
      <c r="CT2651" s="6"/>
      <c r="CU2651" s="6"/>
      <c r="CV2651" s="6"/>
      <c r="CW2651" s="6"/>
      <c r="CX2651" s="6"/>
      <c r="CY2651" s="6"/>
      <c r="CZ2651" s="6"/>
      <c r="DA2651" s="6"/>
      <c r="DB2651" s="6"/>
      <c r="DC2651" s="6"/>
      <c r="DD2651" s="6"/>
    </row>
    <row r="2652" spans="1:108" ht="12.75" hidden="1" customHeight="1" outlineLevel="5">
      <c r="A2652" s="104" t="s">
        <v>100</v>
      </c>
      <c r="B2652" s="100"/>
      <c r="C2652" s="11"/>
      <c r="D2652" s="6" t="str">
        <f>"&lt;" &amp; A2652 &amp; "&gt;"</f>
        <v>&lt;/Mswing_Parms&gt;</v>
      </c>
      <c r="F2652" s="6"/>
      <c r="G2652" s="6"/>
      <c r="H2652" s="6"/>
      <c r="I2652" s="6"/>
      <c r="J2652" s="6"/>
      <c r="K2652" s="6"/>
      <c r="L2652" s="6"/>
      <c r="M2652" s="6"/>
      <c r="N2652" s="6"/>
      <c r="O2652" s="6"/>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c r="BU2652" s="6"/>
      <c r="BV2652" s="6"/>
      <c r="BW2652" s="6"/>
      <c r="BX2652" s="6"/>
      <c r="BY2652" s="6"/>
      <c r="BZ2652" s="6"/>
      <c r="CA2652" s="6"/>
      <c r="CB2652" s="6"/>
      <c r="CC2652" s="6"/>
      <c r="CD2652" s="6"/>
      <c r="CE2652" s="6"/>
      <c r="CF2652" s="6"/>
      <c r="CG2652" s="6"/>
      <c r="CH2652" s="6"/>
      <c r="CI2652" s="6"/>
      <c r="CJ2652" s="6"/>
      <c r="CK2652" s="6"/>
      <c r="CL2652" s="6"/>
      <c r="CM2652" s="6"/>
      <c r="CN2652" s="6"/>
      <c r="CO2652" s="6"/>
      <c r="CP2652" s="6"/>
      <c r="CQ2652" s="6"/>
      <c r="CR2652" s="6"/>
      <c r="CS2652" s="6"/>
      <c r="CT2652" s="6"/>
      <c r="CU2652" s="6"/>
      <c r="CV2652" s="6"/>
      <c r="CW2652" s="6"/>
      <c r="CX2652" s="6"/>
      <c r="CY2652" s="6"/>
      <c r="CZ2652" s="6"/>
      <c r="DA2652" s="6"/>
      <c r="DB2652" s="6"/>
      <c r="DC2652" s="6"/>
      <c r="DD2652" s="6"/>
    </row>
    <row r="2653" spans="1:108" ht="12.75" hidden="1" customHeight="1" outlineLevel="4" collapsed="1">
      <c r="A2653" s="104" t="s">
        <v>101</v>
      </c>
      <c r="B2653" s="100"/>
      <c r="C2653" s="11"/>
      <c r="D2653" s="6" t="str">
        <f>"&lt;" &amp; A2653 &amp; "&gt;"</f>
        <v>&lt;Airfoil_List&gt;</v>
      </c>
      <c r="F2653" s="6"/>
      <c r="G2653" s="6"/>
      <c r="H2653" s="6"/>
      <c r="I2653" s="6"/>
      <c r="J2653" s="6"/>
      <c r="K2653" s="6"/>
      <c r="L2653" s="6"/>
      <c r="M2653" s="6"/>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c r="BU2653" s="6"/>
      <c r="BV2653" s="6"/>
      <c r="BW2653" s="6"/>
      <c r="BX2653" s="6"/>
      <c r="BY2653" s="6"/>
      <c r="BZ2653" s="6"/>
      <c r="CA2653" s="6"/>
      <c r="CB2653" s="6"/>
      <c r="CC2653" s="6"/>
      <c r="CD2653" s="6"/>
      <c r="CE2653" s="6"/>
      <c r="CF2653" s="6"/>
      <c r="CG2653" s="6"/>
      <c r="CH2653" s="6"/>
      <c r="CI2653" s="6"/>
      <c r="CJ2653" s="6"/>
      <c r="CK2653" s="6"/>
      <c r="CL2653" s="6"/>
      <c r="CM2653" s="6"/>
      <c r="CN2653" s="6"/>
      <c r="CO2653" s="6"/>
      <c r="CP2653" s="6"/>
      <c r="CQ2653" s="6"/>
      <c r="CR2653" s="6"/>
      <c r="CS2653" s="6"/>
      <c r="CT2653" s="6"/>
      <c r="CU2653" s="6"/>
      <c r="CV2653" s="6"/>
      <c r="CW2653" s="6"/>
      <c r="CX2653" s="6"/>
      <c r="CY2653" s="6"/>
      <c r="CZ2653" s="6"/>
      <c r="DA2653" s="6"/>
      <c r="DB2653" s="6"/>
      <c r="DC2653" s="6"/>
      <c r="DD2653" s="6"/>
    </row>
    <row r="2654" spans="1:108" ht="12.75" hidden="1" customHeight="1" outlineLevel="5" collapsed="1">
      <c r="A2654" s="104" t="s">
        <v>2</v>
      </c>
      <c r="B2654" s="110" t="s">
        <v>399</v>
      </c>
      <c r="C2654" s="11"/>
      <c r="D2654" s="6" t="str">
        <f>"&lt;" &amp; A2654 &amp; "&gt;"</f>
        <v>&lt;Airfoil&gt;</v>
      </c>
      <c r="F2654" s="6"/>
      <c r="G2654" s="6"/>
      <c r="H2654" s="6"/>
      <c r="I2654" s="6"/>
      <c r="J2654" s="6"/>
      <c r="K2654" s="6"/>
      <c r="L2654" s="6"/>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c r="BU2654" s="6"/>
      <c r="BV2654" s="6"/>
      <c r="BW2654" s="6"/>
      <c r="BX2654" s="6"/>
      <c r="BY2654" s="6"/>
      <c r="BZ2654" s="6"/>
      <c r="CA2654" s="6"/>
      <c r="CB2654" s="6"/>
      <c r="CC2654" s="6"/>
      <c r="CD2654" s="6"/>
      <c r="CE2654" s="6"/>
      <c r="CF2654" s="6"/>
      <c r="CG2654" s="6"/>
      <c r="CH2654" s="6"/>
      <c r="CI2654" s="6"/>
      <c r="CJ2654" s="6"/>
      <c r="CK2654" s="6"/>
      <c r="CL2654" s="6"/>
      <c r="CM2654" s="6"/>
      <c r="CN2654" s="6"/>
      <c r="CO2654" s="6"/>
      <c r="CP2654" s="6"/>
      <c r="CQ2654" s="6"/>
      <c r="CR2654" s="6"/>
      <c r="CS2654" s="6"/>
      <c r="CT2654" s="6"/>
      <c r="CU2654" s="6"/>
      <c r="CV2654" s="6"/>
      <c r="CW2654" s="6"/>
      <c r="CX2654" s="6"/>
      <c r="CY2654" s="6"/>
      <c r="CZ2654" s="6"/>
      <c r="DA2654" s="6"/>
      <c r="DB2654" s="6"/>
      <c r="DC2654" s="6"/>
      <c r="DD2654" s="6"/>
    </row>
    <row r="2655" spans="1:108" ht="12.75" hidden="1" customHeight="1" outlineLevel="6">
      <c r="A2655" s="104" t="s">
        <v>14</v>
      </c>
      <c r="B2655" s="28">
        <f t="shared" ref="B2655:B2673" si="150">B2122</f>
        <v>1</v>
      </c>
      <c r="C2655" s="11"/>
      <c r="D2655" s="18" t="str">
        <f>"&lt;" &amp; A2655 &amp; "&gt;" &amp; TEXT(B2655,0) &amp; "&lt;/" &amp; A2655 &amp; "&gt;"</f>
        <v>&lt;Type&gt;1&lt;/Type&gt;</v>
      </c>
      <c r="F2655" s="6"/>
      <c r="G2655" s="6"/>
      <c r="H2655" s="6"/>
      <c r="I2655" s="6"/>
      <c r="J2655" s="6"/>
      <c r="K2655" s="6"/>
      <c r="L2655" s="6"/>
      <c r="M2655" s="6"/>
      <c r="N2655" s="6"/>
      <c r="O2655" s="6"/>
      <c r="P2655" s="6"/>
      <c r="Q2655" s="6"/>
      <c r="R2655" s="6"/>
      <c r="S2655" s="6"/>
      <c r="T2655" s="6"/>
      <c r="U2655" s="6"/>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c r="BU2655" s="6"/>
      <c r="BV2655" s="6"/>
      <c r="BW2655" s="6"/>
      <c r="BX2655" s="6"/>
      <c r="BY2655" s="6"/>
      <c r="BZ2655" s="6"/>
      <c r="CA2655" s="6"/>
      <c r="CB2655" s="6"/>
      <c r="CC2655" s="6"/>
      <c r="CD2655" s="6"/>
      <c r="CE2655" s="6"/>
      <c r="CF2655" s="6"/>
      <c r="CG2655" s="6"/>
      <c r="CH2655" s="6"/>
      <c r="CI2655" s="6"/>
      <c r="CJ2655" s="6"/>
      <c r="CK2655" s="6"/>
      <c r="CL2655" s="6"/>
      <c r="CM2655" s="6"/>
      <c r="CN2655" s="6"/>
      <c r="CO2655" s="6"/>
      <c r="CP2655" s="6"/>
      <c r="CQ2655" s="6"/>
      <c r="CR2655" s="6"/>
      <c r="CS2655" s="6"/>
      <c r="CT2655" s="6"/>
      <c r="CU2655" s="6"/>
      <c r="CV2655" s="6"/>
      <c r="CW2655" s="6"/>
      <c r="CX2655" s="6"/>
      <c r="CY2655" s="6"/>
      <c r="CZ2655" s="6"/>
      <c r="DA2655" s="6"/>
      <c r="DB2655" s="6"/>
      <c r="DC2655" s="6"/>
      <c r="DD2655" s="6"/>
    </row>
    <row r="2656" spans="1:108" ht="12.75" hidden="1" customHeight="1" outlineLevel="6">
      <c r="A2656" s="104" t="s">
        <v>102</v>
      </c>
      <c r="B2656" s="28">
        <f t="shared" si="150"/>
        <v>0</v>
      </c>
      <c r="C2656" s="11"/>
      <c r="D2656" s="18" t="str">
        <f>"&lt;" &amp; A2656 &amp; "&gt;" &amp; TEXT(B2656,0) &amp; "&lt;/" &amp; A2656 &amp; "&gt;"</f>
        <v>&lt;Inverted_Flag&gt;0&lt;/Inverted_Flag&gt;</v>
      </c>
      <c r="F2656" s="6"/>
      <c r="G2656" s="6"/>
      <c r="H2656" s="6"/>
      <c r="I2656" s="6"/>
      <c r="J2656" s="6"/>
      <c r="K2656" s="6"/>
      <c r="L2656" s="6"/>
      <c r="M2656" s="6"/>
      <c r="N2656" s="6"/>
      <c r="O2656" s="6"/>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c r="BU2656" s="6"/>
      <c r="BV2656" s="6"/>
      <c r="BW2656" s="6"/>
      <c r="BX2656" s="6"/>
      <c r="BY2656" s="6"/>
      <c r="BZ2656" s="6"/>
      <c r="CA2656" s="6"/>
      <c r="CB2656" s="6"/>
      <c r="CC2656" s="6"/>
      <c r="CD2656" s="6"/>
      <c r="CE2656" s="6"/>
      <c r="CF2656" s="6"/>
      <c r="CG2656" s="6"/>
      <c r="CH2656" s="6"/>
      <c r="CI2656" s="6"/>
      <c r="CJ2656" s="6"/>
      <c r="CK2656" s="6"/>
      <c r="CL2656" s="6"/>
      <c r="CM2656" s="6"/>
      <c r="CN2656" s="6"/>
      <c r="CO2656" s="6"/>
      <c r="CP2656" s="6"/>
      <c r="CQ2656" s="6"/>
      <c r="CR2656" s="6"/>
      <c r="CS2656" s="6"/>
      <c r="CT2656" s="6"/>
      <c r="CU2656" s="6"/>
      <c r="CV2656" s="6"/>
      <c r="CW2656" s="6"/>
      <c r="CX2656" s="6"/>
      <c r="CY2656" s="6"/>
      <c r="CZ2656" s="6"/>
      <c r="DA2656" s="6"/>
      <c r="DB2656" s="6"/>
      <c r="DC2656" s="6"/>
      <c r="DD2656" s="6"/>
    </row>
    <row r="2657" spans="1:108" ht="12.75" hidden="1" customHeight="1" outlineLevel="6">
      <c r="A2657" s="104" t="s">
        <v>4</v>
      </c>
      <c r="B2657" s="28">
        <f t="shared" si="150"/>
        <v>0</v>
      </c>
      <c r="C2657" s="11"/>
      <c r="D2657" s="18" t="str">
        <f t="shared" ref="D2657:D2662" si="151">"&lt;" &amp; A2657 &amp; "&gt;" &amp; TEXT(B2657,"0.000000") &amp; "&lt;/" &amp; A2657 &amp; "&gt;"</f>
        <v>&lt;Camber&gt;0.000000&lt;/Camber&gt;</v>
      </c>
      <c r="F2657" s="6"/>
      <c r="G2657" s="6"/>
      <c r="H2657" s="6"/>
      <c r="I2657" s="6"/>
      <c r="J2657" s="6"/>
      <c r="K2657" s="6"/>
      <c r="L2657" s="6"/>
      <c r="M2657" s="6"/>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c r="BU2657" s="6"/>
      <c r="BV2657" s="6"/>
      <c r="BW2657" s="6"/>
      <c r="BX2657" s="6"/>
      <c r="BY2657" s="6"/>
      <c r="BZ2657" s="6"/>
      <c r="CA2657" s="6"/>
      <c r="CB2657" s="6"/>
      <c r="CC2657" s="6"/>
      <c r="CD2657" s="6"/>
      <c r="CE2657" s="6"/>
      <c r="CF2657" s="6"/>
      <c r="CG2657" s="6"/>
      <c r="CH2657" s="6"/>
      <c r="CI2657" s="6"/>
      <c r="CJ2657" s="6"/>
      <c r="CK2657" s="6"/>
      <c r="CL2657" s="6"/>
      <c r="CM2657" s="6"/>
      <c r="CN2657" s="6"/>
      <c r="CO2657" s="6"/>
      <c r="CP2657" s="6"/>
      <c r="CQ2657" s="6"/>
      <c r="CR2657" s="6"/>
      <c r="CS2657" s="6"/>
      <c r="CT2657" s="6"/>
      <c r="CU2657" s="6"/>
      <c r="CV2657" s="6"/>
      <c r="CW2657" s="6"/>
      <c r="CX2657" s="6"/>
      <c r="CY2657" s="6"/>
      <c r="CZ2657" s="6"/>
      <c r="DA2657" s="6"/>
      <c r="DB2657" s="6"/>
      <c r="DC2657" s="6"/>
      <c r="DD2657" s="6"/>
    </row>
    <row r="2658" spans="1:108" ht="12.75" hidden="1" customHeight="1" outlineLevel="6">
      <c r="A2658" s="104" t="s">
        <v>103</v>
      </c>
      <c r="B2658" s="28">
        <f t="shared" si="150"/>
        <v>0.5</v>
      </c>
      <c r="C2658" s="11"/>
      <c r="D2658" s="18" t="str">
        <f t="shared" si="151"/>
        <v>&lt;Camber_Loc&gt;0.500000&lt;/Camber_Loc&gt;</v>
      </c>
      <c r="F2658" s="6"/>
      <c r="G2658" s="6"/>
      <c r="H2658" s="6"/>
      <c r="I2658" s="6"/>
      <c r="J2658" s="6"/>
      <c r="K2658" s="6"/>
      <c r="L2658" s="6"/>
      <c r="M2658" s="6"/>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c r="BU2658" s="6"/>
      <c r="BV2658" s="6"/>
      <c r="BW2658" s="6"/>
      <c r="BX2658" s="6"/>
      <c r="BY2658" s="6"/>
      <c r="BZ2658" s="6"/>
      <c r="CA2658" s="6"/>
      <c r="CB2658" s="6"/>
      <c r="CC2658" s="6"/>
      <c r="CD2658" s="6"/>
      <c r="CE2658" s="6"/>
      <c r="CF2658" s="6"/>
      <c r="CG2658" s="6"/>
      <c r="CH2658" s="6"/>
      <c r="CI2658" s="6"/>
      <c r="CJ2658" s="6"/>
      <c r="CK2658" s="6"/>
      <c r="CL2658" s="6"/>
      <c r="CM2658" s="6"/>
      <c r="CN2658" s="6"/>
      <c r="CO2658" s="6"/>
      <c r="CP2658" s="6"/>
      <c r="CQ2658" s="6"/>
      <c r="CR2658" s="6"/>
      <c r="CS2658" s="6"/>
      <c r="CT2658" s="6"/>
      <c r="CU2658" s="6"/>
      <c r="CV2658" s="6"/>
      <c r="CW2658" s="6"/>
      <c r="CX2658" s="6"/>
      <c r="CY2658" s="6"/>
      <c r="CZ2658" s="6"/>
      <c r="DA2658" s="6"/>
      <c r="DB2658" s="6"/>
      <c r="DC2658" s="6"/>
      <c r="DD2658" s="6"/>
    </row>
    <row r="2659" spans="1:108" ht="12.75" hidden="1" customHeight="1" outlineLevel="6">
      <c r="A2659" s="104" t="s">
        <v>5</v>
      </c>
      <c r="B2659" s="28">
        <f t="shared" si="150"/>
        <v>0.08</v>
      </c>
      <c r="C2659" s="11"/>
      <c r="D2659" s="18" t="str">
        <f t="shared" si="151"/>
        <v>&lt;Thickness&gt;0.080000&lt;/Thickness&gt;</v>
      </c>
      <c r="F2659" s="6"/>
      <c r="G2659" s="6"/>
      <c r="H2659" s="6"/>
      <c r="I2659" s="6"/>
      <c r="J2659" s="6"/>
      <c r="K2659" s="6"/>
      <c r="L2659" s="6"/>
      <c r="M2659" s="6"/>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c r="BU2659" s="6"/>
      <c r="BV2659" s="6"/>
      <c r="BW2659" s="6"/>
      <c r="BX2659" s="6"/>
      <c r="BY2659" s="6"/>
      <c r="BZ2659" s="6"/>
      <c r="CA2659" s="6"/>
      <c r="CB2659" s="6"/>
      <c r="CC2659" s="6"/>
      <c r="CD2659" s="6"/>
      <c r="CE2659" s="6"/>
      <c r="CF2659" s="6"/>
      <c r="CG2659" s="6"/>
      <c r="CH2659" s="6"/>
      <c r="CI2659" s="6"/>
      <c r="CJ2659" s="6"/>
      <c r="CK2659" s="6"/>
      <c r="CL2659" s="6"/>
      <c r="CM2659" s="6"/>
      <c r="CN2659" s="6"/>
      <c r="CO2659" s="6"/>
      <c r="CP2659" s="6"/>
      <c r="CQ2659" s="6"/>
      <c r="CR2659" s="6"/>
      <c r="CS2659" s="6"/>
      <c r="CT2659" s="6"/>
      <c r="CU2659" s="6"/>
      <c r="CV2659" s="6"/>
      <c r="CW2659" s="6"/>
      <c r="CX2659" s="6"/>
      <c r="CY2659" s="6"/>
      <c r="CZ2659" s="6"/>
      <c r="DA2659" s="6"/>
      <c r="DB2659" s="6"/>
      <c r="DC2659" s="6"/>
      <c r="DD2659" s="6"/>
    </row>
    <row r="2660" spans="1:108" ht="12.75" hidden="1" customHeight="1" outlineLevel="6">
      <c r="A2660" s="104" t="s">
        <v>104</v>
      </c>
      <c r="B2660" s="28">
        <f t="shared" si="150"/>
        <v>0.3</v>
      </c>
      <c r="C2660" s="11"/>
      <c r="D2660" s="18" t="str">
        <f t="shared" si="151"/>
        <v>&lt;Thickness_Loc&gt;0.300000&lt;/Thickness_Loc&gt;</v>
      </c>
      <c r="F2660" s="6"/>
      <c r="G2660" s="6"/>
      <c r="H2660" s="6"/>
      <c r="I2660" s="6"/>
      <c r="J2660" s="6"/>
      <c r="K2660" s="6"/>
      <c r="L2660" s="6"/>
      <c r="M2660" s="6"/>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c r="BU2660" s="6"/>
      <c r="BV2660" s="6"/>
      <c r="BW2660" s="6"/>
      <c r="BX2660" s="6"/>
      <c r="BY2660" s="6"/>
      <c r="BZ2660" s="6"/>
      <c r="CA2660" s="6"/>
      <c r="CB2660" s="6"/>
      <c r="CC2660" s="6"/>
      <c r="CD2660" s="6"/>
      <c r="CE2660" s="6"/>
      <c r="CF2660" s="6"/>
      <c r="CG2660" s="6"/>
      <c r="CH2660" s="6"/>
      <c r="CI2660" s="6"/>
      <c r="CJ2660" s="6"/>
      <c r="CK2660" s="6"/>
      <c r="CL2660" s="6"/>
      <c r="CM2660" s="6"/>
      <c r="CN2660" s="6"/>
      <c r="CO2660" s="6"/>
      <c r="CP2660" s="6"/>
      <c r="CQ2660" s="6"/>
      <c r="CR2660" s="6"/>
      <c r="CS2660" s="6"/>
      <c r="CT2660" s="6"/>
      <c r="CU2660" s="6"/>
      <c r="CV2660" s="6"/>
      <c r="CW2660" s="6"/>
      <c r="CX2660" s="6"/>
      <c r="CY2660" s="6"/>
      <c r="CZ2660" s="6"/>
      <c r="DA2660" s="6"/>
      <c r="DB2660" s="6"/>
      <c r="DC2660" s="6"/>
      <c r="DD2660" s="6"/>
    </row>
    <row r="2661" spans="1:108" ht="12.75" hidden="1" customHeight="1" outlineLevel="6">
      <c r="A2661" s="104" t="s">
        <v>105</v>
      </c>
      <c r="B2661" s="28">
        <f t="shared" si="150"/>
        <v>7.0520000000000001E-3</v>
      </c>
      <c r="C2661" s="11"/>
      <c r="D2661" s="18" t="str">
        <f t="shared" si="151"/>
        <v>&lt;Radius_Le&gt;0.007052&lt;/Radius_Le&gt;</v>
      </c>
      <c r="F2661" s="6"/>
      <c r="G2661" s="6"/>
      <c r="H2661" s="6"/>
      <c r="I2661" s="6"/>
      <c r="J2661" s="6"/>
      <c r="K2661" s="6"/>
      <c r="L2661" s="6"/>
      <c r="M2661" s="6"/>
      <c r="N2661" s="6"/>
      <c r="O2661" s="6"/>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c r="BU2661" s="6"/>
      <c r="BV2661" s="6"/>
      <c r="BW2661" s="6"/>
      <c r="BX2661" s="6"/>
      <c r="BY2661" s="6"/>
      <c r="BZ2661" s="6"/>
      <c r="CA2661" s="6"/>
      <c r="CB2661" s="6"/>
      <c r="CC2661" s="6"/>
      <c r="CD2661" s="6"/>
      <c r="CE2661" s="6"/>
      <c r="CF2661" s="6"/>
      <c r="CG2661" s="6"/>
      <c r="CH2661" s="6"/>
      <c r="CI2661" s="6"/>
      <c r="CJ2661" s="6"/>
      <c r="CK2661" s="6"/>
      <c r="CL2661" s="6"/>
      <c r="CM2661" s="6"/>
      <c r="CN2661" s="6"/>
      <c r="CO2661" s="6"/>
      <c r="CP2661" s="6"/>
      <c r="CQ2661" s="6"/>
      <c r="CR2661" s="6"/>
      <c r="CS2661" s="6"/>
      <c r="CT2661" s="6"/>
      <c r="CU2661" s="6"/>
      <c r="CV2661" s="6"/>
      <c r="CW2661" s="6"/>
      <c r="CX2661" s="6"/>
      <c r="CY2661" s="6"/>
      <c r="CZ2661" s="6"/>
      <c r="DA2661" s="6"/>
      <c r="DB2661" s="6"/>
      <c r="DC2661" s="6"/>
      <c r="DD2661" s="6"/>
    </row>
    <row r="2662" spans="1:108" ht="12.75" hidden="1" customHeight="1" outlineLevel="6">
      <c r="A2662" s="104" t="s">
        <v>106</v>
      </c>
      <c r="B2662" s="28">
        <f t="shared" si="150"/>
        <v>0</v>
      </c>
      <c r="C2662" s="11"/>
      <c r="D2662" s="18" t="str">
        <f t="shared" si="151"/>
        <v>&lt;Radius_Te&gt;0.000000&lt;/Radius_Te&gt;</v>
      </c>
      <c r="F2662" s="6"/>
      <c r="G2662" s="6"/>
      <c r="H2662" s="6"/>
      <c r="I2662" s="6"/>
      <c r="J2662" s="6"/>
      <c r="K2662" s="6"/>
      <c r="L2662" s="6"/>
      <c r="M2662" s="6"/>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c r="BU2662" s="6"/>
      <c r="BV2662" s="6"/>
      <c r="BW2662" s="6"/>
      <c r="BX2662" s="6"/>
      <c r="BY2662" s="6"/>
      <c r="BZ2662" s="6"/>
      <c r="CA2662" s="6"/>
      <c r="CB2662" s="6"/>
      <c r="CC2662" s="6"/>
      <c r="CD2662" s="6"/>
      <c r="CE2662" s="6"/>
      <c r="CF2662" s="6"/>
      <c r="CG2662" s="6"/>
      <c r="CH2662" s="6"/>
      <c r="CI2662" s="6"/>
      <c r="CJ2662" s="6"/>
      <c r="CK2662" s="6"/>
      <c r="CL2662" s="6"/>
      <c r="CM2662" s="6"/>
      <c r="CN2662" s="6"/>
      <c r="CO2662" s="6"/>
      <c r="CP2662" s="6"/>
      <c r="CQ2662" s="6"/>
      <c r="CR2662" s="6"/>
      <c r="CS2662" s="6"/>
      <c r="CT2662" s="6"/>
      <c r="CU2662" s="6"/>
      <c r="CV2662" s="6"/>
      <c r="CW2662" s="6"/>
      <c r="CX2662" s="6"/>
      <c r="CY2662" s="6"/>
      <c r="CZ2662" s="6"/>
      <c r="DA2662" s="6"/>
      <c r="DB2662" s="6"/>
      <c r="DC2662" s="6"/>
      <c r="DD2662" s="6"/>
    </row>
    <row r="2663" spans="1:108" ht="12.75" hidden="1" customHeight="1" outlineLevel="6">
      <c r="A2663" s="104" t="s">
        <v>107</v>
      </c>
      <c r="B2663" s="28">
        <f t="shared" si="150"/>
        <v>63</v>
      </c>
      <c r="C2663" s="11"/>
      <c r="D2663" s="18" t="str">
        <f>"&lt;" &amp; A2663 &amp; "&gt;" &amp; TEXT(B2663,0) &amp; "&lt;/" &amp; A2663 &amp; "&gt;"</f>
        <v>&lt;Six_Series&gt;63&lt;/Six_Series&gt;</v>
      </c>
      <c r="F2663" s="6"/>
      <c r="G2663" s="6"/>
      <c r="H2663" s="6"/>
      <c r="I2663" s="6"/>
      <c r="J2663" s="6"/>
      <c r="K2663" s="6"/>
      <c r="L2663" s="6"/>
      <c r="M2663" s="6"/>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c r="BU2663" s="6"/>
      <c r="BV2663" s="6"/>
      <c r="BW2663" s="6"/>
      <c r="BX2663" s="6"/>
      <c r="BY2663" s="6"/>
      <c r="BZ2663" s="6"/>
      <c r="CA2663" s="6"/>
      <c r="CB2663" s="6"/>
      <c r="CC2663" s="6"/>
      <c r="CD2663" s="6"/>
      <c r="CE2663" s="6"/>
      <c r="CF2663" s="6"/>
      <c r="CG2663" s="6"/>
      <c r="CH2663" s="6"/>
      <c r="CI2663" s="6"/>
      <c r="CJ2663" s="6"/>
      <c r="CK2663" s="6"/>
      <c r="CL2663" s="6"/>
      <c r="CM2663" s="6"/>
      <c r="CN2663" s="6"/>
      <c r="CO2663" s="6"/>
      <c r="CP2663" s="6"/>
      <c r="CQ2663" s="6"/>
      <c r="CR2663" s="6"/>
      <c r="CS2663" s="6"/>
      <c r="CT2663" s="6"/>
      <c r="CU2663" s="6"/>
      <c r="CV2663" s="6"/>
      <c r="CW2663" s="6"/>
      <c r="CX2663" s="6"/>
      <c r="CY2663" s="6"/>
      <c r="CZ2663" s="6"/>
      <c r="DA2663" s="6"/>
      <c r="DB2663" s="6"/>
      <c r="DC2663" s="6"/>
      <c r="DD2663" s="6"/>
    </row>
    <row r="2664" spans="1:108" ht="12.75" hidden="1" customHeight="1" outlineLevel="6">
      <c r="A2664" s="104" t="s">
        <v>108</v>
      </c>
      <c r="B2664" s="28">
        <f t="shared" si="150"/>
        <v>0</v>
      </c>
      <c r="C2664" s="11"/>
      <c r="D2664" s="18" t="str">
        <f>"&lt;" &amp; A2664 &amp; "&gt;" &amp; TEXT(B2664,"0.000000") &amp; "&lt;/" &amp; A2664 &amp; "&gt;"</f>
        <v>&lt;Ideal_Cl&gt;0.000000&lt;/Ideal_Cl&gt;</v>
      </c>
      <c r="F2664" s="6"/>
      <c r="G2664" s="6"/>
      <c r="H2664" s="6"/>
      <c r="I2664" s="6"/>
      <c r="J2664" s="6"/>
      <c r="K2664" s="6"/>
      <c r="L2664" s="6"/>
      <c r="M2664" s="6"/>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c r="BU2664" s="6"/>
      <c r="BV2664" s="6"/>
      <c r="BW2664" s="6"/>
      <c r="BX2664" s="6"/>
      <c r="BY2664" s="6"/>
      <c r="BZ2664" s="6"/>
      <c r="CA2664" s="6"/>
      <c r="CB2664" s="6"/>
      <c r="CC2664" s="6"/>
      <c r="CD2664" s="6"/>
      <c r="CE2664" s="6"/>
      <c r="CF2664" s="6"/>
      <c r="CG2664" s="6"/>
      <c r="CH2664" s="6"/>
      <c r="CI2664" s="6"/>
      <c r="CJ2664" s="6"/>
      <c r="CK2664" s="6"/>
      <c r="CL2664" s="6"/>
      <c r="CM2664" s="6"/>
      <c r="CN2664" s="6"/>
      <c r="CO2664" s="6"/>
      <c r="CP2664" s="6"/>
      <c r="CQ2664" s="6"/>
      <c r="CR2664" s="6"/>
      <c r="CS2664" s="6"/>
      <c r="CT2664" s="6"/>
      <c r="CU2664" s="6"/>
      <c r="CV2664" s="6"/>
      <c r="CW2664" s="6"/>
      <c r="CX2664" s="6"/>
      <c r="CY2664" s="6"/>
      <c r="CZ2664" s="6"/>
      <c r="DA2664" s="6"/>
      <c r="DB2664" s="6"/>
      <c r="DC2664" s="6"/>
      <c r="DD2664" s="6"/>
    </row>
    <row r="2665" spans="1:108" ht="12.75" hidden="1" customHeight="1" outlineLevel="6">
      <c r="A2665" s="104" t="s">
        <v>109</v>
      </c>
      <c r="B2665" s="28">
        <f t="shared" si="150"/>
        <v>0</v>
      </c>
      <c r="C2665" s="11"/>
      <c r="D2665" s="18" t="str">
        <f>"&lt;" &amp; A2665 &amp; "&gt;" &amp; TEXT(B2665,"0.000000") &amp; "&lt;/" &amp; A2665 &amp; "&gt;"</f>
        <v>&lt;A&gt;0.000000&lt;/A&gt;</v>
      </c>
      <c r="F2665" s="6"/>
      <c r="G2665" s="6"/>
      <c r="H2665" s="6"/>
      <c r="I2665" s="6"/>
      <c r="J2665" s="6"/>
      <c r="K2665" s="6"/>
      <c r="L2665" s="6"/>
      <c r="M2665" s="6"/>
      <c r="N2665" s="6"/>
      <c r="O2665" s="6"/>
      <c r="P2665" s="6"/>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c r="BU2665" s="6"/>
      <c r="BV2665" s="6"/>
      <c r="BW2665" s="6"/>
      <c r="BX2665" s="6"/>
      <c r="BY2665" s="6"/>
      <c r="BZ2665" s="6"/>
      <c r="CA2665" s="6"/>
      <c r="CB2665" s="6"/>
      <c r="CC2665" s="6"/>
      <c r="CD2665" s="6"/>
      <c r="CE2665" s="6"/>
      <c r="CF2665" s="6"/>
      <c r="CG2665" s="6"/>
      <c r="CH2665" s="6"/>
      <c r="CI2665" s="6"/>
      <c r="CJ2665" s="6"/>
      <c r="CK2665" s="6"/>
      <c r="CL2665" s="6"/>
      <c r="CM2665" s="6"/>
      <c r="CN2665" s="6"/>
      <c r="CO2665" s="6"/>
      <c r="CP2665" s="6"/>
      <c r="CQ2665" s="6"/>
      <c r="CR2665" s="6"/>
      <c r="CS2665" s="6"/>
      <c r="CT2665" s="6"/>
      <c r="CU2665" s="6"/>
      <c r="CV2665" s="6"/>
      <c r="CW2665" s="6"/>
      <c r="CX2665" s="6"/>
      <c r="CY2665" s="6"/>
      <c r="CZ2665" s="6"/>
      <c r="DA2665" s="6"/>
      <c r="DB2665" s="6"/>
      <c r="DC2665" s="6"/>
      <c r="DD2665" s="6"/>
    </row>
    <row r="2666" spans="1:108" ht="12.75" hidden="1" customHeight="1" outlineLevel="6">
      <c r="A2666" s="104" t="s">
        <v>110</v>
      </c>
      <c r="B2666" s="28">
        <f t="shared" si="150"/>
        <v>0</v>
      </c>
      <c r="C2666" s="11"/>
      <c r="D2666" s="18" t="str">
        <f>"&lt;" &amp; A2666 &amp; "&gt;" &amp; TEXT(B2666,0) &amp; "&lt;/" &amp; A2666 &amp; "&gt;"</f>
        <v>&lt;Slat_Flag&gt;0&lt;/Slat_Flag&gt;</v>
      </c>
      <c r="F2666" s="6"/>
      <c r="G2666" s="6"/>
      <c r="H2666" s="6"/>
      <c r="I2666" s="6"/>
      <c r="J2666" s="6"/>
      <c r="K2666" s="6"/>
      <c r="L2666" s="6"/>
      <c r="M2666" s="6"/>
      <c r="N2666" s="6"/>
      <c r="O2666" s="6"/>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c r="BU2666" s="6"/>
      <c r="BV2666" s="6"/>
      <c r="BW2666" s="6"/>
      <c r="BX2666" s="6"/>
      <c r="BY2666" s="6"/>
      <c r="BZ2666" s="6"/>
      <c r="CA2666" s="6"/>
      <c r="CB2666" s="6"/>
      <c r="CC2666" s="6"/>
      <c r="CD2666" s="6"/>
      <c r="CE2666" s="6"/>
      <c r="CF2666" s="6"/>
      <c r="CG2666" s="6"/>
      <c r="CH2666" s="6"/>
      <c r="CI2666" s="6"/>
      <c r="CJ2666" s="6"/>
      <c r="CK2666" s="6"/>
      <c r="CL2666" s="6"/>
      <c r="CM2666" s="6"/>
      <c r="CN2666" s="6"/>
      <c r="CO2666" s="6"/>
      <c r="CP2666" s="6"/>
      <c r="CQ2666" s="6"/>
      <c r="CR2666" s="6"/>
      <c r="CS2666" s="6"/>
      <c r="CT2666" s="6"/>
      <c r="CU2666" s="6"/>
      <c r="CV2666" s="6"/>
      <c r="CW2666" s="6"/>
      <c r="CX2666" s="6"/>
      <c r="CY2666" s="6"/>
      <c r="CZ2666" s="6"/>
      <c r="DA2666" s="6"/>
      <c r="DB2666" s="6"/>
      <c r="DC2666" s="6"/>
      <c r="DD2666" s="6"/>
    </row>
    <row r="2667" spans="1:108" ht="12.75" hidden="1" customHeight="1" outlineLevel="6">
      <c r="A2667" s="104" t="s">
        <v>111</v>
      </c>
      <c r="B2667" s="28">
        <f t="shared" si="150"/>
        <v>0</v>
      </c>
      <c r="C2667" s="11"/>
      <c r="D2667" s="18" t="str">
        <f>"&lt;" &amp; A2667 &amp; "&gt;" &amp; TEXT(B2667,0) &amp; "&lt;/" &amp; A2667 &amp; "&gt;"</f>
        <v>&lt;Slat_Shear_Flag&gt;0&lt;/Slat_Shear_Flag&gt;</v>
      </c>
      <c r="F2667" s="6"/>
      <c r="G2667" s="6"/>
      <c r="H2667" s="6"/>
      <c r="I2667" s="6"/>
      <c r="J2667" s="6"/>
      <c r="K2667" s="6"/>
      <c r="L2667" s="6"/>
      <c r="M2667" s="6"/>
      <c r="N2667" s="6"/>
      <c r="O2667" s="6"/>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c r="BU2667" s="6"/>
      <c r="BV2667" s="6"/>
      <c r="BW2667" s="6"/>
      <c r="BX2667" s="6"/>
      <c r="BY2667" s="6"/>
      <c r="BZ2667" s="6"/>
      <c r="CA2667" s="6"/>
      <c r="CB2667" s="6"/>
      <c r="CC2667" s="6"/>
      <c r="CD2667" s="6"/>
      <c r="CE2667" s="6"/>
      <c r="CF2667" s="6"/>
      <c r="CG2667" s="6"/>
      <c r="CH2667" s="6"/>
      <c r="CI2667" s="6"/>
      <c r="CJ2667" s="6"/>
      <c r="CK2667" s="6"/>
      <c r="CL2667" s="6"/>
      <c r="CM2667" s="6"/>
      <c r="CN2667" s="6"/>
      <c r="CO2667" s="6"/>
      <c r="CP2667" s="6"/>
      <c r="CQ2667" s="6"/>
      <c r="CR2667" s="6"/>
      <c r="CS2667" s="6"/>
      <c r="CT2667" s="6"/>
      <c r="CU2667" s="6"/>
      <c r="CV2667" s="6"/>
      <c r="CW2667" s="6"/>
      <c r="CX2667" s="6"/>
      <c r="CY2667" s="6"/>
      <c r="CZ2667" s="6"/>
      <c r="DA2667" s="6"/>
      <c r="DB2667" s="6"/>
      <c r="DC2667" s="6"/>
      <c r="DD2667" s="6"/>
    </row>
    <row r="2668" spans="1:108" ht="12.75" hidden="1" customHeight="1" outlineLevel="6">
      <c r="A2668" s="104" t="s">
        <v>112</v>
      </c>
      <c r="B2668" s="28">
        <f t="shared" si="150"/>
        <v>0.25</v>
      </c>
      <c r="C2668" s="11"/>
      <c r="D2668" s="18" t="str">
        <f>"&lt;" &amp; A2668 &amp; "&gt;" &amp; TEXT(B2668,"0.000000") &amp; "&lt;/" &amp; A2668 &amp; "&gt;"</f>
        <v>&lt;Slat_Chord&gt;0.250000&lt;/Slat_Chord&gt;</v>
      </c>
      <c r="F2668" s="6"/>
      <c r="G2668" s="6"/>
      <c r="H2668" s="6"/>
      <c r="I2668" s="6"/>
      <c r="J2668" s="6"/>
      <c r="K2668" s="6"/>
      <c r="L2668" s="6"/>
      <c r="M2668" s="6"/>
      <c r="N2668" s="6"/>
      <c r="O2668" s="6"/>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c r="BU2668" s="6"/>
      <c r="BV2668" s="6"/>
      <c r="BW2668" s="6"/>
      <c r="BX2668" s="6"/>
      <c r="BY2668" s="6"/>
      <c r="BZ2668" s="6"/>
      <c r="CA2668" s="6"/>
      <c r="CB2668" s="6"/>
      <c r="CC2668" s="6"/>
      <c r="CD2668" s="6"/>
      <c r="CE2668" s="6"/>
      <c r="CF2668" s="6"/>
      <c r="CG2668" s="6"/>
      <c r="CH2668" s="6"/>
      <c r="CI2668" s="6"/>
      <c r="CJ2668" s="6"/>
      <c r="CK2668" s="6"/>
      <c r="CL2668" s="6"/>
      <c r="CM2668" s="6"/>
      <c r="CN2668" s="6"/>
      <c r="CO2668" s="6"/>
      <c r="CP2668" s="6"/>
      <c r="CQ2668" s="6"/>
      <c r="CR2668" s="6"/>
      <c r="CS2668" s="6"/>
      <c r="CT2668" s="6"/>
      <c r="CU2668" s="6"/>
      <c r="CV2668" s="6"/>
      <c r="CW2668" s="6"/>
      <c r="CX2668" s="6"/>
      <c r="CY2668" s="6"/>
      <c r="CZ2668" s="6"/>
      <c r="DA2668" s="6"/>
      <c r="DB2668" s="6"/>
      <c r="DC2668" s="6"/>
      <c r="DD2668" s="6"/>
    </row>
    <row r="2669" spans="1:108" ht="12.75" hidden="1" customHeight="1" outlineLevel="6">
      <c r="A2669" s="104" t="s">
        <v>113</v>
      </c>
      <c r="B2669" s="28">
        <f t="shared" si="150"/>
        <v>10</v>
      </c>
      <c r="C2669" s="11"/>
      <c r="D2669" s="18" t="str">
        <f>"&lt;" &amp; A2669 &amp; "&gt;" &amp; TEXT(B2669,"0.000000") &amp; "&lt;/" &amp; A2669 &amp; "&gt;"</f>
        <v>&lt;Slat_Angle&gt;10.000000&lt;/Slat_Angle&gt;</v>
      </c>
      <c r="F2669" s="6"/>
      <c r="G2669" s="6"/>
      <c r="H2669" s="6"/>
      <c r="I2669" s="6"/>
      <c r="J2669" s="6"/>
      <c r="K2669" s="6"/>
      <c r="L2669" s="6"/>
      <c r="M2669" s="6"/>
      <c r="N2669" s="6"/>
      <c r="O2669" s="6"/>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c r="BU2669" s="6"/>
      <c r="BV2669" s="6"/>
      <c r="BW2669" s="6"/>
      <c r="BX2669" s="6"/>
      <c r="BY2669" s="6"/>
      <c r="BZ2669" s="6"/>
      <c r="CA2669" s="6"/>
      <c r="CB2669" s="6"/>
      <c r="CC2669" s="6"/>
      <c r="CD2669" s="6"/>
      <c r="CE2669" s="6"/>
      <c r="CF2669" s="6"/>
      <c r="CG2669" s="6"/>
      <c r="CH2669" s="6"/>
      <c r="CI2669" s="6"/>
      <c r="CJ2669" s="6"/>
      <c r="CK2669" s="6"/>
      <c r="CL2669" s="6"/>
      <c r="CM2669" s="6"/>
      <c r="CN2669" s="6"/>
      <c r="CO2669" s="6"/>
      <c r="CP2669" s="6"/>
      <c r="CQ2669" s="6"/>
      <c r="CR2669" s="6"/>
      <c r="CS2669" s="6"/>
      <c r="CT2669" s="6"/>
      <c r="CU2669" s="6"/>
      <c r="CV2669" s="6"/>
      <c r="CW2669" s="6"/>
      <c r="CX2669" s="6"/>
      <c r="CY2669" s="6"/>
      <c r="CZ2669" s="6"/>
      <c r="DA2669" s="6"/>
      <c r="DB2669" s="6"/>
      <c r="DC2669" s="6"/>
      <c r="DD2669" s="6"/>
    </row>
    <row r="2670" spans="1:108" ht="12.75" hidden="1" customHeight="1" outlineLevel="6">
      <c r="A2670" s="104" t="s">
        <v>114</v>
      </c>
      <c r="B2670" s="28">
        <f t="shared" si="150"/>
        <v>0</v>
      </c>
      <c r="C2670" s="11"/>
      <c r="D2670" s="18" t="str">
        <f>"&lt;" &amp; A2670 &amp; "&gt;" &amp; TEXT(B2670,0) &amp; "&lt;/" &amp; A2670 &amp; "&gt;"</f>
        <v>&lt;Flap_Flag&gt;0&lt;/Flap_Flag&gt;</v>
      </c>
      <c r="F2670" s="6"/>
      <c r="G2670" s="6"/>
      <c r="H2670" s="6"/>
      <c r="I2670" s="6"/>
      <c r="J2670" s="6"/>
      <c r="K2670" s="6"/>
      <c r="L2670" s="6"/>
      <c r="M2670" s="6"/>
      <c r="N2670" s="6"/>
      <c r="O2670" s="6"/>
      <c r="P2670" s="6"/>
      <c r="Q2670" s="6"/>
      <c r="R2670" s="6"/>
      <c r="S2670" s="6"/>
      <c r="T2670" s="6"/>
      <c r="U2670" s="6"/>
      <c r="V2670" s="6"/>
      <c r="W2670" s="6"/>
      <c r="X2670" s="6"/>
      <c r="Y2670" s="6"/>
      <c r="Z2670" s="6"/>
      <c r="AA2670" s="6"/>
      <c r="AB2670" s="6"/>
      <c r="AC2670" s="6"/>
      <c r="AD2670" s="6"/>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c r="BU2670" s="6"/>
      <c r="BV2670" s="6"/>
      <c r="BW2670" s="6"/>
      <c r="BX2670" s="6"/>
      <c r="BY2670" s="6"/>
      <c r="BZ2670" s="6"/>
      <c r="CA2670" s="6"/>
      <c r="CB2670" s="6"/>
      <c r="CC2670" s="6"/>
      <c r="CD2670" s="6"/>
      <c r="CE2670" s="6"/>
      <c r="CF2670" s="6"/>
      <c r="CG2670" s="6"/>
      <c r="CH2670" s="6"/>
      <c r="CI2670" s="6"/>
      <c r="CJ2670" s="6"/>
      <c r="CK2670" s="6"/>
      <c r="CL2670" s="6"/>
      <c r="CM2670" s="6"/>
      <c r="CN2670" s="6"/>
      <c r="CO2670" s="6"/>
      <c r="CP2670" s="6"/>
      <c r="CQ2670" s="6"/>
      <c r="CR2670" s="6"/>
      <c r="CS2670" s="6"/>
      <c r="CT2670" s="6"/>
      <c r="CU2670" s="6"/>
      <c r="CV2670" s="6"/>
      <c r="CW2670" s="6"/>
      <c r="CX2670" s="6"/>
      <c r="CY2670" s="6"/>
      <c r="CZ2670" s="6"/>
      <c r="DA2670" s="6"/>
      <c r="DB2670" s="6"/>
      <c r="DC2670" s="6"/>
      <c r="DD2670" s="6"/>
    </row>
    <row r="2671" spans="1:108" ht="12.75" hidden="1" customHeight="1" outlineLevel="6">
      <c r="A2671" s="104" t="s">
        <v>115</v>
      </c>
      <c r="B2671" s="28">
        <f t="shared" si="150"/>
        <v>0</v>
      </c>
      <c r="C2671" s="11"/>
      <c r="D2671" s="18" t="str">
        <f>"&lt;" &amp; A2671 &amp; "&gt;" &amp; TEXT(B2671,0) &amp; "&lt;/" &amp; A2671 &amp; "&gt;"</f>
        <v>&lt;Flap_Shear_Flag&gt;0&lt;/Flap_Shear_Flag&gt;</v>
      </c>
      <c r="F2671" s="6"/>
      <c r="G2671" s="6"/>
      <c r="H2671" s="6"/>
      <c r="I2671" s="6"/>
      <c r="J2671" s="6"/>
      <c r="K2671" s="6"/>
      <c r="L2671" s="6"/>
      <c r="M2671" s="6"/>
      <c r="N2671" s="6"/>
      <c r="O2671" s="6"/>
      <c r="P2671" s="6"/>
      <c r="Q2671" s="6"/>
      <c r="R2671" s="6"/>
      <c r="S2671" s="6"/>
      <c r="T2671" s="6"/>
      <c r="U2671" s="6"/>
      <c r="V2671" s="6"/>
      <c r="W2671" s="6"/>
      <c r="X2671" s="6"/>
      <c r="Y2671" s="6"/>
      <c r="Z2671" s="6"/>
      <c r="AA2671" s="6"/>
      <c r="AB2671" s="6"/>
      <c r="AC2671" s="6"/>
      <c r="AD2671" s="6"/>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c r="BU2671" s="6"/>
      <c r="BV2671" s="6"/>
      <c r="BW2671" s="6"/>
      <c r="BX2671" s="6"/>
      <c r="BY2671" s="6"/>
      <c r="BZ2671" s="6"/>
      <c r="CA2671" s="6"/>
      <c r="CB2671" s="6"/>
      <c r="CC2671" s="6"/>
      <c r="CD2671" s="6"/>
      <c r="CE2671" s="6"/>
      <c r="CF2671" s="6"/>
      <c r="CG2671" s="6"/>
      <c r="CH2671" s="6"/>
      <c r="CI2671" s="6"/>
      <c r="CJ2671" s="6"/>
      <c r="CK2671" s="6"/>
      <c r="CL2671" s="6"/>
      <c r="CM2671" s="6"/>
      <c r="CN2671" s="6"/>
      <c r="CO2671" s="6"/>
      <c r="CP2671" s="6"/>
      <c r="CQ2671" s="6"/>
      <c r="CR2671" s="6"/>
      <c r="CS2671" s="6"/>
      <c r="CT2671" s="6"/>
      <c r="CU2671" s="6"/>
      <c r="CV2671" s="6"/>
      <c r="CW2671" s="6"/>
      <c r="CX2671" s="6"/>
      <c r="CY2671" s="6"/>
      <c r="CZ2671" s="6"/>
      <c r="DA2671" s="6"/>
      <c r="DB2671" s="6"/>
      <c r="DC2671" s="6"/>
      <c r="DD2671" s="6"/>
    </row>
    <row r="2672" spans="1:108" ht="12.75" hidden="1" customHeight="1" outlineLevel="6">
      <c r="A2672" s="104" t="s">
        <v>116</v>
      </c>
      <c r="B2672" s="28">
        <f t="shared" si="150"/>
        <v>0.25</v>
      </c>
      <c r="C2672" s="11"/>
      <c r="D2672" s="18" t="str">
        <f>"&lt;" &amp; A2672 &amp; "&gt;" &amp; TEXT(B2672,"0.000000") &amp; "&lt;/" &amp; A2672 &amp; "&gt;"</f>
        <v>&lt;Flap_Chord&gt;0.250000&lt;/Flap_Chord&gt;</v>
      </c>
      <c r="F2672" s="6"/>
      <c r="G2672" s="6"/>
      <c r="H2672" s="6"/>
      <c r="I2672" s="6"/>
      <c r="J2672" s="6"/>
      <c r="K2672" s="6"/>
      <c r="L2672" s="6"/>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c r="BU2672" s="6"/>
      <c r="BV2672" s="6"/>
      <c r="BW2672" s="6"/>
      <c r="BX2672" s="6"/>
      <c r="BY2672" s="6"/>
      <c r="BZ2672" s="6"/>
      <c r="CA2672" s="6"/>
      <c r="CB2672" s="6"/>
      <c r="CC2672" s="6"/>
      <c r="CD2672" s="6"/>
      <c r="CE2672" s="6"/>
      <c r="CF2672" s="6"/>
      <c r="CG2672" s="6"/>
      <c r="CH2672" s="6"/>
      <c r="CI2672" s="6"/>
      <c r="CJ2672" s="6"/>
      <c r="CK2672" s="6"/>
      <c r="CL2672" s="6"/>
      <c r="CM2672" s="6"/>
      <c r="CN2672" s="6"/>
      <c r="CO2672" s="6"/>
      <c r="CP2672" s="6"/>
      <c r="CQ2672" s="6"/>
      <c r="CR2672" s="6"/>
      <c r="CS2672" s="6"/>
      <c r="CT2672" s="6"/>
      <c r="CU2672" s="6"/>
      <c r="CV2672" s="6"/>
      <c r="CW2672" s="6"/>
      <c r="CX2672" s="6"/>
      <c r="CY2672" s="6"/>
      <c r="CZ2672" s="6"/>
      <c r="DA2672" s="6"/>
      <c r="DB2672" s="6"/>
      <c r="DC2672" s="6"/>
      <c r="DD2672" s="6"/>
    </row>
    <row r="2673" spans="1:108" ht="12.75" hidden="1" customHeight="1" outlineLevel="6">
      <c r="A2673" s="104" t="s">
        <v>117</v>
      </c>
      <c r="B2673" s="28">
        <f t="shared" si="150"/>
        <v>10</v>
      </c>
      <c r="C2673" s="11"/>
      <c r="D2673" s="18" t="str">
        <f>"&lt;" &amp; A2673 &amp; "&gt;" &amp; TEXT(B2673,"0.000000") &amp; "&lt;/" &amp; A2673 &amp; "&gt;"</f>
        <v>&lt;Flap_Angle&gt;10.000000&lt;/Flap_Angle&gt;</v>
      </c>
      <c r="F2673" s="6"/>
      <c r="G2673" s="6"/>
      <c r="H2673" s="6"/>
      <c r="I2673" s="6"/>
      <c r="J2673" s="6"/>
      <c r="K2673" s="6"/>
      <c r="L2673" s="6"/>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c r="BU2673" s="6"/>
      <c r="BV2673" s="6"/>
      <c r="BW2673" s="6"/>
      <c r="BX2673" s="6"/>
      <c r="BY2673" s="6"/>
      <c r="BZ2673" s="6"/>
      <c r="CA2673" s="6"/>
      <c r="CB2673" s="6"/>
      <c r="CC2673" s="6"/>
      <c r="CD2673" s="6"/>
      <c r="CE2673" s="6"/>
      <c r="CF2673" s="6"/>
      <c r="CG2673" s="6"/>
      <c r="CH2673" s="6"/>
      <c r="CI2673" s="6"/>
      <c r="CJ2673" s="6"/>
      <c r="CK2673" s="6"/>
      <c r="CL2673" s="6"/>
      <c r="CM2673" s="6"/>
      <c r="CN2673" s="6"/>
      <c r="CO2673" s="6"/>
      <c r="CP2673" s="6"/>
      <c r="CQ2673" s="6"/>
      <c r="CR2673" s="6"/>
      <c r="CS2673" s="6"/>
      <c r="CT2673" s="6"/>
      <c r="CU2673" s="6"/>
      <c r="CV2673" s="6"/>
      <c r="CW2673" s="6"/>
      <c r="CX2673" s="6"/>
      <c r="CY2673" s="6"/>
      <c r="CZ2673" s="6"/>
      <c r="DA2673" s="6"/>
      <c r="DB2673" s="6"/>
      <c r="DC2673" s="6"/>
      <c r="DD2673" s="6"/>
    </row>
    <row r="2674" spans="1:108" ht="12.75" hidden="1" customHeight="1" outlineLevel="6">
      <c r="A2674" s="104" t="s">
        <v>118</v>
      </c>
      <c r="B2674" s="100"/>
      <c r="C2674" s="11"/>
      <c r="D2674" s="6" t="str">
        <f>"&lt;" &amp; A2674 &amp; "&gt;"</f>
        <v>&lt;/Airfoil&gt;</v>
      </c>
      <c r="F2674" s="6"/>
      <c r="G2674" s="6"/>
      <c r="H2674" s="6"/>
      <c r="I2674" s="6"/>
      <c r="J2674" s="6"/>
      <c r="K2674" s="6"/>
      <c r="L2674" s="6"/>
      <c r="M2674" s="6"/>
      <c r="N2674" s="6"/>
      <c r="O2674" s="6"/>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c r="BU2674" s="6"/>
      <c r="BV2674" s="6"/>
      <c r="BW2674" s="6"/>
      <c r="BX2674" s="6"/>
      <c r="BY2674" s="6"/>
      <c r="BZ2674" s="6"/>
      <c r="CA2674" s="6"/>
      <c r="CB2674" s="6"/>
      <c r="CC2674" s="6"/>
      <c r="CD2674" s="6"/>
      <c r="CE2674" s="6"/>
      <c r="CF2674" s="6"/>
      <c r="CG2674" s="6"/>
      <c r="CH2674" s="6"/>
      <c r="CI2674" s="6"/>
      <c r="CJ2674" s="6"/>
      <c r="CK2674" s="6"/>
      <c r="CL2674" s="6"/>
      <c r="CM2674" s="6"/>
      <c r="CN2674" s="6"/>
      <c r="CO2674" s="6"/>
      <c r="CP2674" s="6"/>
      <c r="CQ2674" s="6"/>
      <c r="CR2674" s="6"/>
      <c r="CS2674" s="6"/>
      <c r="CT2674" s="6"/>
      <c r="CU2674" s="6"/>
      <c r="CV2674" s="6"/>
      <c r="CW2674" s="6"/>
      <c r="CX2674" s="6"/>
      <c r="CY2674" s="6"/>
      <c r="CZ2674" s="6"/>
      <c r="DA2674" s="6"/>
      <c r="DB2674" s="6"/>
      <c r="DC2674" s="6"/>
      <c r="DD2674" s="6"/>
    </row>
    <row r="2675" spans="1:108" ht="12.75" hidden="1" customHeight="1" outlineLevel="5">
      <c r="A2675" s="104" t="s">
        <v>2</v>
      </c>
      <c r="B2675" s="110" t="s">
        <v>386</v>
      </c>
      <c r="C2675" s="11"/>
      <c r="D2675" s="6" t="str">
        <f>"&lt;" &amp; A2675 &amp; "&gt;"</f>
        <v>&lt;Airfoil&gt;</v>
      </c>
      <c r="F2675" s="6"/>
      <c r="G2675" s="6"/>
      <c r="H2675" s="6"/>
      <c r="I2675" s="6"/>
      <c r="J2675" s="6"/>
      <c r="K2675" s="6"/>
      <c r="L2675" s="6"/>
      <c r="M2675" s="6"/>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c r="BU2675" s="6"/>
      <c r="BV2675" s="6"/>
      <c r="BW2675" s="6"/>
      <c r="BX2675" s="6"/>
      <c r="BY2675" s="6"/>
      <c r="BZ2675" s="6"/>
      <c r="CA2675" s="6"/>
      <c r="CB2675" s="6"/>
      <c r="CC2675" s="6"/>
      <c r="CD2675" s="6"/>
      <c r="CE2675" s="6"/>
      <c r="CF2675" s="6"/>
      <c r="CG2675" s="6"/>
      <c r="CH2675" s="6"/>
      <c r="CI2675" s="6"/>
      <c r="CJ2675" s="6"/>
      <c r="CK2675" s="6"/>
      <c r="CL2675" s="6"/>
      <c r="CM2675" s="6"/>
      <c r="CN2675" s="6"/>
      <c r="CO2675" s="6"/>
      <c r="CP2675" s="6"/>
      <c r="CQ2675" s="6"/>
      <c r="CR2675" s="6"/>
      <c r="CS2675" s="6"/>
      <c r="CT2675" s="6"/>
      <c r="CU2675" s="6"/>
      <c r="CV2675" s="6"/>
      <c r="CW2675" s="6"/>
      <c r="CX2675" s="6"/>
      <c r="CY2675" s="6"/>
      <c r="CZ2675" s="6"/>
      <c r="DA2675" s="6"/>
      <c r="DB2675" s="6"/>
      <c r="DC2675" s="6"/>
      <c r="DD2675" s="6"/>
    </row>
    <row r="2676" spans="1:108" ht="12.75" hidden="1" customHeight="1" outlineLevel="6">
      <c r="A2676" s="104" t="s">
        <v>14</v>
      </c>
      <c r="B2676" s="28">
        <f t="shared" ref="B2676:B2694" si="152">B2143</f>
        <v>1</v>
      </c>
      <c r="C2676" s="11"/>
      <c r="D2676" s="18" t="str">
        <f>"&lt;" &amp; A2676 &amp; "&gt;" &amp; TEXT(B2676,0) &amp; "&lt;/" &amp; A2676 &amp; "&gt;"</f>
        <v>&lt;Type&gt;1&lt;/Type&gt;</v>
      </c>
      <c r="F2676" s="6"/>
      <c r="G2676" s="6"/>
      <c r="H2676" s="6"/>
      <c r="I2676" s="6"/>
      <c r="J2676" s="6"/>
      <c r="K2676" s="6"/>
      <c r="L2676" s="6"/>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c r="BU2676" s="6"/>
      <c r="BV2676" s="6"/>
      <c r="BW2676" s="6"/>
      <c r="BX2676" s="6"/>
      <c r="BY2676" s="6"/>
      <c r="BZ2676" s="6"/>
      <c r="CA2676" s="6"/>
      <c r="CB2676" s="6"/>
      <c r="CC2676" s="6"/>
      <c r="CD2676" s="6"/>
      <c r="CE2676" s="6"/>
      <c r="CF2676" s="6"/>
      <c r="CG2676" s="6"/>
      <c r="CH2676" s="6"/>
      <c r="CI2676" s="6"/>
      <c r="CJ2676" s="6"/>
      <c r="CK2676" s="6"/>
      <c r="CL2676" s="6"/>
      <c r="CM2676" s="6"/>
      <c r="CN2676" s="6"/>
      <c r="CO2676" s="6"/>
      <c r="CP2676" s="6"/>
      <c r="CQ2676" s="6"/>
      <c r="CR2676" s="6"/>
      <c r="CS2676" s="6"/>
      <c r="CT2676" s="6"/>
      <c r="CU2676" s="6"/>
      <c r="CV2676" s="6"/>
      <c r="CW2676" s="6"/>
      <c r="CX2676" s="6"/>
      <c r="CY2676" s="6"/>
      <c r="CZ2676" s="6"/>
      <c r="DA2676" s="6"/>
      <c r="DB2676" s="6"/>
      <c r="DC2676" s="6"/>
      <c r="DD2676" s="6"/>
    </row>
    <row r="2677" spans="1:108" ht="12.75" hidden="1" customHeight="1" outlineLevel="6">
      <c r="A2677" s="104" t="s">
        <v>102</v>
      </c>
      <c r="B2677" s="28">
        <f t="shared" si="152"/>
        <v>0</v>
      </c>
      <c r="C2677" s="11"/>
      <c r="D2677" s="18" t="str">
        <f>"&lt;" &amp; A2677 &amp; "&gt;" &amp; TEXT(B2677,0) &amp; "&lt;/" &amp; A2677 &amp; "&gt;"</f>
        <v>&lt;Inverted_Flag&gt;0&lt;/Inverted_Flag&gt;</v>
      </c>
      <c r="F2677" s="6"/>
      <c r="G2677" s="6"/>
      <c r="H2677" s="6"/>
      <c r="I2677" s="6"/>
      <c r="J2677" s="6"/>
      <c r="K2677" s="6"/>
      <c r="L2677" s="6"/>
      <c r="M2677" s="6"/>
      <c r="N2677" s="6"/>
      <c r="O2677" s="6"/>
      <c r="P2677" s="6"/>
      <c r="Q2677" s="6"/>
      <c r="R2677" s="6"/>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c r="BU2677" s="6"/>
      <c r="BV2677" s="6"/>
      <c r="BW2677" s="6"/>
      <c r="BX2677" s="6"/>
      <c r="BY2677" s="6"/>
      <c r="BZ2677" s="6"/>
      <c r="CA2677" s="6"/>
      <c r="CB2677" s="6"/>
      <c r="CC2677" s="6"/>
      <c r="CD2677" s="6"/>
      <c r="CE2677" s="6"/>
      <c r="CF2677" s="6"/>
      <c r="CG2677" s="6"/>
      <c r="CH2677" s="6"/>
      <c r="CI2677" s="6"/>
      <c r="CJ2677" s="6"/>
      <c r="CK2677" s="6"/>
      <c r="CL2677" s="6"/>
      <c r="CM2677" s="6"/>
      <c r="CN2677" s="6"/>
      <c r="CO2677" s="6"/>
      <c r="CP2677" s="6"/>
      <c r="CQ2677" s="6"/>
      <c r="CR2677" s="6"/>
      <c r="CS2677" s="6"/>
      <c r="CT2677" s="6"/>
      <c r="CU2677" s="6"/>
      <c r="CV2677" s="6"/>
      <c r="CW2677" s="6"/>
      <c r="CX2677" s="6"/>
      <c r="CY2677" s="6"/>
      <c r="CZ2677" s="6"/>
      <c r="DA2677" s="6"/>
      <c r="DB2677" s="6"/>
      <c r="DC2677" s="6"/>
      <c r="DD2677" s="6"/>
    </row>
    <row r="2678" spans="1:108" ht="12.75" hidden="1" customHeight="1" outlineLevel="6">
      <c r="A2678" s="104" t="s">
        <v>4</v>
      </c>
      <c r="B2678" s="28">
        <f t="shared" si="152"/>
        <v>0</v>
      </c>
      <c r="C2678" s="11"/>
      <c r="D2678" s="18" t="str">
        <f t="shared" ref="D2678:D2683" si="153">"&lt;" &amp; A2678 &amp; "&gt;" &amp; TEXT(B2678,"0.000000") &amp; "&lt;/" &amp; A2678 &amp; "&gt;"</f>
        <v>&lt;Camber&gt;0.000000&lt;/Camber&gt;</v>
      </c>
      <c r="F2678" s="6"/>
      <c r="G2678" s="6"/>
      <c r="H2678" s="6"/>
      <c r="I2678" s="6"/>
      <c r="J2678" s="6"/>
      <c r="K2678" s="6"/>
      <c r="L2678" s="6"/>
      <c r="M2678" s="6"/>
      <c r="N2678" s="6"/>
      <c r="O2678" s="6"/>
      <c r="P2678" s="6"/>
      <c r="Q2678" s="6"/>
      <c r="R2678" s="6"/>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c r="BU2678" s="6"/>
      <c r="BV2678" s="6"/>
      <c r="BW2678" s="6"/>
      <c r="BX2678" s="6"/>
      <c r="BY2678" s="6"/>
      <c r="BZ2678" s="6"/>
      <c r="CA2678" s="6"/>
      <c r="CB2678" s="6"/>
      <c r="CC2678" s="6"/>
      <c r="CD2678" s="6"/>
      <c r="CE2678" s="6"/>
      <c r="CF2678" s="6"/>
      <c r="CG2678" s="6"/>
      <c r="CH2678" s="6"/>
      <c r="CI2678" s="6"/>
      <c r="CJ2678" s="6"/>
      <c r="CK2678" s="6"/>
      <c r="CL2678" s="6"/>
      <c r="CM2678" s="6"/>
      <c r="CN2678" s="6"/>
      <c r="CO2678" s="6"/>
      <c r="CP2678" s="6"/>
      <c r="CQ2678" s="6"/>
      <c r="CR2678" s="6"/>
      <c r="CS2678" s="6"/>
      <c r="CT2678" s="6"/>
      <c r="CU2678" s="6"/>
      <c r="CV2678" s="6"/>
      <c r="CW2678" s="6"/>
      <c r="CX2678" s="6"/>
      <c r="CY2678" s="6"/>
      <c r="CZ2678" s="6"/>
      <c r="DA2678" s="6"/>
      <c r="DB2678" s="6"/>
      <c r="DC2678" s="6"/>
      <c r="DD2678" s="6"/>
    </row>
    <row r="2679" spans="1:108" ht="12.75" hidden="1" customHeight="1" outlineLevel="6">
      <c r="A2679" s="104" t="s">
        <v>103</v>
      </c>
      <c r="B2679" s="28">
        <f t="shared" si="152"/>
        <v>0.5</v>
      </c>
      <c r="C2679" s="11"/>
      <c r="D2679" s="18" t="str">
        <f t="shared" si="153"/>
        <v>&lt;Camber_Loc&gt;0.500000&lt;/Camber_Loc&gt;</v>
      </c>
      <c r="F2679" s="6"/>
      <c r="G2679" s="6"/>
      <c r="H2679" s="6"/>
      <c r="I2679" s="6"/>
      <c r="J2679" s="6"/>
      <c r="K2679" s="6"/>
      <c r="L2679" s="6"/>
      <c r="M2679" s="6"/>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c r="BU2679" s="6"/>
      <c r="BV2679" s="6"/>
      <c r="BW2679" s="6"/>
      <c r="BX2679" s="6"/>
      <c r="BY2679" s="6"/>
      <c r="BZ2679" s="6"/>
      <c r="CA2679" s="6"/>
      <c r="CB2679" s="6"/>
      <c r="CC2679" s="6"/>
      <c r="CD2679" s="6"/>
      <c r="CE2679" s="6"/>
      <c r="CF2679" s="6"/>
      <c r="CG2679" s="6"/>
      <c r="CH2679" s="6"/>
      <c r="CI2679" s="6"/>
      <c r="CJ2679" s="6"/>
      <c r="CK2679" s="6"/>
      <c r="CL2679" s="6"/>
      <c r="CM2679" s="6"/>
      <c r="CN2679" s="6"/>
      <c r="CO2679" s="6"/>
      <c r="CP2679" s="6"/>
      <c r="CQ2679" s="6"/>
      <c r="CR2679" s="6"/>
      <c r="CS2679" s="6"/>
      <c r="CT2679" s="6"/>
      <c r="CU2679" s="6"/>
      <c r="CV2679" s="6"/>
      <c r="CW2679" s="6"/>
      <c r="CX2679" s="6"/>
      <c r="CY2679" s="6"/>
      <c r="CZ2679" s="6"/>
      <c r="DA2679" s="6"/>
      <c r="DB2679" s="6"/>
      <c r="DC2679" s="6"/>
      <c r="DD2679" s="6"/>
    </row>
    <row r="2680" spans="1:108" ht="12.75" hidden="1" customHeight="1" outlineLevel="6">
      <c r="A2680" s="104" t="s">
        <v>5</v>
      </c>
      <c r="B2680" s="28">
        <f t="shared" si="152"/>
        <v>0.08</v>
      </c>
      <c r="C2680" s="11"/>
      <c r="D2680" s="18" t="str">
        <f t="shared" si="153"/>
        <v>&lt;Thickness&gt;0.080000&lt;/Thickness&gt;</v>
      </c>
      <c r="F2680" s="6"/>
      <c r="G2680" s="6"/>
      <c r="H2680" s="6"/>
      <c r="I2680" s="6"/>
      <c r="J2680" s="6"/>
      <c r="K2680" s="6"/>
      <c r="L2680" s="6"/>
      <c r="M2680" s="6"/>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c r="BU2680" s="6"/>
      <c r="BV2680" s="6"/>
      <c r="BW2680" s="6"/>
      <c r="BX2680" s="6"/>
      <c r="BY2680" s="6"/>
      <c r="BZ2680" s="6"/>
      <c r="CA2680" s="6"/>
      <c r="CB2680" s="6"/>
      <c r="CC2680" s="6"/>
      <c r="CD2680" s="6"/>
      <c r="CE2680" s="6"/>
      <c r="CF2680" s="6"/>
      <c r="CG2680" s="6"/>
      <c r="CH2680" s="6"/>
      <c r="CI2680" s="6"/>
      <c r="CJ2680" s="6"/>
      <c r="CK2680" s="6"/>
      <c r="CL2680" s="6"/>
      <c r="CM2680" s="6"/>
      <c r="CN2680" s="6"/>
      <c r="CO2680" s="6"/>
      <c r="CP2680" s="6"/>
      <c r="CQ2680" s="6"/>
      <c r="CR2680" s="6"/>
      <c r="CS2680" s="6"/>
      <c r="CT2680" s="6"/>
      <c r="CU2680" s="6"/>
      <c r="CV2680" s="6"/>
      <c r="CW2680" s="6"/>
      <c r="CX2680" s="6"/>
      <c r="CY2680" s="6"/>
      <c r="CZ2680" s="6"/>
      <c r="DA2680" s="6"/>
      <c r="DB2680" s="6"/>
      <c r="DC2680" s="6"/>
      <c r="DD2680" s="6"/>
    </row>
    <row r="2681" spans="1:108" ht="12.75" hidden="1" customHeight="1" outlineLevel="6">
      <c r="A2681" s="104" t="s">
        <v>104</v>
      </c>
      <c r="B2681" s="28">
        <f t="shared" si="152"/>
        <v>0.3</v>
      </c>
      <c r="C2681" s="11"/>
      <c r="D2681" s="18" t="str">
        <f t="shared" si="153"/>
        <v>&lt;Thickness_Loc&gt;0.300000&lt;/Thickness_Loc&gt;</v>
      </c>
      <c r="F2681" s="6"/>
      <c r="G2681" s="6"/>
      <c r="H2681" s="6"/>
      <c r="I2681" s="6"/>
      <c r="J2681" s="6"/>
      <c r="K2681" s="6"/>
      <c r="L2681" s="6"/>
      <c r="M2681" s="6"/>
      <c r="N2681" s="6"/>
      <c r="O2681" s="6"/>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c r="BU2681" s="6"/>
      <c r="BV2681" s="6"/>
      <c r="BW2681" s="6"/>
      <c r="BX2681" s="6"/>
      <c r="BY2681" s="6"/>
      <c r="BZ2681" s="6"/>
      <c r="CA2681" s="6"/>
      <c r="CB2681" s="6"/>
      <c r="CC2681" s="6"/>
      <c r="CD2681" s="6"/>
      <c r="CE2681" s="6"/>
      <c r="CF2681" s="6"/>
      <c r="CG2681" s="6"/>
      <c r="CH2681" s="6"/>
      <c r="CI2681" s="6"/>
      <c r="CJ2681" s="6"/>
      <c r="CK2681" s="6"/>
      <c r="CL2681" s="6"/>
      <c r="CM2681" s="6"/>
      <c r="CN2681" s="6"/>
      <c r="CO2681" s="6"/>
      <c r="CP2681" s="6"/>
      <c r="CQ2681" s="6"/>
      <c r="CR2681" s="6"/>
      <c r="CS2681" s="6"/>
      <c r="CT2681" s="6"/>
      <c r="CU2681" s="6"/>
      <c r="CV2681" s="6"/>
      <c r="CW2681" s="6"/>
      <c r="CX2681" s="6"/>
      <c r="CY2681" s="6"/>
      <c r="CZ2681" s="6"/>
      <c r="DA2681" s="6"/>
      <c r="DB2681" s="6"/>
      <c r="DC2681" s="6"/>
      <c r="DD2681" s="6"/>
    </row>
    <row r="2682" spans="1:108" ht="12.75" hidden="1" customHeight="1" outlineLevel="6">
      <c r="A2682" s="104" t="s">
        <v>105</v>
      </c>
      <c r="B2682" s="28">
        <f t="shared" si="152"/>
        <v>7.0520000000000001E-3</v>
      </c>
      <c r="C2682" s="11"/>
      <c r="D2682" s="18" t="str">
        <f t="shared" si="153"/>
        <v>&lt;Radius_Le&gt;0.007052&lt;/Radius_Le&gt;</v>
      </c>
      <c r="F2682" s="6"/>
      <c r="G2682" s="6"/>
      <c r="H2682" s="6"/>
      <c r="I2682" s="6"/>
      <c r="J2682" s="6"/>
      <c r="K2682" s="6"/>
      <c r="L2682" s="6"/>
      <c r="M2682" s="6"/>
      <c r="N2682" s="6"/>
      <c r="O2682" s="6"/>
      <c r="P2682" s="6"/>
      <c r="Q2682" s="6"/>
      <c r="R2682" s="6"/>
      <c r="S2682" s="6"/>
      <c r="T2682" s="6"/>
      <c r="U2682" s="6"/>
      <c r="V2682" s="6"/>
      <c r="W2682" s="6"/>
      <c r="X2682" s="6"/>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c r="BU2682" s="6"/>
      <c r="BV2682" s="6"/>
      <c r="BW2682" s="6"/>
      <c r="BX2682" s="6"/>
      <c r="BY2682" s="6"/>
      <c r="BZ2682" s="6"/>
      <c r="CA2682" s="6"/>
      <c r="CB2682" s="6"/>
      <c r="CC2682" s="6"/>
      <c r="CD2682" s="6"/>
      <c r="CE2682" s="6"/>
      <c r="CF2682" s="6"/>
      <c r="CG2682" s="6"/>
      <c r="CH2682" s="6"/>
      <c r="CI2682" s="6"/>
      <c r="CJ2682" s="6"/>
      <c r="CK2682" s="6"/>
      <c r="CL2682" s="6"/>
      <c r="CM2682" s="6"/>
      <c r="CN2682" s="6"/>
      <c r="CO2682" s="6"/>
      <c r="CP2682" s="6"/>
      <c r="CQ2682" s="6"/>
      <c r="CR2682" s="6"/>
      <c r="CS2682" s="6"/>
      <c r="CT2682" s="6"/>
      <c r="CU2682" s="6"/>
      <c r="CV2682" s="6"/>
      <c r="CW2682" s="6"/>
      <c r="CX2682" s="6"/>
      <c r="CY2682" s="6"/>
      <c r="CZ2682" s="6"/>
      <c r="DA2682" s="6"/>
      <c r="DB2682" s="6"/>
      <c r="DC2682" s="6"/>
      <c r="DD2682" s="6"/>
    </row>
    <row r="2683" spans="1:108" ht="12.75" hidden="1" customHeight="1" outlineLevel="6">
      <c r="A2683" s="104" t="s">
        <v>106</v>
      </c>
      <c r="B2683" s="28">
        <f t="shared" si="152"/>
        <v>0</v>
      </c>
      <c r="C2683" s="11"/>
      <c r="D2683" s="18" t="str">
        <f t="shared" si="153"/>
        <v>&lt;Radius_Te&gt;0.000000&lt;/Radius_Te&gt;</v>
      </c>
      <c r="F2683" s="6"/>
      <c r="G2683" s="6"/>
      <c r="H2683" s="6"/>
      <c r="I2683" s="6"/>
      <c r="J2683" s="6"/>
      <c r="K2683" s="6"/>
      <c r="L2683" s="6"/>
      <c r="M2683" s="6"/>
      <c r="N2683" s="6"/>
      <c r="O2683" s="6"/>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c r="BU2683" s="6"/>
      <c r="BV2683" s="6"/>
      <c r="BW2683" s="6"/>
      <c r="BX2683" s="6"/>
      <c r="BY2683" s="6"/>
      <c r="BZ2683" s="6"/>
      <c r="CA2683" s="6"/>
      <c r="CB2683" s="6"/>
      <c r="CC2683" s="6"/>
      <c r="CD2683" s="6"/>
      <c r="CE2683" s="6"/>
      <c r="CF2683" s="6"/>
      <c r="CG2683" s="6"/>
      <c r="CH2683" s="6"/>
      <c r="CI2683" s="6"/>
      <c r="CJ2683" s="6"/>
      <c r="CK2683" s="6"/>
      <c r="CL2683" s="6"/>
      <c r="CM2683" s="6"/>
      <c r="CN2683" s="6"/>
      <c r="CO2683" s="6"/>
      <c r="CP2683" s="6"/>
      <c r="CQ2683" s="6"/>
      <c r="CR2683" s="6"/>
      <c r="CS2683" s="6"/>
      <c r="CT2683" s="6"/>
      <c r="CU2683" s="6"/>
      <c r="CV2683" s="6"/>
      <c r="CW2683" s="6"/>
      <c r="CX2683" s="6"/>
      <c r="CY2683" s="6"/>
      <c r="CZ2683" s="6"/>
      <c r="DA2683" s="6"/>
      <c r="DB2683" s="6"/>
      <c r="DC2683" s="6"/>
      <c r="DD2683" s="6"/>
    </row>
    <row r="2684" spans="1:108" ht="12.75" hidden="1" customHeight="1" outlineLevel="6">
      <c r="A2684" s="104" t="s">
        <v>107</v>
      </c>
      <c r="B2684" s="28">
        <f t="shared" si="152"/>
        <v>63</v>
      </c>
      <c r="C2684" s="11"/>
      <c r="D2684" s="18" t="str">
        <f>"&lt;" &amp; A2684 &amp; "&gt;" &amp; TEXT(B2684,0) &amp; "&lt;/" &amp; A2684 &amp; "&gt;"</f>
        <v>&lt;Six_Series&gt;63&lt;/Six_Series&gt;</v>
      </c>
      <c r="F2684" s="6"/>
      <c r="G2684" s="6"/>
      <c r="H2684" s="6"/>
      <c r="I2684" s="6"/>
      <c r="J2684" s="6"/>
      <c r="K2684" s="6"/>
      <c r="L2684" s="6"/>
      <c r="M2684" s="6"/>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c r="BU2684" s="6"/>
      <c r="BV2684" s="6"/>
      <c r="BW2684" s="6"/>
      <c r="BX2684" s="6"/>
      <c r="BY2684" s="6"/>
      <c r="BZ2684" s="6"/>
      <c r="CA2684" s="6"/>
      <c r="CB2684" s="6"/>
      <c r="CC2684" s="6"/>
      <c r="CD2684" s="6"/>
      <c r="CE2684" s="6"/>
      <c r="CF2684" s="6"/>
      <c r="CG2684" s="6"/>
      <c r="CH2684" s="6"/>
      <c r="CI2684" s="6"/>
      <c r="CJ2684" s="6"/>
      <c r="CK2684" s="6"/>
      <c r="CL2684" s="6"/>
      <c r="CM2684" s="6"/>
      <c r="CN2684" s="6"/>
      <c r="CO2684" s="6"/>
      <c r="CP2684" s="6"/>
      <c r="CQ2684" s="6"/>
      <c r="CR2684" s="6"/>
      <c r="CS2684" s="6"/>
      <c r="CT2684" s="6"/>
      <c r="CU2684" s="6"/>
      <c r="CV2684" s="6"/>
      <c r="CW2684" s="6"/>
      <c r="CX2684" s="6"/>
      <c r="CY2684" s="6"/>
      <c r="CZ2684" s="6"/>
      <c r="DA2684" s="6"/>
      <c r="DB2684" s="6"/>
      <c r="DC2684" s="6"/>
      <c r="DD2684" s="6"/>
    </row>
    <row r="2685" spans="1:108" ht="12.75" hidden="1" customHeight="1" outlineLevel="6">
      <c r="A2685" s="104" t="s">
        <v>108</v>
      </c>
      <c r="B2685" s="28">
        <f t="shared" si="152"/>
        <v>0</v>
      </c>
      <c r="C2685" s="11"/>
      <c r="D2685" s="18" t="str">
        <f>"&lt;" &amp; A2685 &amp; "&gt;" &amp; TEXT(B2685,"0.000000") &amp; "&lt;/" &amp; A2685 &amp; "&gt;"</f>
        <v>&lt;Ideal_Cl&gt;0.000000&lt;/Ideal_Cl&gt;</v>
      </c>
      <c r="F2685" s="6"/>
      <c r="G2685" s="6"/>
      <c r="H2685" s="6"/>
      <c r="I2685" s="6"/>
      <c r="J2685" s="6"/>
      <c r="K2685" s="6"/>
      <c r="L2685" s="6"/>
      <c r="M2685" s="6"/>
      <c r="N2685" s="6"/>
      <c r="O2685" s="6"/>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c r="BU2685" s="6"/>
      <c r="BV2685" s="6"/>
      <c r="BW2685" s="6"/>
      <c r="BX2685" s="6"/>
      <c r="BY2685" s="6"/>
      <c r="BZ2685" s="6"/>
      <c r="CA2685" s="6"/>
      <c r="CB2685" s="6"/>
      <c r="CC2685" s="6"/>
      <c r="CD2685" s="6"/>
      <c r="CE2685" s="6"/>
      <c r="CF2685" s="6"/>
      <c r="CG2685" s="6"/>
      <c r="CH2685" s="6"/>
      <c r="CI2685" s="6"/>
      <c r="CJ2685" s="6"/>
      <c r="CK2685" s="6"/>
      <c r="CL2685" s="6"/>
      <c r="CM2685" s="6"/>
      <c r="CN2685" s="6"/>
      <c r="CO2685" s="6"/>
      <c r="CP2685" s="6"/>
      <c r="CQ2685" s="6"/>
      <c r="CR2685" s="6"/>
      <c r="CS2685" s="6"/>
      <c r="CT2685" s="6"/>
      <c r="CU2685" s="6"/>
      <c r="CV2685" s="6"/>
      <c r="CW2685" s="6"/>
      <c r="CX2685" s="6"/>
      <c r="CY2685" s="6"/>
      <c r="CZ2685" s="6"/>
      <c r="DA2685" s="6"/>
      <c r="DB2685" s="6"/>
      <c r="DC2685" s="6"/>
      <c r="DD2685" s="6"/>
    </row>
    <row r="2686" spans="1:108" ht="12.75" hidden="1" customHeight="1" outlineLevel="6">
      <c r="A2686" s="104" t="s">
        <v>109</v>
      </c>
      <c r="B2686" s="28">
        <f t="shared" si="152"/>
        <v>0</v>
      </c>
      <c r="C2686" s="11"/>
      <c r="D2686" s="18" t="str">
        <f>"&lt;" &amp; A2686 &amp; "&gt;" &amp; TEXT(B2686,"0.000000") &amp; "&lt;/" &amp; A2686 &amp; "&gt;"</f>
        <v>&lt;A&gt;0.000000&lt;/A&gt;</v>
      </c>
      <c r="F2686" s="6"/>
      <c r="G2686" s="6"/>
      <c r="H2686" s="6"/>
      <c r="I2686" s="6"/>
      <c r="J2686" s="6"/>
      <c r="K2686" s="6"/>
      <c r="L2686" s="6"/>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c r="BU2686" s="6"/>
      <c r="BV2686" s="6"/>
      <c r="BW2686" s="6"/>
      <c r="BX2686" s="6"/>
      <c r="BY2686" s="6"/>
      <c r="BZ2686" s="6"/>
      <c r="CA2686" s="6"/>
      <c r="CB2686" s="6"/>
      <c r="CC2686" s="6"/>
      <c r="CD2686" s="6"/>
      <c r="CE2686" s="6"/>
      <c r="CF2686" s="6"/>
      <c r="CG2686" s="6"/>
      <c r="CH2686" s="6"/>
      <c r="CI2686" s="6"/>
      <c r="CJ2686" s="6"/>
      <c r="CK2686" s="6"/>
      <c r="CL2686" s="6"/>
      <c r="CM2686" s="6"/>
      <c r="CN2686" s="6"/>
      <c r="CO2686" s="6"/>
      <c r="CP2686" s="6"/>
      <c r="CQ2686" s="6"/>
      <c r="CR2686" s="6"/>
      <c r="CS2686" s="6"/>
      <c r="CT2686" s="6"/>
      <c r="CU2686" s="6"/>
      <c r="CV2686" s="6"/>
      <c r="CW2686" s="6"/>
      <c r="CX2686" s="6"/>
      <c r="CY2686" s="6"/>
      <c r="CZ2686" s="6"/>
      <c r="DA2686" s="6"/>
      <c r="DB2686" s="6"/>
      <c r="DC2686" s="6"/>
      <c r="DD2686" s="6"/>
    </row>
    <row r="2687" spans="1:108" ht="12.75" hidden="1" customHeight="1" outlineLevel="6">
      <c r="A2687" s="104" t="s">
        <v>110</v>
      </c>
      <c r="B2687" s="28">
        <f t="shared" si="152"/>
        <v>0</v>
      </c>
      <c r="C2687" s="11"/>
      <c r="D2687" s="18" t="str">
        <f>"&lt;" &amp; A2687 &amp; "&gt;" &amp; TEXT(B2687,0) &amp; "&lt;/" &amp; A2687 &amp; "&gt;"</f>
        <v>&lt;Slat_Flag&gt;0&lt;/Slat_Flag&gt;</v>
      </c>
      <c r="F2687" s="6"/>
      <c r="G2687" s="6"/>
      <c r="H2687" s="6"/>
      <c r="I2687" s="6"/>
      <c r="J2687" s="6"/>
      <c r="K2687" s="6"/>
      <c r="L2687" s="6"/>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c r="BU2687" s="6"/>
      <c r="BV2687" s="6"/>
      <c r="BW2687" s="6"/>
      <c r="BX2687" s="6"/>
      <c r="BY2687" s="6"/>
      <c r="BZ2687" s="6"/>
      <c r="CA2687" s="6"/>
      <c r="CB2687" s="6"/>
      <c r="CC2687" s="6"/>
      <c r="CD2687" s="6"/>
      <c r="CE2687" s="6"/>
      <c r="CF2687" s="6"/>
      <c r="CG2687" s="6"/>
      <c r="CH2687" s="6"/>
      <c r="CI2687" s="6"/>
      <c r="CJ2687" s="6"/>
      <c r="CK2687" s="6"/>
      <c r="CL2687" s="6"/>
      <c r="CM2687" s="6"/>
      <c r="CN2687" s="6"/>
      <c r="CO2687" s="6"/>
      <c r="CP2687" s="6"/>
      <c r="CQ2687" s="6"/>
      <c r="CR2687" s="6"/>
      <c r="CS2687" s="6"/>
      <c r="CT2687" s="6"/>
      <c r="CU2687" s="6"/>
      <c r="CV2687" s="6"/>
      <c r="CW2687" s="6"/>
      <c r="CX2687" s="6"/>
      <c r="CY2687" s="6"/>
      <c r="CZ2687" s="6"/>
      <c r="DA2687" s="6"/>
      <c r="DB2687" s="6"/>
      <c r="DC2687" s="6"/>
      <c r="DD2687" s="6"/>
    </row>
    <row r="2688" spans="1:108" ht="12.75" hidden="1" customHeight="1" outlineLevel="6">
      <c r="A2688" s="104" t="s">
        <v>111</v>
      </c>
      <c r="B2688" s="28">
        <f t="shared" si="152"/>
        <v>0</v>
      </c>
      <c r="C2688" s="11"/>
      <c r="D2688" s="18" t="str">
        <f>"&lt;" &amp; A2688 &amp; "&gt;" &amp; TEXT(B2688,0) &amp; "&lt;/" &amp; A2688 &amp; "&gt;"</f>
        <v>&lt;Slat_Shear_Flag&gt;0&lt;/Slat_Shear_Flag&gt;</v>
      </c>
      <c r="F2688" s="6"/>
      <c r="G2688" s="6"/>
      <c r="H2688" s="6"/>
      <c r="I2688" s="6"/>
      <c r="J2688" s="6"/>
      <c r="K2688" s="6"/>
      <c r="L2688" s="6"/>
      <c r="M2688" s="6"/>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c r="BU2688" s="6"/>
      <c r="BV2688" s="6"/>
      <c r="BW2688" s="6"/>
      <c r="BX2688" s="6"/>
      <c r="BY2688" s="6"/>
      <c r="BZ2688" s="6"/>
      <c r="CA2688" s="6"/>
      <c r="CB2688" s="6"/>
      <c r="CC2688" s="6"/>
      <c r="CD2688" s="6"/>
      <c r="CE2688" s="6"/>
      <c r="CF2688" s="6"/>
      <c r="CG2688" s="6"/>
      <c r="CH2688" s="6"/>
      <c r="CI2688" s="6"/>
      <c r="CJ2688" s="6"/>
      <c r="CK2688" s="6"/>
      <c r="CL2688" s="6"/>
      <c r="CM2688" s="6"/>
      <c r="CN2688" s="6"/>
      <c r="CO2688" s="6"/>
      <c r="CP2688" s="6"/>
      <c r="CQ2688" s="6"/>
      <c r="CR2688" s="6"/>
      <c r="CS2688" s="6"/>
      <c r="CT2688" s="6"/>
      <c r="CU2688" s="6"/>
      <c r="CV2688" s="6"/>
      <c r="CW2688" s="6"/>
      <c r="CX2688" s="6"/>
      <c r="CY2688" s="6"/>
      <c r="CZ2688" s="6"/>
      <c r="DA2688" s="6"/>
      <c r="DB2688" s="6"/>
      <c r="DC2688" s="6"/>
      <c r="DD2688" s="6"/>
    </row>
    <row r="2689" spans="1:108" ht="12.75" hidden="1" customHeight="1" outlineLevel="6">
      <c r="A2689" s="104" t="s">
        <v>112</v>
      </c>
      <c r="B2689" s="28">
        <f t="shared" si="152"/>
        <v>0.25</v>
      </c>
      <c r="C2689" s="11"/>
      <c r="D2689" s="18" t="str">
        <f>"&lt;" &amp; A2689 &amp; "&gt;" &amp; TEXT(B2689,"0.000000") &amp; "&lt;/" &amp; A2689 &amp; "&gt;"</f>
        <v>&lt;Slat_Chord&gt;0.250000&lt;/Slat_Chord&gt;</v>
      </c>
      <c r="F2689" s="6"/>
      <c r="G2689" s="6"/>
      <c r="H2689" s="6"/>
      <c r="I2689" s="6"/>
      <c r="J2689" s="6"/>
      <c r="K2689" s="6"/>
      <c r="L2689" s="6"/>
      <c r="M2689" s="6"/>
      <c r="N2689" s="6"/>
      <c r="O2689" s="6"/>
      <c r="P2689" s="6"/>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c r="BU2689" s="6"/>
      <c r="BV2689" s="6"/>
      <c r="BW2689" s="6"/>
      <c r="BX2689" s="6"/>
      <c r="BY2689" s="6"/>
      <c r="BZ2689" s="6"/>
      <c r="CA2689" s="6"/>
      <c r="CB2689" s="6"/>
      <c r="CC2689" s="6"/>
      <c r="CD2689" s="6"/>
      <c r="CE2689" s="6"/>
      <c r="CF2689" s="6"/>
      <c r="CG2689" s="6"/>
      <c r="CH2689" s="6"/>
      <c r="CI2689" s="6"/>
      <c r="CJ2689" s="6"/>
      <c r="CK2689" s="6"/>
      <c r="CL2689" s="6"/>
      <c r="CM2689" s="6"/>
      <c r="CN2689" s="6"/>
      <c r="CO2689" s="6"/>
      <c r="CP2689" s="6"/>
      <c r="CQ2689" s="6"/>
      <c r="CR2689" s="6"/>
      <c r="CS2689" s="6"/>
      <c r="CT2689" s="6"/>
      <c r="CU2689" s="6"/>
      <c r="CV2689" s="6"/>
      <c r="CW2689" s="6"/>
      <c r="CX2689" s="6"/>
      <c r="CY2689" s="6"/>
      <c r="CZ2689" s="6"/>
      <c r="DA2689" s="6"/>
      <c r="DB2689" s="6"/>
      <c r="DC2689" s="6"/>
      <c r="DD2689" s="6"/>
    </row>
    <row r="2690" spans="1:108" ht="12.75" hidden="1" customHeight="1" outlineLevel="6">
      <c r="A2690" s="104" t="s">
        <v>113</v>
      </c>
      <c r="B2690" s="28">
        <f t="shared" si="152"/>
        <v>10</v>
      </c>
      <c r="C2690" s="11"/>
      <c r="D2690" s="18" t="str">
        <f>"&lt;" &amp; A2690 &amp; "&gt;" &amp; TEXT(B2690,"0.000000") &amp; "&lt;/" &amp; A2690 &amp; "&gt;"</f>
        <v>&lt;Slat_Angle&gt;10.000000&lt;/Slat_Angle&gt;</v>
      </c>
      <c r="F2690" s="6"/>
      <c r="G2690" s="6"/>
      <c r="H2690" s="6"/>
      <c r="I2690" s="6"/>
      <c r="J2690" s="6"/>
      <c r="K2690" s="6"/>
      <c r="L2690" s="6"/>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c r="BU2690" s="6"/>
      <c r="BV2690" s="6"/>
      <c r="BW2690" s="6"/>
      <c r="BX2690" s="6"/>
      <c r="BY2690" s="6"/>
      <c r="BZ2690" s="6"/>
      <c r="CA2690" s="6"/>
      <c r="CB2690" s="6"/>
      <c r="CC2690" s="6"/>
      <c r="CD2690" s="6"/>
      <c r="CE2690" s="6"/>
      <c r="CF2690" s="6"/>
      <c r="CG2690" s="6"/>
      <c r="CH2690" s="6"/>
      <c r="CI2690" s="6"/>
      <c r="CJ2690" s="6"/>
      <c r="CK2690" s="6"/>
      <c r="CL2690" s="6"/>
      <c r="CM2690" s="6"/>
      <c r="CN2690" s="6"/>
      <c r="CO2690" s="6"/>
      <c r="CP2690" s="6"/>
      <c r="CQ2690" s="6"/>
      <c r="CR2690" s="6"/>
      <c r="CS2690" s="6"/>
      <c r="CT2690" s="6"/>
      <c r="CU2690" s="6"/>
      <c r="CV2690" s="6"/>
      <c r="CW2690" s="6"/>
      <c r="CX2690" s="6"/>
      <c r="CY2690" s="6"/>
      <c r="CZ2690" s="6"/>
      <c r="DA2690" s="6"/>
      <c r="DB2690" s="6"/>
      <c r="DC2690" s="6"/>
      <c r="DD2690" s="6"/>
    </row>
    <row r="2691" spans="1:108" ht="12.75" hidden="1" customHeight="1" outlineLevel="6">
      <c r="A2691" s="104" t="s">
        <v>114</v>
      </c>
      <c r="B2691" s="28">
        <f t="shared" si="152"/>
        <v>0</v>
      </c>
      <c r="C2691" s="11"/>
      <c r="D2691" s="18" t="str">
        <f>"&lt;" &amp; A2691 &amp; "&gt;" &amp; TEXT(B2691,0) &amp; "&lt;/" &amp; A2691 &amp; "&gt;"</f>
        <v>&lt;Flap_Flag&gt;0&lt;/Flap_Flag&gt;</v>
      </c>
      <c r="F2691" s="6"/>
      <c r="G2691" s="6"/>
      <c r="H2691" s="6"/>
      <c r="I2691" s="6"/>
      <c r="J2691" s="6"/>
      <c r="K2691" s="6"/>
      <c r="L2691" s="6"/>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c r="BU2691" s="6"/>
      <c r="BV2691" s="6"/>
      <c r="BW2691" s="6"/>
      <c r="BX2691" s="6"/>
      <c r="BY2691" s="6"/>
      <c r="BZ2691" s="6"/>
      <c r="CA2691" s="6"/>
      <c r="CB2691" s="6"/>
      <c r="CC2691" s="6"/>
      <c r="CD2691" s="6"/>
      <c r="CE2691" s="6"/>
      <c r="CF2691" s="6"/>
      <c r="CG2691" s="6"/>
      <c r="CH2691" s="6"/>
      <c r="CI2691" s="6"/>
      <c r="CJ2691" s="6"/>
      <c r="CK2691" s="6"/>
      <c r="CL2691" s="6"/>
      <c r="CM2691" s="6"/>
      <c r="CN2691" s="6"/>
      <c r="CO2691" s="6"/>
      <c r="CP2691" s="6"/>
      <c r="CQ2691" s="6"/>
      <c r="CR2691" s="6"/>
      <c r="CS2691" s="6"/>
      <c r="CT2691" s="6"/>
      <c r="CU2691" s="6"/>
      <c r="CV2691" s="6"/>
      <c r="CW2691" s="6"/>
      <c r="CX2691" s="6"/>
      <c r="CY2691" s="6"/>
      <c r="CZ2691" s="6"/>
      <c r="DA2691" s="6"/>
      <c r="DB2691" s="6"/>
      <c r="DC2691" s="6"/>
      <c r="DD2691" s="6"/>
    </row>
    <row r="2692" spans="1:108" ht="12.75" hidden="1" customHeight="1" outlineLevel="6">
      <c r="A2692" s="104" t="s">
        <v>115</v>
      </c>
      <c r="B2692" s="28">
        <f t="shared" si="152"/>
        <v>0</v>
      </c>
      <c r="C2692" s="11"/>
      <c r="D2692" s="18" t="str">
        <f>"&lt;" &amp; A2692 &amp; "&gt;" &amp; TEXT(B2692,0) &amp; "&lt;/" &amp; A2692 &amp; "&gt;"</f>
        <v>&lt;Flap_Shear_Flag&gt;0&lt;/Flap_Shear_Flag&gt;</v>
      </c>
      <c r="F2692" s="6"/>
      <c r="G2692" s="6"/>
      <c r="H2692" s="6"/>
      <c r="I2692" s="6"/>
      <c r="J2692" s="6"/>
      <c r="K2692" s="6"/>
      <c r="L2692" s="6"/>
      <c r="M2692" s="6"/>
      <c r="N2692" s="6"/>
      <c r="O2692" s="6"/>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c r="BU2692" s="6"/>
      <c r="BV2692" s="6"/>
      <c r="BW2692" s="6"/>
      <c r="BX2692" s="6"/>
      <c r="BY2692" s="6"/>
      <c r="BZ2692" s="6"/>
      <c r="CA2692" s="6"/>
      <c r="CB2692" s="6"/>
      <c r="CC2692" s="6"/>
      <c r="CD2692" s="6"/>
      <c r="CE2692" s="6"/>
      <c r="CF2692" s="6"/>
      <c r="CG2692" s="6"/>
      <c r="CH2692" s="6"/>
      <c r="CI2692" s="6"/>
      <c r="CJ2692" s="6"/>
      <c r="CK2692" s="6"/>
      <c r="CL2692" s="6"/>
      <c r="CM2692" s="6"/>
      <c r="CN2692" s="6"/>
      <c r="CO2692" s="6"/>
      <c r="CP2692" s="6"/>
      <c r="CQ2692" s="6"/>
      <c r="CR2692" s="6"/>
      <c r="CS2692" s="6"/>
      <c r="CT2692" s="6"/>
      <c r="CU2692" s="6"/>
      <c r="CV2692" s="6"/>
      <c r="CW2692" s="6"/>
      <c r="CX2692" s="6"/>
      <c r="CY2692" s="6"/>
      <c r="CZ2692" s="6"/>
      <c r="DA2692" s="6"/>
      <c r="DB2692" s="6"/>
      <c r="DC2692" s="6"/>
      <c r="DD2692" s="6"/>
    </row>
    <row r="2693" spans="1:108" ht="12.75" hidden="1" customHeight="1" outlineLevel="6">
      <c r="A2693" s="104" t="s">
        <v>116</v>
      </c>
      <c r="B2693" s="28">
        <f t="shared" si="152"/>
        <v>0.25</v>
      </c>
      <c r="C2693" s="11"/>
      <c r="D2693" s="18" t="str">
        <f>"&lt;" &amp; A2693 &amp; "&gt;" &amp; TEXT(B2693,"0.000000") &amp; "&lt;/" &amp; A2693 &amp; "&gt;"</f>
        <v>&lt;Flap_Chord&gt;0.250000&lt;/Flap_Chord&gt;</v>
      </c>
      <c r="F2693" s="6"/>
      <c r="G2693" s="6"/>
      <c r="H2693" s="6"/>
      <c r="I2693" s="6"/>
      <c r="J2693" s="6"/>
      <c r="K2693" s="6"/>
      <c r="L2693" s="6"/>
      <c r="M2693" s="6"/>
      <c r="N2693" s="6"/>
      <c r="O2693" s="6"/>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c r="BU2693" s="6"/>
      <c r="BV2693" s="6"/>
      <c r="BW2693" s="6"/>
      <c r="BX2693" s="6"/>
      <c r="BY2693" s="6"/>
      <c r="BZ2693" s="6"/>
      <c r="CA2693" s="6"/>
      <c r="CB2693" s="6"/>
      <c r="CC2693" s="6"/>
      <c r="CD2693" s="6"/>
      <c r="CE2693" s="6"/>
      <c r="CF2693" s="6"/>
      <c r="CG2693" s="6"/>
      <c r="CH2693" s="6"/>
      <c r="CI2693" s="6"/>
      <c r="CJ2693" s="6"/>
      <c r="CK2693" s="6"/>
      <c r="CL2693" s="6"/>
      <c r="CM2693" s="6"/>
      <c r="CN2693" s="6"/>
      <c r="CO2693" s="6"/>
      <c r="CP2693" s="6"/>
      <c r="CQ2693" s="6"/>
      <c r="CR2693" s="6"/>
      <c r="CS2693" s="6"/>
      <c r="CT2693" s="6"/>
      <c r="CU2693" s="6"/>
      <c r="CV2693" s="6"/>
      <c r="CW2693" s="6"/>
      <c r="CX2693" s="6"/>
      <c r="CY2693" s="6"/>
      <c r="CZ2693" s="6"/>
      <c r="DA2693" s="6"/>
      <c r="DB2693" s="6"/>
      <c r="DC2693" s="6"/>
      <c r="DD2693" s="6"/>
    </row>
    <row r="2694" spans="1:108" ht="12.75" hidden="1" customHeight="1" outlineLevel="6">
      <c r="A2694" s="104" t="s">
        <v>117</v>
      </c>
      <c r="B2694" s="28">
        <f t="shared" si="152"/>
        <v>10</v>
      </c>
      <c r="C2694" s="11"/>
      <c r="D2694" s="18" t="str">
        <f>"&lt;" &amp; A2694 &amp; "&gt;" &amp; TEXT(B2694,"0.000000") &amp; "&lt;/" &amp; A2694 &amp; "&gt;"</f>
        <v>&lt;Flap_Angle&gt;10.000000&lt;/Flap_Angle&gt;</v>
      </c>
      <c r="F2694" s="6"/>
      <c r="G2694" s="6"/>
      <c r="H2694" s="6"/>
      <c r="I2694" s="6"/>
      <c r="J2694" s="6"/>
      <c r="K2694" s="6"/>
      <c r="L2694" s="6"/>
      <c r="M2694" s="6"/>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c r="BU2694" s="6"/>
      <c r="BV2694" s="6"/>
      <c r="BW2694" s="6"/>
      <c r="BX2694" s="6"/>
      <c r="BY2694" s="6"/>
      <c r="BZ2694" s="6"/>
      <c r="CA2694" s="6"/>
      <c r="CB2694" s="6"/>
      <c r="CC2694" s="6"/>
      <c r="CD2694" s="6"/>
      <c r="CE2694" s="6"/>
      <c r="CF2694" s="6"/>
      <c r="CG2694" s="6"/>
      <c r="CH2694" s="6"/>
      <c r="CI2694" s="6"/>
      <c r="CJ2694" s="6"/>
      <c r="CK2694" s="6"/>
      <c r="CL2694" s="6"/>
      <c r="CM2694" s="6"/>
      <c r="CN2694" s="6"/>
      <c r="CO2694" s="6"/>
      <c r="CP2694" s="6"/>
      <c r="CQ2694" s="6"/>
      <c r="CR2694" s="6"/>
      <c r="CS2694" s="6"/>
      <c r="CT2694" s="6"/>
      <c r="CU2694" s="6"/>
      <c r="CV2694" s="6"/>
      <c r="CW2694" s="6"/>
      <c r="CX2694" s="6"/>
      <c r="CY2694" s="6"/>
      <c r="CZ2694" s="6"/>
      <c r="DA2694" s="6"/>
      <c r="DB2694" s="6"/>
      <c r="DC2694" s="6"/>
      <c r="DD2694" s="6"/>
    </row>
    <row r="2695" spans="1:108" ht="12.75" hidden="1" customHeight="1" outlineLevel="6">
      <c r="A2695" s="104" t="s">
        <v>118</v>
      </c>
      <c r="B2695" s="100"/>
      <c r="C2695" s="11"/>
      <c r="D2695" s="6" t="str">
        <f>"&lt;" &amp; A2695 &amp; "&gt;"</f>
        <v>&lt;/Airfoil&gt;</v>
      </c>
      <c r="F2695" s="6"/>
      <c r="G2695" s="6"/>
      <c r="H2695" s="6"/>
      <c r="I2695" s="6"/>
      <c r="J2695" s="6"/>
      <c r="K2695" s="6"/>
      <c r="L2695" s="6"/>
      <c r="M2695" s="6"/>
      <c r="N2695" s="6"/>
      <c r="O2695" s="6"/>
      <c r="P2695" s="6"/>
      <c r="Q2695" s="6"/>
      <c r="R2695" s="6"/>
      <c r="S2695" s="6"/>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c r="BU2695" s="6"/>
      <c r="BV2695" s="6"/>
      <c r="BW2695" s="6"/>
      <c r="BX2695" s="6"/>
      <c r="BY2695" s="6"/>
      <c r="BZ2695" s="6"/>
      <c r="CA2695" s="6"/>
      <c r="CB2695" s="6"/>
      <c r="CC2695" s="6"/>
      <c r="CD2695" s="6"/>
      <c r="CE2695" s="6"/>
      <c r="CF2695" s="6"/>
      <c r="CG2695" s="6"/>
      <c r="CH2695" s="6"/>
      <c r="CI2695" s="6"/>
      <c r="CJ2695" s="6"/>
      <c r="CK2695" s="6"/>
      <c r="CL2695" s="6"/>
      <c r="CM2695" s="6"/>
      <c r="CN2695" s="6"/>
      <c r="CO2695" s="6"/>
      <c r="CP2695" s="6"/>
      <c r="CQ2695" s="6"/>
      <c r="CR2695" s="6"/>
      <c r="CS2695" s="6"/>
      <c r="CT2695" s="6"/>
      <c r="CU2695" s="6"/>
      <c r="CV2695" s="6"/>
      <c r="CW2695" s="6"/>
      <c r="CX2695" s="6"/>
      <c r="CY2695" s="6"/>
      <c r="CZ2695" s="6"/>
      <c r="DA2695" s="6"/>
      <c r="DB2695" s="6"/>
      <c r="DC2695" s="6"/>
      <c r="DD2695" s="6"/>
    </row>
    <row r="2696" spans="1:108" ht="12.75" hidden="1" customHeight="1" outlineLevel="5">
      <c r="A2696" s="104" t="s">
        <v>119</v>
      </c>
      <c r="B2696" s="100"/>
      <c r="C2696" s="11"/>
      <c r="D2696" s="6" t="str">
        <f>"&lt;" &amp; A2696 &amp; "&gt;"</f>
        <v>&lt;/Airfoil_List&gt;</v>
      </c>
      <c r="F2696" s="6"/>
      <c r="G2696" s="6"/>
      <c r="H2696" s="6"/>
      <c r="I2696" s="6"/>
      <c r="J2696" s="6"/>
      <c r="K2696" s="6"/>
      <c r="L2696" s="6"/>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c r="BU2696" s="6"/>
      <c r="BV2696" s="6"/>
      <c r="BW2696" s="6"/>
      <c r="BX2696" s="6"/>
      <c r="BY2696" s="6"/>
      <c r="BZ2696" s="6"/>
      <c r="CA2696" s="6"/>
      <c r="CB2696" s="6"/>
      <c r="CC2696" s="6"/>
      <c r="CD2696" s="6"/>
      <c r="CE2696" s="6"/>
      <c r="CF2696" s="6"/>
      <c r="CG2696" s="6"/>
      <c r="CH2696" s="6"/>
      <c r="CI2696" s="6"/>
      <c r="CJ2696" s="6"/>
      <c r="CK2696" s="6"/>
      <c r="CL2696" s="6"/>
      <c r="CM2696" s="6"/>
      <c r="CN2696" s="6"/>
      <c r="CO2696" s="6"/>
      <c r="CP2696" s="6"/>
      <c r="CQ2696" s="6"/>
      <c r="CR2696" s="6"/>
      <c r="CS2696" s="6"/>
      <c r="CT2696" s="6"/>
      <c r="CU2696" s="6"/>
      <c r="CV2696" s="6"/>
      <c r="CW2696" s="6"/>
      <c r="CX2696" s="6"/>
      <c r="CY2696" s="6"/>
      <c r="CZ2696" s="6"/>
      <c r="DA2696" s="6"/>
      <c r="DB2696" s="6"/>
      <c r="DC2696" s="6"/>
      <c r="DD2696" s="6"/>
    </row>
    <row r="2697" spans="1:108" ht="12.75" hidden="1" customHeight="1" outlineLevel="4">
      <c r="A2697" s="104" t="s">
        <v>120</v>
      </c>
      <c r="B2697" s="100"/>
      <c r="C2697" s="11"/>
      <c r="D2697" s="6" t="str">
        <f>"&lt;" &amp; A2697 &amp; "&gt;"</f>
        <v>&lt;Section_List&gt;</v>
      </c>
      <c r="F2697" s="6"/>
      <c r="G2697" s="6"/>
      <c r="H2697" s="6"/>
      <c r="I2697" s="6"/>
      <c r="J2697" s="6"/>
      <c r="K2697" s="6"/>
      <c r="L2697" s="6"/>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c r="BU2697" s="6"/>
      <c r="BV2697" s="6"/>
      <c r="BW2697" s="6"/>
      <c r="BX2697" s="6"/>
      <c r="BY2697" s="6"/>
      <c r="BZ2697" s="6"/>
      <c r="CA2697" s="6"/>
      <c r="CB2697" s="6"/>
      <c r="CC2697" s="6"/>
      <c r="CD2697" s="6"/>
      <c r="CE2697" s="6"/>
      <c r="CF2697" s="6"/>
      <c r="CG2697" s="6"/>
      <c r="CH2697" s="6"/>
      <c r="CI2697" s="6"/>
      <c r="CJ2697" s="6"/>
      <c r="CK2697" s="6"/>
      <c r="CL2697" s="6"/>
      <c r="CM2697" s="6"/>
      <c r="CN2697" s="6"/>
      <c r="CO2697" s="6"/>
      <c r="CP2697" s="6"/>
      <c r="CQ2697" s="6"/>
      <c r="CR2697" s="6"/>
      <c r="CS2697" s="6"/>
      <c r="CT2697" s="6"/>
      <c r="CU2697" s="6"/>
      <c r="CV2697" s="6"/>
      <c r="CW2697" s="6"/>
      <c r="CX2697" s="6"/>
      <c r="CY2697" s="6"/>
      <c r="CZ2697" s="6"/>
      <c r="DA2697" s="6"/>
      <c r="DB2697" s="6"/>
      <c r="DC2697" s="6"/>
      <c r="DD2697" s="6"/>
    </row>
    <row r="2698" spans="1:108" ht="12.75" hidden="1" customHeight="1" outlineLevel="5">
      <c r="A2698" s="104" t="s">
        <v>121</v>
      </c>
      <c r="B2698" s="110" t="s">
        <v>400</v>
      </c>
      <c r="C2698" s="11"/>
      <c r="D2698" s="6" t="str">
        <f>"&lt;" &amp; A2698 &amp; "&gt;"</f>
        <v>&lt;Section&gt;</v>
      </c>
      <c r="F2698" s="6"/>
      <c r="G2698" s="6"/>
      <c r="H2698" s="6"/>
      <c r="I2698" s="6"/>
      <c r="J2698" s="6"/>
      <c r="K2698" s="6"/>
      <c r="L2698" s="6"/>
      <c r="M2698" s="6"/>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c r="BU2698" s="6"/>
      <c r="BV2698" s="6"/>
      <c r="BW2698" s="6"/>
      <c r="BX2698" s="6"/>
      <c r="BY2698" s="6"/>
      <c r="BZ2698" s="6"/>
      <c r="CA2698" s="6"/>
      <c r="CB2698" s="6"/>
      <c r="CC2698" s="6"/>
      <c r="CD2698" s="6"/>
      <c r="CE2698" s="6"/>
      <c r="CF2698" s="6"/>
      <c r="CG2698" s="6"/>
      <c r="CH2698" s="6"/>
      <c r="CI2698" s="6"/>
      <c r="CJ2698" s="6"/>
      <c r="CK2698" s="6"/>
      <c r="CL2698" s="6"/>
      <c r="CM2698" s="6"/>
      <c r="CN2698" s="6"/>
      <c r="CO2698" s="6"/>
      <c r="CP2698" s="6"/>
      <c r="CQ2698" s="6"/>
      <c r="CR2698" s="6"/>
      <c r="CS2698" s="6"/>
      <c r="CT2698" s="6"/>
      <c r="CU2698" s="6"/>
      <c r="CV2698" s="6"/>
      <c r="CW2698" s="6"/>
      <c r="CX2698" s="6"/>
      <c r="CY2698" s="6"/>
      <c r="CZ2698" s="6"/>
      <c r="DA2698" s="6"/>
      <c r="DB2698" s="6"/>
      <c r="DC2698" s="6"/>
      <c r="DD2698" s="6"/>
    </row>
    <row r="2699" spans="1:108" ht="12.75" hidden="1" customHeight="1" outlineLevel="6">
      <c r="A2699" s="104" t="s">
        <v>122</v>
      </c>
      <c r="B2699" s="28">
        <f t="shared" ref="B2699:B2717" si="154">B2166</f>
        <v>4</v>
      </c>
      <c r="C2699" s="11"/>
      <c r="D2699" s="18" t="str">
        <f>"&lt;" &amp; A2699 &amp; "&gt;" &amp; TEXT(B2699,0) &amp; "&lt;/" &amp; A2699 &amp; "&gt;"</f>
        <v>&lt;Driver&gt;4&lt;/Driver&gt;</v>
      </c>
      <c r="F2699" s="6"/>
      <c r="G2699" s="6"/>
      <c r="H2699" s="6"/>
      <c r="I2699" s="6"/>
      <c r="J2699" s="6"/>
      <c r="K2699" s="6"/>
      <c r="L2699" s="6"/>
      <c r="M2699" s="6"/>
      <c r="N2699" s="6"/>
      <c r="O2699" s="6"/>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c r="BU2699" s="6"/>
      <c r="BV2699" s="6"/>
      <c r="BW2699" s="6"/>
      <c r="BX2699" s="6"/>
      <c r="BY2699" s="6"/>
      <c r="BZ2699" s="6"/>
      <c r="CA2699" s="6"/>
      <c r="CB2699" s="6"/>
      <c r="CC2699" s="6"/>
      <c r="CD2699" s="6"/>
      <c r="CE2699" s="6"/>
      <c r="CF2699" s="6"/>
      <c r="CG2699" s="6"/>
      <c r="CH2699" s="6"/>
      <c r="CI2699" s="6"/>
      <c r="CJ2699" s="6"/>
      <c r="CK2699" s="6"/>
      <c r="CL2699" s="6"/>
      <c r="CM2699" s="6"/>
      <c r="CN2699" s="6"/>
      <c r="CO2699" s="6"/>
      <c r="CP2699" s="6"/>
      <c r="CQ2699" s="6"/>
      <c r="CR2699" s="6"/>
      <c r="CS2699" s="6"/>
      <c r="CT2699" s="6"/>
      <c r="CU2699" s="6"/>
      <c r="CV2699" s="6"/>
      <c r="CW2699" s="6"/>
      <c r="CX2699" s="6"/>
      <c r="CY2699" s="6"/>
      <c r="CZ2699" s="6"/>
      <c r="DA2699" s="6"/>
      <c r="DB2699" s="6"/>
      <c r="DC2699" s="6"/>
      <c r="DD2699" s="6"/>
    </row>
    <row r="2700" spans="1:108" ht="12.75" hidden="1" customHeight="1" outlineLevel="6">
      <c r="A2700" s="104" t="s">
        <v>123</v>
      </c>
      <c r="B2700" s="37" t="e">
        <f ca="1">(B2703^2)/B2702</f>
        <v>#VALUE!</v>
      </c>
      <c r="C2700" s="11"/>
      <c r="D2700" s="18" t="e">
        <f t="shared" ref="D2700:D2714" ca="1" si="155">"&lt;" &amp; A2700 &amp; "&gt;" &amp; TEXT(B2700,"0.000000") &amp; "&lt;/" &amp; A2700 &amp; "&gt;"</f>
        <v>#VALUE!</v>
      </c>
      <c r="F2700" s="6"/>
      <c r="G2700" s="6"/>
      <c r="H2700" s="6"/>
      <c r="I2700" s="6"/>
      <c r="J2700" s="6"/>
      <c r="K2700" s="6"/>
      <c r="L2700" s="6"/>
      <c r="M2700" s="6"/>
      <c r="N2700" s="6"/>
      <c r="O2700" s="6"/>
      <c r="P2700" s="6"/>
      <c r="Q2700" s="6"/>
      <c r="R2700" s="6"/>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c r="BU2700" s="6"/>
      <c r="BV2700" s="6"/>
      <c r="BW2700" s="6"/>
      <c r="BX2700" s="6"/>
      <c r="BY2700" s="6"/>
      <c r="BZ2700" s="6"/>
      <c r="CA2700" s="6"/>
      <c r="CB2700" s="6"/>
      <c r="CC2700" s="6"/>
      <c r="CD2700" s="6"/>
      <c r="CE2700" s="6"/>
      <c r="CF2700" s="6"/>
      <c r="CG2700" s="6"/>
      <c r="CH2700" s="6"/>
      <c r="CI2700" s="6"/>
      <c r="CJ2700" s="6"/>
      <c r="CK2700" s="6"/>
      <c r="CL2700" s="6"/>
      <c r="CM2700" s="6"/>
      <c r="CN2700" s="6"/>
      <c r="CO2700" s="6"/>
      <c r="CP2700" s="6"/>
      <c r="CQ2700" s="6"/>
      <c r="CR2700" s="6"/>
      <c r="CS2700" s="6"/>
      <c r="CT2700" s="6"/>
      <c r="CU2700" s="6"/>
      <c r="CV2700" s="6"/>
      <c r="CW2700" s="6"/>
      <c r="CX2700" s="6"/>
      <c r="CY2700" s="6"/>
      <c r="CZ2700" s="6"/>
      <c r="DA2700" s="6"/>
      <c r="DB2700" s="6"/>
      <c r="DC2700" s="6"/>
      <c r="DD2700" s="6"/>
    </row>
    <row r="2701" spans="1:108" ht="12.75" hidden="1" customHeight="1" outlineLevel="6">
      <c r="A2701" s="104" t="s">
        <v>124</v>
      </c>
      <c r="B2701" s="37" t="e">
        <f ca="1">B2704/B2705</f>
        <v>#VALUE!</v>
      </c>
      <c r="C2701" s="11"/>
      <c r="D2701" s="18" t="e">
        <f t="shared" ca="1" si="155"/>
        <v>#VALUE!</v>
      </c>
      <c r="F2701" s="6"/>
      <c r="G2701" s="6"/>
      <c r="H2701" s="6"/>
      <c r="I2701" s="6"/>
      <c r="J2701" s="6"/>
      <c r="K2701" s="6"/>
      <c r="L2701" s="6"/>
      <c r="M2701" s="6"/>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c r="BU2701" s="6"/>
      <c r="BV2701" s="6"/>
      <c r="BW2701" s="6"/>
      <c r="BX2701" s="6"/>
      <c r="BY2701" s="6"/>
      <c r="BZ2701" s="6"/>
      <c r="CA2701" s="6"/>
      <c r="CB2701" s="6"/>
      <c r="CC2701" s="6"/>
      <c r="CD2701" s="6"/>
      <c r="CE2701" s="6"/>
      <c r="CF2701" s="6"/>
      <c r="CG2701" s="6"/>
      <c r="CH2701" s="6"/>
      <c r="CI2701" s="6"/>
      <c r="CJ2701" s="6"/>
      <c r="CK2701" s="6"/>
      <c r="CL2701" s="6"/>
      <c r="CM2701" s="6"/>
      <c r="CN2701" s="6"/>
      <c r="CO2701" s="6"/>
      <c r="CP2701" s="6"/>
      <c r="CQ2701" s="6"/>
      <c r="CR2701" s="6"/>
      <c r="CS2701" s="6"/>
      <c r="CT2701" s="6"/>
      <c r="CU2701" s="6"/>
      <c r="CV2701" s="6"/>
      <c r="CW2701" s="6"/>
      <c r="CX2701" s="6"/>
      <c r="CY2701" s="6"/>
      <c r="CZ2701" s="6"/>
      <c r="DA2701" s="6"/>
      <c r="DB2701" s="6"/>
      <c r="DC2701" s="6"/>
      <c r="DD2701" s="6"/>
    </row>
    <row r="2702" spans="1:108" ht="12.75" hidden="1" customHeight="1" outlineLevel="6">
      <c r="A2702" s="104" t="s">
        <v>6</v>
      </c>
      <c r="B2702" s="37" t="e">
        <f ca="1">0.5*(B2704+B2705)*B2703</f>
        <v>#VALUE!</v>
      </c>
      <c r="C2702" s="11"/>
      <c r="D2702" s="18" t="e">
        <f t="shared" ca="1" si="155"/>
        <v>#VALUE!</v>
      </c>
      <c r="F2702" s="6"/>
      <c r="G2702" s="6"/>
      <c r="H2702" s="6"/>
      <c r="I2702" s="6"/>
      <c r="J2702" s="6"/>
      <c r="K2702" s="6"/>
      <c r="L2702" s="6"/>
      <c r="M2702" s="6"/>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c r="BU2702" s="6"/>
      <c r="BV2702" s="6"/>
      <c r="BW2702" s="6"/>
      <c r="BX2702" s="6"/>
      <c r="BY2702" s="6"/>
      <c r="BZ2702" s="6"/>
      <c r="CA2702" s="6"/>
      <c r="CB2702" s="6"/>
      <c r="CC2702" s="6"/>
      <c r="CD2702" s="6"/>
      <c r="CE2702" s="6"/>
      <c r="CF2702" s="6"/>
      <c r="CG2702" s="6"/>
      <c r="CH2702" s="6"/>
      <c r="CI2702" s="6"/>
      <c r="CJ2702" s="6"/>
      <c r="CK2702" s="6"/>
      <c r="CL2702" s="6"/>
      <c r="CM2702" s="6"/>
      <c r="CN2702" s="6"/>
      <c r="CO2702" s="6"/>
      <c r="CP2702" s="6"/>
      <c r="CQ2702" s="6"/>
      <c r="CR2702" s="6"/>
      <c r="CS2702" s="6"/>
      <c r="CT2702" s="6"/>
      <c r="CU2702" s="6"/>
      <c r="CV2702" s="6"/>
      <c r="CW2702" s="6"/>
      <c r="CX2702" s="6"/>
      <c r="CY2702" s="6"/>
      <c r="CZ2702" s="6"/>
      <c r="DA2702" s="6"/>
      <c r="DB2702" s="6"/>
      <c r="DC2702" s="6"/>
      <c r="DD2702" s="6"/>
    </row>
    <row r="2703" spans="1:108" ht="12.75" hidden="1" customHeight="1" outlineLevel="6">
      <c r="A2703" s="104" t="s">
        <v>7</v>
      </c>
      <c r="B2703" s="28">
        <f>B2170</f>
        <v>0.9</v>
      </c>
      <c r="C2703" s="11"/>
      <c r="D2703" s="18" t="str">
        <f t="shared" si="155"/>
        <v>&lt;Span&gt;0.900000&lt;/Span&gt;</v>
      </c>
      <c r="F2703" s="6"/>
      <c r="G2703" s="6"/>
      <c r="H2703" s="6"/>
      <c r="I2703" s="6"/>
      <c r="J2703" s="6"/>
      <c r="K2703" s="6"/>
      <c r="L2703" s="6"/>
      <c r="M2703" s="6"/>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c r="BU2703" s="6"/>
      <c r="BV2703" s="6"/>
      <c r="BW2703" s="6"/>
      <c r="BX2703" s="6"/>
      <c r="BY2703" s="6"/>
      <c r="BZ2703" s="6"/>
      <c r="CA2703" s="6"/>
      <c r="CB2703" s="6"/>
      <c r="CC2703" s="6"/>
      <c r="CD2703" s="6"/>
      <c r="CE2703" s="6"/>
      <c r="CF2703" s="6"/>
      <c r="CG2703" s="6"/>
      <c r="CH2703" s="6"/>
      <c r="CI2703" s="6"/>
      <c r="CJ2703" s="6"/>
      <c r="CK2703" s="6"/>
      <c r="CL2703" s="6"/>
      <c r="CM2703" s="6"/>
      <c r="CN2703" s="6"/>
      <c r="CO2703" s="6"/>
      <c r="CP2703" s="6"/>
      <c r="CQ2703" s="6"/>
      <c r="CR2703" s="6"/>
      <c r="CS2703" s="6"/>
      <c r="CT2703" s="6"/>
      <c r="CU2703" s="6"/>
      <c r="CV2703" s="6"/>
      <c r="CW2703" s="6"/>
      <c r="CX2703" s="6"/>
      <c r="CY2703" s="6"/>
      <c r="CZ2703" s="6"/>
      <c r="DA2703" s="6"/>
      <c r="DB2703" s="6"/>
      <c r="DC2703" s="6"/>
      <c r="DD2703" s="6"/>
    </row>
    <row r="2704" spans="1:108" ht="12.75" hidden="1" customHeight="1" outlineLevel="6">
      <c r="A2704" s="104" t="s">
        <v>125</v>
      </c>
      <c r="B2704" s="38" t="e">
        <f ca="1">0.8*IF(B2294 &lt; b_W.i, c_r.W + B2294*(TAN(phi_100.W.i*PI()/180) - TAN(phi_0.W.i*PI()/180)), c_t.W + ((b_W/2) -B2294)*(TAN(phi_0.W.o*PI()/180) - TAN(phi_100.W.o*PI()/180)))</f>
        <v>#VALUE!</v>
      </c>
      <c r="C2704" s="11"/>
      <c r="D2704" s="18" t="e">
        <f t="shared" ca="1" si="155"/>
        <v>#VALUE!</v>
      </c>
      <c r="F2704" s="6"/>
      <c r="G2704" s="6"/>
      <c r="H2704" s="6"/>
      <c r="I2704" s="6"/>
      <c r="J2704" s="6"/>
      <c r="K2704" s="6"/>
      <c r="L2704" s="6"/>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c r="BU2704" s="6"/>
      <c r="BV2704" s="6"/>
      <c r="BW2704" s="6"/>
      <c r="BX2704" s="6"/>
      <c r="BY2704" s="6"/>
      <c r="BZ2704" s="6"/>
      <c r="CA2704" s="6"/>
      <c r="CB2704" s="6"/>
      <c r="CC2704" s="6"/>
      <c r="CD2704" s="6"/>
      <c r="CE2704" s="6"/>
      <c r="CF2704" s="6"/>
      <c r="CG2704" s="6"/>
      <c r="CH2704" s="6"/>
      <c r="CI2704" s="6"/>
      <c r="CJ2704" s="6"/>
      <c r="CK2704" s="6"/>
      <c r="CL2704" s="6"/>
      <c r="CM2704" s="6"/>
      <c r="CN2704" s="6"/>
      <c r="CO2704" s="6"/>
      <c r="CP2704" s="6"/>
      <c r="CQ2704" s="6"/>
      <c r="CR2704" s="6"/>
      <c r="CS2704" s="6"/>
      <c r="CT2704" s="6"/>
      <c r="CU2704" s="6"/>
      <c r="CV2704" s="6"/>
      <c r="CW2704" s="6"/>
      <c r="CX2704" s="6"/>
      <c r="CY2704" s="6"/>
      <c r="CZ2704" s="6"/>
      <c r="DA2704" s="6"/>
      <c r="DB2704" s="6"/>
      <c r="DC2704" s="6"/>
      <c r="DD2704" s="6"/>
    </row>
    <row r="2705" spans="1:108" ht="12.75" hidden="1" customHeight="1" outlineLevel="6">
      <c r="A2705" s="104" t="s">
        <v>126</v>
      </c>
      <c r="B2705" s="38" t="e">
        <f ca="1">B2704</f>
        <v>#VALUE!</v>
      </c>
      <c r="C2705" s="11"/>
      <c r="D2705" s="18" t="e">
        <f t="shared" ca="1" si="155"/>
        <v>#VALUE!</v>
      </c>
      <c r="F2705" s="6"/>
      <c r="G2705" s="6"/>
      <c r="H2705" s="6"/>
      <c r="I2705" s="6"/>
      <c r="J2705" s="6"/>
      <c r="K2705" s="6"/>
      <c r="L2705" s="6"/>
      <c r="M2705" s="6"/>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c r="BU2705" s="6"/>
      <c r="BV2705" s="6"/>
      <c r="BW2705" s="6"/>
      <c r="BX2705" s="6"/>
      <c r="BY2705" s="6"/>
      <c r="BZ2705" s="6"/>
      <c r="CA2705" s="6"/>
      <c r="CB2705" s="6"/>
      <c r="CC2705" s="6"/>
      <c r="CD2705" s="6"/>
      <c r="CE2705" s="6"/>
      <c r="CF2705" s="6"/>
      <c r="CG2705" s="6"/>
      <c r="CH2705" s="6"/>
      <c r="CI2705" s="6"/>
      <c r="CJ2705" s="6"/>
      <c r="CK2705" s="6"/>
      <c r="CL2705" s="6"/>
      <c r="CM2705" s="6"/>
      <c r="CN2705" s="6"/>
      <c r="CO2705" s="6"/>
      <c r="CP2705" s="6"/>
      <c r="CQ2705" s="6"/>
      <c r="CR2705" s="6"/>
      <c r="CS2705" s="6"/>
      <c r="CT2705" s="6"/>
      <c r="CU2705" s="6"/>
      <c r="CV2705" s="6"/>
      <c r="CW2705" s="6"/>
      <c r="CX2705" s="6"/>
      <c r="CY2705" s="6"/>
      <c r="CZ2705" s="6"/>
      <c r="DA2705" s="6"/>
      <c r="DB2705" s="6"/>
      <c r="DC2705" s="6"/>
      <c r="DD2705" s="6"/>
    </row>
    <row r="2706" spans="1:108" ht="12.75" hidden="1" customHeight="1" outlineLevel="6">
      <c r="A2706" s="104" t="s">
        <v>8</v>
      </c>
      <c r="B2706" s="28">
        <f t="shared" si="154"/>
        <v>50</v>
      </c>
      <c r="C2706" s="11"/>
      <c r="D2706" s="18" t="str">
        <f t="shared" si="155"/>
        <v>&lt;Sweep&gt;50.000000&lt;/Sweep&gt;</v>
      </c>
      <c r="F2706" s="6"/>
      <c r="G2706" s="6"/>
      <c r="H2706" s="6"/>
      <c r="I2706" s="6"/>
      <c r="J2706" s="6"/>
      <c r="K2706" s="6"/>
      <c r="L2706" s="6"/>
      <c r="M2706" s="6"/>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c r="BU2706" s="6"/>
      <c r="BV2706" s="6"/>
      <c r="BW2706" s="6"/>
      <c r="BX2706" s="6"/>
      <c r="BY2706" s="6"/>
      <c r="BZ2706" s="6"/>
      <c r="CA2706" s="6"/>
      <c r="CB2706" s="6"/>
      <c r="CC2706" s="6"/>
      <c r="CD2706" s="6"/>
      <c r="CE2706" s="6"/>
      <c r="CF2706" s="6"/>
      <c r="CG2706" s="6"/>
      <c r="CH2706" s="6"/>
      <c r="CI2706" s="6"/>
      <c r="CJ2706" s="6"/>
      <c r="CK2706" s="6"/>
      <c r="CL2706" s="6"/>
      <c r="CM2706" s="6"/>
      <c r="CN2706" s="6"/>
      <c r="CO2706" s="6"/>
      <c r="CP2706" s="6"/>
      <c r="CQ2706" s="6"/>
      <c r="CR2706" s="6"/>
      <c r="CS2706" s="6"/>
      <c r="CT2706" s="6"/>
      <c r="CU2706" s="6"/>
      <c r="CV2706" s="6"/>
      <c r="CW2706" s="6"/>
      <c r="CX2706" s="6"/>
      <c r="CY2706" s="6"/>
      <c r="CZ2706" s="6"/>
      <c r="DA2706" s="6"/>
      <c r="DB2706" s="6"/>
      <c r="DC2706" s="6"/>
      <c r="DD2706" s="6"/>
    </row>
    <row r="2707" spans="1:108" ht="12.75" hidden="1" customHeight="1" outlineLevel="6">
      <c r="A2707" s="104" t="s">
        <v>127</v>
      </c>
      <c r="B2707" s="28">
        <f t="shared" si="154"/>
        <v>0</v>
      </c>
      <c r="C2707" s="11"/>
      <c r="D2707" s="18" t="str">
        <f t="shared" si="155"/>
        <v>&lt;SweepLoc&gt;0.000000&lt;/SweepLoc&gt;</v>
      </c>
      <c r="F2707" s="6"/>
      <c r="G2707" s="6"/>
      <c r="H2707" s="6"/>
      <c r="I2707" s="6"/>
      <c r="J2707" s="6"/>
      <c r="K2707" s="6"/>
      <c r="L2707" s="6"/>
      <c r="M2707" s="6"/>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c r="BU2707" s="6"/>
      <c r="BV2707" s="6"/>
      <c r="BW2707" s="6"/>
      <c r="BX2707" s="6"/>
      <c r="BY2707" s="6"/>
      <c r="BZ2707" s="6"/>
      <c r="CA2707" s="6"/>
      <c r="CB2707" s="6"/>
      <c r="CC2707" s="6"/>
      <c r="CD2707" s="6"/>
      <c r="CE2707" s="6"/>
      <c r="CF2707" s="6"/>
      <c r="CG2707" s="6"/>
      <c r="CH2707" s="6"/>
      <c r="CI2707" s="6"/>
      <c r="CJ2707" s="6"/>
      <c r="CK2707" s="6"/>
      <c r="CL2707" s="6"/>
      <c r="CM2707" s="6"/>
      <c r="CN2707" s="6"/>
      <c r="CO2707" s="6"/>
      <c r="CP2707" s="6"/>
      <c r="CQ2707" s="6"/>
      <c r="CR2707" s="6"/>
      <c r="CS2707" s="6"/>
      <c r="CT2707" s="6"/>
      <c r="CU2707" s="6"/>
      <c r="CV2707" s="6"/>
      <c r="CW2707" s="6"/>
      <c r="CX2707" s="6"/>
      <c r="CY2707" s="6"/>
      <c r="CZ2707" s="6"/>
      <c r="DA2707" s="6"/>
      <c r="DB2707" s="6"/>
      <c r="DC2707" s="6"/>
      <c r="DD2707" s="6"/>
    </row>
    <row r="2708" spans="1:108" ht="12.75" hidden="1" customHeight="1" outlineLevel="6">
      <c r="A2708" s="104" t="s">
        <v>9</v>
      </c>
      <c r="B2708" s="28">
        <f t="shared" si="154"/>
        <v>0</v>
      </c>
      <c r="C2708" s="11"/>
      <c r="D2708" s="18" t="str">
        <f t="shared" si="155"/>
        <v>&lt;Twist&gt;0.000000&lt;/Twist&gt;</v>
      </c>
      <c r="F2708" s="6"/>
      <c r="G2708" s="6"/>
      <c r="H2708" s="6"/>
      <c r="I2708" s="6"/>
      <c r="J2708" s="6"/>
      <c r="K2708" s="6"/>
      <c r="L2708" s="6"/>
      <c r="M2708" s="6"/>
      <c r="N2708" s="6"/>
      <c r="O2708" s="6"/>
      <c r="P2708" s="6"/>
      <c r="Q2708" s="6"/>
      <c r="R2708" s="6"/>
      <c r="S2708" s="6"/>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c r="BU2708" s="6"/>
      <c r="BV2708" s="6"/>
      <c r="BW2708" s="6"/>
      <c r="BX2708" s="6"/>
      <c r="BY2708" s="6"/>
      <c r="BZ2708" s="6"/>
      <c r="CA2708" s="6"/>
      <c r="CB2708" s="6"/>
      <c r="CC2708" s="6"/>
      <c r="CD2708" s="6"/>
      <c r="CE2708" s="6"/>
      <c r="CF2708" s="6"/>
      <c r="CG2708" s="6"/>
      <c r="CH2708" s="6"/>
      <c r="CI2708" s="6"/>
      <c r="CJ2708" s="6"/>
      <c r="CK2708" s="6"/>
      <c r="CL2708" s="6"/>
      <c r="CM2708" s="6"/>
      <c r="CN2708" s="6"/>
      <c r="CO2708" s="6"/>
      <c r="CP2708" s="6"/>
      <c r="CQ2708" s="6"/>
      <c r="CR2708" s="6"/>
      <c r="CS2708" s="6"/>
      <c r="CT2708" s="6"/>
      <c r="CU2708" s="6"/>
      <c r="CV2708" s="6"/>
      <c r="CW2708" s="6"/>
      <c r="CX2708" s="6"/>
      <c r="CY2708" s="6"/>
      <c r="CZ2708" s="6"/>
      <c r="DA2708" s="6"/>
      <c r="DB2708" s="6"/>
      <c r="DC2708" s="6"/>
      <c r="DD2708" s="6"/>
    </row>
    <row r="2709" spans="1:108" ht="12.75" hidden="1" customHeight="1" outlineLevel="6">
      <c r="A2709" s="104" t="s">
        <v>128</v>
      </c>
      <c r="B2709" s="28">
        <f t="shared" si="154"/>
        <v>0</v>
      </c>
      <c r="C2709" s="11"/>
      <c r="D2709" s="18" t="str">
        <f t="shared" si="155"/>
        <v>&lt;TwistLoc&gt;0.000000&lt;/TwistLoc&gt;</v>
      </c>
      <c r="F2709" s="6"/>
      <c r="G2709" s="6"/>
      <c r="H2709" s="6"/>
      <c r="I2709" s="6"/>
      <c r="J2709" s="6"/>
      <c r="K2709" s="6"/>
      <c r="L2709" s="6"/>
      <c r="M2709" s="6"/>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c r="BU2709" s="6"/>
      <c r="BV2709" s="6"/>
      <c r="BW2709" s="6"/>
      <c r="BX2709" s="6"/>
      <c r="BY2709" s="6"/>
      <c r="BZ2709" s="6"/>
      <c r="CA2709" s="6"/>
      <c r="CB2709" s="6"/>
      <c r="CC2709" s="6"/>
      <c r="CD2709" s="6"/>
      <c r="CE2709" s="6"/>
      <c r="CF2709" s="6"/>
      <c r="CG2709" s="6"/>
      <c r="CH2709" s="6"/>
      <c r="CI2709" s="6"/>
      <c r="CJ2709" s="6"/>
      <c r="CK2709" s="6"/>
      <c r="CL2709" s="6"/>
      <c r="CM2709" s="6"/>
      <c r="CN2709" s="6"/>
      <c r="CO2709" s="6"/>
      <c r="CP2709" s="6"/>
      <c r="CQ2709" s="6"/>
      <c r="CR2709" s="6"/>
      <c r="CS2709" s="6"/>
      <c r="CT2709" s="6"/>
      <c r="CU2709" s="6"/>
      <c r="CV2709" s="6"/>
      <c r="CW2709" s="6"/>
      <c r="CX2709" s="6"/>
      <c r="CY2709" s="6"/>
      <c r="CZ2709" s="6"/>
      <c r="DA2709" s="6"/>
      <c r="DB2709" s="6"/>
      <c r="DC2709" s="6"/>
      <c r="DD2709" s="6"/>
    </row>
    <row r="2710" spans="1:108" ht="12.75" hidden="1" customHeight="1" outlineLevel="6">
      <c r="A2710" s="104" t="s">
        <v>10</v>
      </c>
      <c r="B2710" s="28">
        <f t="shared" si="154"/>
        <v>0</v>
      </c>
      <c r="C2710" s="11"/>
      <c r="D2710" s="18" t="str">
        <f t="shared" si="155"/>
        <v>&lt;Dihedral&gt;0.000000&lt;/Dihedral&gt;</v>
      </c>
      <c r="F2710" s="6"/>
      <c r="G2710" s="6"/>
      <c r="H2710" s="6"/>
      <c r="I2710" s="6"/>
      <c r="J2710" s="6"/>
      <c r="K2710" s="6"/>
      <c r="L2710" s="6"/>
      <c r="M2710" s="6"/>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c r="BU2710" s="6"/>
      <c r="BV2710" s="6"/>
      <c r="BW2710" s="6"/>
      <c r="BX2710" s="6"/>
      <c r="BY2710" s="6"/>
      <c r="BZ2710" s="6"/>
      <c r="CA2710" s="6"/>
      <c r="CB2710" s="6"/>
      <c r="CC2710" s="6"/>
      <c r="CD2710" s="6"/>
      <c r="CE2710" s="6"/>
      <c r="CF2710" s="6"/>
      <c r="CG2710" s="6"/>
      <c r="CH2710" s="6"/>
      <c r="CI2710" s="6"/>
      <c r="CJ2710" s="6"/>
      <c r="CK2710" s="6"/>
      <c r="CL2710" s="6"/>
      <c r="CM2710" s="6"/>
      <c r="CN2710" s="6"/>
      <c r="CO2710" s="6"/>
      <c r="CP2710" s="6"/>
      <c r="CQ2710" s="6"/>
      <c r="CR2710" s="6"/>
      <c r="CS2710" s="6"/>
      <c r="CT2710" s="6"/>
      <c r="CU2710" s="6"/>
      <c r="CV2710" s="6"/>
      <c r="CW2710" s="6"/>
      <c r="CX2710" s="6"/>
      <c r="CY2710" s="6"/>
      <c r="CZ2710" s="6"/>
      <c r="DA2710" s="6"/>
      <c r="DB2710" s="6"/>
      <c r="DC2710" s="6"/>
      <c r="DD2710" s="6"/>
    </row>
    <row r="2711" spans="1:108" ht="12.75" hidden="1" customHeight="1" outlineLevel="6">
      <c r="A2711" s="104" t="s">
        <v>129</v>
      </c>
      <c r="B2711" s="28">
        <f t="shared" si="154"/>
        <v>0</v>
      </c>
      <c r="C2711" s="11"/>
      <c r="D2711" s="18" t="str">
        <f t="shared" si="155"/>
        <v>&lt;Dihed_Crv1&gt;0.000000&lt;/Dihed_Crv1&gt;</v>
      </c>
      <c r="F2711" s="6"/>
      <c r="G2711" s="6"/>
      <c r="H2711" s="6"/>
      <c r="I2711" s="6"/>
      <c r="J2711" s="6"/>
      <c r="K2711" s="6"/>
      <c r="L2711" s="6"/>
      <c r="M2711" s="6"/>
      <c r="N2711" s="6"/>
      <c r="O2711" s="6"/>
      <c r="P2711" s="6"/>
      <c r="Q2711" s="6"/>
      <c r="R2711" s="6"/>
      <c r="S2711" s="6"/>
      <c r="T2711" s="6"/>
      <c r="U2711" s="6"/>
      <c r="V2711" s="6"/>
      <c r="W2711" s="6"/>
      <c r="X2711" s="6"/>
      <c r="Y2711" s="6"/>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c r="BU2711" s="6"/>
      <c r="BV2711" s="6"/>
      <c r="BW2711" s="6"/>
      <c r="BX2711" s="6"/>
      <c r="BY2711" s="6"/>
      <c r="BZ2711" s="6"/>
      <c r="CA2711" s="6"/>
      <c r="CB2711" s="6"/>
      <c r="CC2711" s="6"/>
      <c r="CD2711" s="6"/>
      <c r="CE2711" s="6"/>
      <c r="CF2711" s="6"/>
      <c r="CG2711" s="6"/>
      <c r="CH2711" s="6"/>
      <c r="CI2711" s="6"/>
      <c r="CJ2711" s="6"/>
      <c r="CK2711" s="6"/>
      <c r="CL2711" s="6"/>
      <c r="CM2711" s="6"/>
      <c r="CN2711" s="6"/>
      <c r="CO2711" s="6"/>
      <c r="CP2711" s="6"/>
      <c r="CQ2711" s="6"/>
      <c r="CR2711" s="6"/>
      <c r="CS2711" s="6"/>
      <c r="CT2711" s="6"/>
      <c r="CU2711" s="6"/>
      <c r="CV2711" s="6"/>
      <c r="CW2711" s="6"/>
      <c r="CX2711" s="6"/>
      <c r="CY2711" s="6"/>
      <c r="CZ2711" s="6"/>
      <c r="DA2711" s="6"/>
      <c r="DB2711" s="6"/>
      <c r="DC2711" s="6"/>
      <c r="DD2711" s="6"/>
    </row>
    <row r="2712" spans="1:108" ht="12.75" hidden="1" customHeight="1" outlineLevel="6">
      <c r="A2712" s="104" t="s">
        <v>130</v>
      </c>
      <c r="B2712" s="28">
        <f t="shared" si="154"/>
        <v>0</v>
      </c>
      <c r="C2712" s="11"/>
      <c r="D2712" s="18" t="str">
        <f t="shared" si="155"/>
        <v>&lt;Dihed_Crv2&gt;0.000000&lt;/Dihed_Crv2&gt;</v>
      </c>
      <c r="F2712" s="6"/>
      <c r="G2712" s="6"/>
      <c r="H2712" s="6"/>
      <c r="I2712" s="6"/>
      <c r="J2712" s="6"/>
      <c r="K2712" s="6"/>
      <c r="L2712" s="6"/>
      <c r="M2712" s="6"/>
      <c r="N2712" s="6"/>
      <c r="O2712" s="6"/>
      <c r="P2712" s="6"/>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c r="BU2712" s="6"/>
      <c r="BV2712" s="6"/>
      <c r="BW2712" s="6"/>
      <c r="BX2712" s="6"/>
      <c r="BY2712" s="6"/>
      <c r="BZ2712" s="6"/>
      <c r="CA2712" s="6"/>
      <c r="CB2712" s="6"/>
      <c r="CC2712" s="6"/>
      <c r="CD2712" s="6"/>
      <c r="CE2712" s="6"/>
      <c r="CF2712" s="6"/>
      <c r="CG2712" s="6"/>
      <c r="CH2712" s="6"/>
      <c r="CI2712" s="6"/>
      <c r="CJ2712" s="6"/>
      <c r="CK2712" s="6"/>
      <c r="CL2712" s="6"/>
      <c r="CM2712" s="6"/>
      <c r="CN2712" s="6"/>
      <c r="CO2712" s="6"/>
      <c r="CP2712" s="6"/>
      <c r="CQ2712" s="6"/>
      <c r="CR2712" s="6"/>
      <c r="CS2712" s="6"/>
      <c r="CT2712" s="6"/>
      <c r="CU2712" s="6"/>
      <c r="CV2712" s="6"/>
      <c r="CW2712" s="6"/>
      <c r="CX2712" s="6"/>
      <c r="CY2712" s="6"/>
      <c r="CZ2712" s="6"/>
      <c r="DA2712" s="6"/>
      <c r="DB2712" s="6"/>
      <c r="DC2712" s="6"/>
      <c r="DD2712" s="6"/>
    </row>
    <row r="2713" spans="1:108" ht="12.75" hidden="1" customHeight="1" outlineLevel="6">
      <c r="A2713" s="104" t="s">
        <v>131</v>
      </c>
      <c r="B2713" s="28">
        <f t="shared" si="154"/>
        <v>0.75</v>
      </c>
      <c r="C2713" s="11"/>
      <c r="D2713" s="18" t="str">
        <f t="shared" si="155"/>
        <v>&lt;Dihed_Crv1_Str&gt;0.750000&lt;/Dihed_Crv1_Str&gt;</v>
      </c>
      <c r="F2713" s="6"/>
      <c r="G2713" s="6"/>
      <c r="H2713" s="6"/>
      <c r="I2713" s="6"/>
      <c r="J2713" s="6"/>
      <c r="K2713" s="6"/>
      <c r="L2713" s="6"/>
      <c r="M2713" s="6"/>
      <c r="N2713" s="6"/>
      <c r="O2713" s="6"/>
      <c r="P2713" s="6"/>
      <c r="Q2713" s="6"/>
      <c r="R2713" s="6"/>
      <c r="S2713" s="6"/>
      <c r="T2713" s="6"/>
      <c r="U2713" s="6"/>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c r="BU2713" s="6"/>
      <c r="BV2713" s="6"/>
      <c r="BW2713" s="6"/>
      <c r="BX2713" s="6"/>
      <c r="BY2713" s="6"/>
      <c r="BZ2713" s="6"/>
      <c r="CA2713" s="6"/>
      <c r="CB2713" s="6"/>
      <c r="CC2713" s="6"/>
      <c r="CD2713" s="6"/>
      <c r="CE2713" s="6"/>
      <c r="CF2713" s="6"/>
      <c r="CG2713" s="6"/>
      <c r="CH2713" s="6"/>
      <c r="CI2713" s="6"/>
      <c r="CJ2713" s="6"/>
      <c r="CK2713" s="6"/>
      <c r="CL2713" s="6"/>
      <c r="CM2713" s="6"/>
      <c r="CN2713" s="6"/>
      <c r="CO2713" s="6"/>
      <c r="CP2713" s="6"/>
      <c r="CQ2713" s="6"/>
      <c r="CR2713" s="6"/>
      <c r="CS2713" s="6"/>
      <c r="CT2713" s="6"/>
      <c r="CU2713" s="6"/>
      <c r="CV2713" s="6"/>
      <c r="CW2713" s="6"/>
      <c r="CX2713" s="6"/>
      <c r="CY2713" s="6"/>
      <c r="CZ2713" s="6"/>
      <c r="DA2713" s="6"/>
      <c r="DB2713" s="6"/>
      <c r="DC2713" s="6"/>
      <c r="DD2713" s="6"/>
    </row>
    <row r="2714" spans="1:108" ht="12.75" hidden="1" customHeight="1" outlineLevel="6">
      <c r="A2714" s="104" t="s">
        <v>132</v>
      </c>
      <c r="B2714" s="28">
        <f t="shared" si="154"/>
        <v>0.75</v>
      </c>
      <c r="C2714" s="11"/>
      <c r="D2714" s="18" t="str">
        <f t="shared" si="155"/>
        <v>&lt;Dihed_Crv2_Str&gt;0.750000&lt;/Dihed_Crv2_Str&gt;</v>
      </c>
      <c r="F2714" s="6"/>
      <c r="G2714" s="6"/>
      <c r="H2714" s="6"/>
      <c r="I2714" s="6"/>
      <c r="J2714" s="6"/>
      <c r="K2714" s="6"/>
      <c r="L2714" s="6"/>
      <c r="M2714" s="6"/>
      <c r="N2714" s="6"/>
      <c r="O2714" s="6"/>
      <c r="P2714" s="6"/>
      <c r="Q2714" s="6"/>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c r="BU2714" s="6"/>
      <c r="BV2714" s="6"/>
      <c r="BW2714" s="6"/>
      <c r="BX2714" s="6"/>
      <c r="BY2714" s="6"/>
      <c r="BZ2714" s="6"/>
      <c r="CA2714" s="6"/>
      <c r="CB2714" s="6"/>
      <c r="CC2714" s="6"/>
      <c r="CD2714" s="6"/>
      <c r="CE2714" s="6"/>
      <c r="CF2714" s="6"/>
      <c r="CG2714" s="6"/>
      <c r="CH2714" s="6"/>
      <c r="CI2714" s="6"/>
      <c r="CJ2714" s="6"/>
      <c r="CK2714" s="6"/>
      <c r="CL2714" s="6"/>
      <c r="CM2714" s="6"/>
      <c r="CN2714" s="6"/>
      <c r="CO2714" s="6"/>
      <c r="CP2714" s="6"/>
      <c r="CQ2714" s="6"/>
      <c r="CR2714" s="6"/>
      <c r="CS2714" s="6"/>
      <c r="CT2714" s="6"/>
      <c r="CU2714" s="6"/>
      <c r="CV2714" s="6"/>
      <c r="CW2714" s="6"/>
      <c r="CX2714" s="6"/>
      <c r="CY2714" s="6"/>
      <c r="CZ2714" s="6"/>
      <c r="DA2714" s="6"/>
      <c r="DB2714" s="6"/>
      <c r="DC2714" s="6"/>
      <c r="DD2714" s="6"/>
    </row>
    <row r="2715" spans="1:108" ht="12.75" hidden="1" customHeight="1" outlineLevel="6">
      <c r="A2715" s="104" t="s">
        <v>133</v>
      </c>
      <c r="B2715" s="28">
        <f t="shared" si="154"/>
        <v>0</v>
      </c>
      <c r="C2715" s="11"/>
      <c r="D2715" s="18" t="str">
        <f>"&lt;" &amp; A2715 &amp; "&gt;" &amp; TEXT(B2715,0) &amp; "&lt;/" &amp; A2715 &amp; "&gt;"</f>
        <v>&lt;DihedRotFlag&gt;0&lt;/DihedRotFlag&gt;</v>
      </c>
      <c r="F2715" s="6"/>
      <c r="G2715" s="6"/>
      <c r="H2715" s="6"/>
      <c r="I2715" s="6"/>
      <c r="J2715" s="6"/>
      <c r="K2715" s="6"/>
      <c r="L2715" s="6"/>
      <c r="M2715" s="6"/>
      <c r="N2715" s="6"/>
      <c r="O2715" s="6"/>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c r="BU2715" s="6"/>
      <c r="BV2715" s="6"/>
      <c r="BW2715" s="6"/>
      <c r="BX2715" s="6"/>
      <c r="BY2715" s="6"/>
      <c r="BZ2715" s="6"/>
      <c r="CA2715" s="6"/>
      <c r="CB2715" s="6"/>
      <c r="CC2715" s="6"/>
      <c r="CD2715" s="6"/>
      <c r="CE2715" s="6"/>
      <c r="CF2715" s="6"/>
      <c r="CG2715" s="6"/>
      <c r="CH2715" s="6"/>
      <c r="CI2715" s="6"/>
      <c r="CJ2715" s="6"/>
      <c r="CK2715" s="6"/>
      <c r="CL2715" s="6"/>
      <c r="CM2715" s="6"/>
      <c r="CN2715" s="6"/>
      <c r="CO2715" s="6"/>
      <c r="CP2715" s="6"/>
      <c r="CQ2715" s="6"/>
      <c r="CR2715" s="6"/>
      <c r="CS2715" s="6"/>
      <c r="CT2715" s="6"/>
      <c r="CU2715" s="6"/>
      <c r="CV2715" s="6"/>
      <c r="CW2715" s="6"/>
      <c r="CX2715" s="6"/>
      <c r="CY2715" s="6"/>
      <c r="CZ2715" s="6"/>
      <c r="DA2715" s="6"/>
      <c r="DB2715" s="6"/>
      <c r="DC2715" s="6"/>
      <c r="DD2715" s="6"/>
    </row>
    <row r="2716" spans="1:108" ht="12.75" hidden="1" customHeight="1" outlineLevel="6">
      <c r="A2716" s="104" t="s">
        <v>134</v>
      </c>
      <c r="B2716" s="28">
        <f t="shared" si="154"/>
        <v>0</v>
      </c>
      <c r="C2716" s="11"/>
      <c r="D2716" s="18" t="str">
        <f>"&lt;" &amp; A2716 &amp; "&gt;" &amp; TEXT(B2716,0) &amp; "&lt;/" &amp; A2716 &amp; "&gt;"</f>
        <v>&lt;SmoothBlendFlag&gt;0&lt;/SmoothBlendFlag&gt;</v>
      </c>
      <c r="F2716" s="6"/>
      <c r="G2716" s="6"/>
      <c r="H2716" s="6"/>
      <c r="I2716" s="6"/>
      <c r="J2716" s="6"/>
      <c r="K2716" s="6"/>
      <c r="L2716" s="6"/>
      <c r="M2716" s="6"/>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c r="BU2716" s="6"/>
      <c r="BV2716" s="6"/>
      <c r="BW2716" s="6"/>
      <c r="BX2716" s="6"/>
      <c r="BY2716" s="6"/>
      <c r="BZ2716" s="6"/>
      <c r="CA2716" s="6"/>
      <c r="CB2716" s="6"/>
      <c r="CC2716" s="6"/>
      <c r="CD2716" s="6"/>
      <c r="CE2716" s="6"/>
      <c r="CF2716" s="6"/>
      <c r="CG2716" s="6"/>
      <c r="CH2716" s="6"/>
      <c r="CI2716" s="6"/>
      <c r="CJ2716" s="6"/>
      <c r="CK2716" s="6"/>
      <c r="CL2716" s="6"/>
      <c r="CM2716" s="6"/>
      <c r="CN2716" s="6"/>
      <c r="CO2716" s="6"/>
      <c r="CP2716" s="6"/>
      <c r="CQ2716" s="6"/>
      <c r="CR2716" s="6"/>
      <c r="CS2716" s="6"/>
      <c r="CT2716" s="6"/>
      <c r="CU2716" s="6"/>
      <c r="CV2716" s="6"/>
      <c r="CW2716" s="6"/>
      <c r="CX2716" s="6"/>
      <c r="CY2716" s="6"/>
      <c r="CZ2716" s="6"/>
      <c r="DA2716" s="6"/>
      <c r="DB2716" s="6"/>
      <c r="DC2716" s="6"/>
      <c r="DD2716" s="6"/>
    </row>
    <row r="2717" spans="1:108" ht="12.75" hidden="1" customHeight="1" outlineLevel="6">
      <c r="A2717" s="104" t="s">
        <v>135</v>
      </c>
      <c r="B2717" s="28">
        <f t="shared" si="154"/>
        <v>1</v>
      </c>
      <c r="C2717" s="11"/>
      <c r="D2717" s="18" t="str">
        <f>"&lt;" &amp; A2717 &amp; "&gt;" &amp; TEXT(B2717,0) &amp; "&lt;/" &amp; A2717 &amp; "&gt;"</f>
        <v>&lt;NumInterpXsecs&gt;1&lt;/NumInterpXsecs&gt;</v>
      </c>
      <c r="F2717" s="6"/>
      <c r="G2717" s="6"/>
      <c r="H2717" s="6"/>
      <c r="I2717" s="6"/>
      <c r="J2717" s="6"/>
      <c r="K2717" s="6"/>
      <c r="L2717" s="6"/>
      <c r="M2717" s="6"/>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c r="BU2717" s="6"/>
      <c r="BV2717" s="6"/>
      <c r="BW2717" s="6"/>
      <c r="BX2717" s="6"/>
      <c r="BY2717" s="6"/>
      <c r="BZ2717" s="6"/>
      <c r="CA2717" s="6"/>
      <c r="CB2717" s="6"/>
      <c r="CC2717" s="6"/>
      <c r="CD2717" s="6"/>
      <c r="CE2717" s="6"/>
      <c r="CF2717" s="6"/>
      <c r="CG2717" s="6"/>
      <c r="CH2717" s="6"/>
      <c r="CI2717" s="6"/>
      <c r="CJ2717" s="6"/>
      <c r="CK2717" s="6"/>
      <c r="CL2717" s="6"/>
      <c r="CM2717" s="6"/>
      <c r="CN2717" s="6"/>
      <c r="CO2717" s="6"/>
      <c r="CP2717" s="6"/>
      <c r="CQ2717" s="6"/>
      <c r="CR2717" s="6"/>
      <c r="CS2717" s="6"/>
      <c r="CT2717" s="6"/>
      <c r="CU2717" s="6"/>
      <c r="CV2717" s="6"/>
      <c r="CW2717" s="6"/>
      <c r="CX2717" s="6"/>
      <c r="CY2717" s="6"/>
      <c r="CZ2717" s="6"/>
      <c r="DA2717" s="6"/>
      <c r="DB2717" s="6"/>
      <c r="DC2717" s="6"/>
      <c r="DD2717" s="6"/>
    </row>
    <row r="2718" spans="1:108" ht="12.75" hidden="1" customHeight="1" outlineLevel="6">
      <c r="A2718" s="104" t="s">
        <v>136</v>
      </c>
      <c r="B2718" s="100"/>
      <c r="C2718" s="11"/>
      <c r="D2718" s="6" t="str">
        <f>"&lt;" &amp; A2718 &amp; "&gt;"</f>
        <v>&lt;/Section&gt;</v>
      </c>
      <c r="F2718" s="6"/>
      <c r="G2718" s="6"/>
      <c r="H2718" s="6"/>
      <c r="I2718" s="6"/>
      <c r="J2718" s="6"/>
      <c r="K2718" s="6"/>
      <c r="L2718" s="6"/>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c r="BU2718" s="6"/>
      <c r="BV2718" s="6"/>
      <c r="BW2718" s="6"/>
      <c r="BX2718" s="6"/>
      <c r="BY2718" s="6"/>
      <c r="BZ2718" s="6"/>
      <c r="CA2718" s="6"/>
      <c r="CB2718" s="6"/>
      <c r="CC2718" s="6"/>
      <c r="CD2718" s="6"/>
      <c r="CE2718" s="6"/>
      <c r="CF2718" s="6"/>
      <c r="CG2718" s="6"/>
      <c r="CH2718" s="6"/>
      <c r="CI2718" s="6"/>
      <c r="CJ2718" s="6"/>
      <c r="CK2718" s="6"/>
      <c r="CL2718" s="6"/>
      <c r="CM2718" s="6"/>
      <c r="CN2718" s="6"/>
      <c r="CO2718" s="6"/>
      <c r="CP2718" s="6"/>
      <c r="CQ2718" s="6"/>
      <c r="CR2718" s="6"/>
      <c r="CS2718" s="6"/>
      <c r="CT2718" s="6"/>
      <c r="CU2718" s="6"/>
      <c r="CV2718" s="6"/>
      <c r="CW2718" s="6"/>
      <c r="CX2718" s="6"/>
      <c r="CY2718" s="6"/>
      <c r="CZ2718" s="6"/>
      <c r="DA2718" s="6"/>
      <c r="DB2718" s="6"/>
      <c r="DC2718" s="6"/>
      <c r="DD2718" s="6"/>
    </row>
    <row r="2719" spans="1:108" ht="12.75" hidden="1" customHeight="1" outlineLevel="5">
      <c r="A2719" s="104" t="s">
        <v>137</v>
      </c>
      <c r="B2719" s="100"/>
      <c r="C2719" s="11"/>
      <c r="D2719" s="6" t="str">
        <f>"&lt;" &amp; A2719 &amp; "&gt;"</f>
        <v>&lt;/Section_List&gt;</v>
      </c>
      <c r="F2719" s="6"/>
      <c r="G2719" s="6"/>
      <c r="H2719" s="6"/>
      <c r="I2719" s="6"/>
      <c r="J2719" s="6"/>
      <c r="K2719" s="6"/>
      <c r="L2719" s="6"/>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c r="BU2719" s="6"/>
      <c r="BV2719" s="6"/>
      <c r="BW2719" s="6"/>
      <c r="BX2719" s="6"/>
      <c r="BY2719" s="6"/>
      <c r="BZ2719" s="6"/>
      <c r="CA2719" s="6"/>
      <c r="CB2719" s="6"/>
      <c r="CC2719" s="6"/>
      <c r="CD2719" s="6"/>
      <c r="CE2719" s="6"/>
      <c r="CF2719" s="6"/>
      <c r="CG2719" s="6"/>
      <c r="CH2719" s="6"/>
      <c r="CI2719" s="6"/>
      <c r="CJ2719" s="6"/>
      <c r="CK2719" s="6"/>
      <c r="CL2719" s="6"/>
      <c r="CM2719" s="6"/>
      <c r="CN2719" s="6"/>
      <c r="CO2719" s="6"/>
      <c r="CP2719" s="6"/>
      <c r="CQ2719" s="6"/>
      <c r="CR2719" s="6"/>
      <c r="CS2719" s="6"/>
      <c r="CT2719" s="6"/>
      <c r="CU2719" s="6"/>
      <c r="CV2719" s="6"/>
      <c r="CW2719" s="6"/>
      <c r="CX2719" s="6"/>
      <c r="CY2719" s="6"/>
      <c r="CZ2719" s="6"/>
      <c r="DA2719" s="6"/>
      <c r="DB2719" s="6"/>
      <c r="DC2719" s="6"/>
      <c r="DD2719" s="6"/>
    </row>
    <row r="2720" spans="1:108" ht="12.75" hidden="1" customHeight="1" outlineLevel="4">
      <c r="A2720" s="104" t="s">
        <v>138</v>
      </c>
      <c r="B2720" s="100"/>
      <c r="C2720" s="11" t="str">
        <f>C2591</f>
        <v>Yes</v>
      </c>
      <c r="D2720" s="133" t="str">
        <f>IF(C2720="Yes",("&lt;"&amp;A2720&amp;"&gt;"),("&lt;"&amp;A2720&amp;"--&gt;"))</f>
        <v>&lt;/Component&gt;</v>
      </c>
      <c r="F2720" s="6"/>
      <c r="G2720" s="6"/>
      <c r="H2720" s="6"/>
      <c r="I2720" s="6"/>
      <c r="J2720" s="6"/>
      <c r="K2720" s="6"/>
      <c r="L2720" s="6"/>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c r="BU2720" s="6"/>
      <c r="BV2720" s="6"/>
      <c r="BW2720" s="6"/>
      <c r="BX2720" s="6"/>
      <c r="BY2720" s="6"/>
      <c r="BZ2720" s="6"/>
      <c r="CA2720" s="6"/>
      <c r="CB2720" s="6"/>
      <c r="CC2720" s="6"/>
      <c r="CD2720" s="6"/>
      <c r="CE2720" s="6"/>
      <c r="CF2720" s="6"/>
      <c r="CG2720" s="6"/>
      <c r="CH2720" s="6"/>
      <c r="CI2720" s="6"/>
      <c r="CJ2720" s="6"/>
      <c r="CK2720" s="6"/>
      <c r="CL2720" s="6"/>
      <c r="CM2720" s="6"/>
      <c r="CN2720" s="6"/>
      <c r="CO2720" s="6"/>
      <c r="CP2720" s="6"/>
      <c r="CQ2720" s="6"/>
      <c r="CR2720" s="6"/>
      <c r="CS2720" s="6"/>
      <c r="CT2720" s="6"/>
      <c r="CU2720" s="6"/>
      <c r="CV2720" s="6"/>
      <c r="CW2720" s="6"/>
      <c r="CX2720" s="6"/>
      <c r="CY2720" s="6"/>
      <c r="CZ2720" s="6"/>
      <c r="DA2720" s="6"/>
      <c r="DB2720" s="6"/>
      <c r="DC2720" s="6"/>
      <c r="DD2720" s="6"/>
    </row>
    <row r="2721" spans="1:108" ht="12.75" hidden="1" customHeight="1" outlineLevel="3" collapsed="1">
      <c r="A2721" s="104" t="s">
        <v>40</v>
      </c>
      <c r="B2721" s="110" t="s">
        <v>543</v>
      </c>
      <c r="C2721" s="2" t="str">
        <f>IF(AND(C2276="Yes",C2423="Yes"),"No","Yes")</f>
        <v>Yes</v>
      </c>
      <c r="D2721" s="6" t="str">
        <f>IF(C2721="Yes",("&lt;"&amp;A2721&amp;"&gt;"),("&lt;!--"&amp;A2721&amp;"&gt;"))</f>
        <v>&lt;Component&gt;</v>
      </c>
      <c r="F2721" s="6"/>
      <c r="G2721" s="6"/>
      <c r="H2721" s="6"/>
      <c r="I2721" s="6"/>
      <c r="J2721" s="6"/>
      <c r="K2721" s="6"/>
      <c r="L2721" s="6"/>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c r="BU2721" s="6"/>
      <c r="BV2721" s="6"/>
      <c r="BW2721" s="6"/>
      <c r="BX2721" s="6"/>
      <c r="BY2721" s="6"/>
      <c r="BZ2721" s="6"/>
      <c r="CA2721" s="6"/>
      <c r="CB2721" s="6"/>
      <c r="CC2721" s="6"/>
      <c r="CD2721" s="6"/>
      <c r="CE2721" s="6"/>
      <c r="CF2721" s="6"/>
      <c r="CG2721" s="6"/>
      <c r="CH2721" s="6"/>
      <c r="CI2721" s="6"/>
      <c r="CJ2721" s="6"/>
      <c r="CK2721" s="6"/>
      <c r="CL2721" s="6"/>
      <c r="CM2721" s="6"/>
      <c r="CN2721" s="6"/>
      <c r="CO2721" s="6"/>
      <c r="CP2721" s="6"/>
      <c r="CQ2721" s="6"/>
      <c r="CR2721" s="6"/>
      <c r="CS2721" s="6"/>
      <c r="CT2721" s="6"/>
      <c r="CU2721" s="6"/>
      <c r="CV2721" s="6"/>
      <c r="CW2721" s="6"/>
      <c r="CX2721" s="6"/>
      <c r="CY2721" s="6"/>
      <c r="CZ2721" s="6"/>
      <c r="DA2721" s="6"/>
      <c r="DB2721" s="6"/>
      <c r="DC2721" s="6"/>
      <c r="DD2721" s="6"/>
    </row>
    <row r="2722" spans="1:108" ht="12.75" hidden="1" customHeight="1" outlineLevel="4">
      <c r="A2722" s="104" t="s">
        <v>14</v>
      </c>
      <c r="B2722" s="100" t="s">
        <v>226</v>
      </c>
      <c r="C2722" s="11"/>
      <c r="D2722" s="18" t="str">
        <f>"&lt;" &amp; A2722 &amp; "&gt;" &amp; TEXT(B2722,"0.000000") &amp; "&lt;/" &amp; A2722 &amp; "&gt;"</f>
        <v>&lt;Type&gt;Engine&lt;/Type&gt;</v>
      </c>
      <c r="F2722" s="6"/>
      <c r="G2722" s="6"/>
      <c r="H2722" s="6"/>
      <c r="I2722" s="6"/>
      <c r="J2722" s="6"/>
      <c r="K2722" s="6"/>
      <c r="L2722" s="6"/>
      <c r="M2722" s="6"/>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c r="BU2722" s="6"/>
      <c r="BV2722" s="6"/>
      <c r="BW2722" s="6"/>
      <c r="BX2722" s="6"/>
      <c r="BY2722" s="6"/>
      <c r="BZ2722" s="6"/>
      <c r="CA2722" s="6"/>
      <c r="CB2722" s="6"/>
      <c r="CC2722" s="6"/>
      <c r="CD2722" s="6"/>
      <c r="CE2722" s="6"/>
      <c r="CF2722" s="6"/>
      <c r="CG2722" s="6"/>
      <c r="CH2722" s="6"/>
      <c r="CI2722" s="6"/>
      <c r="CJ2722" s="6"/>
      <c r="CK2722" s="6"/>
      <c r="CL2722" s="6"/>
      <c r="CM2722" s="6"/>
      <c r="CN2722" s="6"/>
      <c r="CO2722" s="6"/>
      <c r="CP2722" s="6"/>
      <c r="CQ2722" s="6"/>
      <c r="CR2722" s="6"/>
      <c r="CS2722" s="6"/>
      <c r="CT2722" s="6"/>
      <c r="CU2722" s="6"/>
      <c r="CV2722" s="6"/>
      <c r="CW2722" s="6"/>
      <c r="CX2722" s="6"/>
      <c r="CY2722" s="6"/>
      <c r="CZ2722" s="6"/>
      <c r="DA2722" s="6"/>
      <c r="DB2722" s="6"/>
      <c r="DC2722" s="6"/>
      <c r="DD2722" s="6"/>
    </row>
    <row r="2723" spans="1:108" ht="12.75" hidden="1" customHeight="1" outlineLevel="4" collapsed="1">
      <c r="A2723" s="104" t="s">
        <v>42</v>
      </c>
      <c r="B2723" s="100"/>
      <c r="C2723" s="11"/>
      <c r="D2723" s="6" t="str">
        <f>"&lt;" &amp; A2723 &amp; "&gt;"</f>
        <v>&lt;General_Parms&gt;</v>
      </c>
      <c r="F2723" s="6"/>
      <c r="G2723" s="6"/>
      <c r="H2723" s="6"/>
      <c r="I2723" s="6"/>
      <c r="J2723" s="6"/>
      <c r="K2723" s="6"/>
      <c r="L2723" s="6"/>
      <c r="M2723" s="6"/>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c r="BU2723" s="6"/>
      <c r="BV2723" s="6"/>
      <c r="BW2723" s="6"/>
      <c r="BX2723" s="6"/>
      <c r="BY2723" s="6"/>
      <c r="BZ2723" s="6"/>
      <c r="CA2723" s="6"/>
      <c r="CB2723" s="6"/>
      <c r="CC2723" s="6"/>
      <c r="CD2723" s="6"/>
      <c r="CE2723" s="6"/>
      <c r="CF2723" s="6"/>
      <c r="CG2723" s="6"/>
      <c r="CH2723" s="6"/>
      <c r="CI2723" s="6"/>
      <c r="CJ2723" s="6"/>
      <c r="CK2723" s="6"/>
      <c r="CL2723" s="6"/>
      <c r="CM2723" s="6"/>
      <c r="CN2723" s="6"/>
      <c r="CO2723" s="6"/>
      <c r="CP2723" s="6"/>
      <c r="CQ2723" s="6"/>
      <c r="CR2723" s="6"/>
      <c r="CS2723" s="6"/>
      <c r="CT2723" s="6"/>
      <c r="CU2723" s="6"/>
      <c r="CV2723" s="6"/>
      <c r="CW2723" s="6"/>
      <c r="CX2723" s="6"/>
      <c r="CY2723" s="6"/>
      <c r="CZ2723" s="6"/>
      <c r="DA2723" s="6"/>
      <c r="DB2723" s="6"/>
      <c r="DC2723" s="6"/>
      <c r="DD2723" s="6"/>
    </row>
    <row r="2724" spans="1:108" ht="12.75" hidden="1" customHeight="1" outlineLevel="5">
      <c r="A2724" s="104" t="s">
        <v>1</v>
      </c>
      <c r="B2724" s="100" t="str">
        <f t="shared" ref="B2724:B2767" si="156">B2191</f>
        <v>fan_section</v>
      </c>
      <c r="C2724" s="11"/>
      <c r="D2724" s="18" t="str">
        <f>"&lt;" &amp; A2724 &amp; "&gt;" &amp; TEXT(B2724,"0.000000") &amp; "&lt;/" &amp; A2724 &amp; "&gt;"</f>
        <v>&lt;Name&gt;fan_section&lt;/Name&gt;</v>
      </c>
      <c r="F2724" s="6"/>
      <c r="G2724" s="6"/>
      <c r="H2724" s="6"/>
      <c r="I2724" s="6"/>
      <c r="J2724" s="6"/>
      <c r="K2724" s="6"/>
      <c r="L2724" s="6"/>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c r="BU2724" s="6"/>
      <c r="BV2724" s="6"/>
      <c r="BW2724" s="6"/>
      <c r="BX2724" s="6"/>
      <c r="BY2724" s="6"/>
      <c r="BZ2724" s="6"/>
      <c r="CA2724" s="6"/>
      <c r="CB2724" s="6"/>
      <c r="CC2724" s="6"/>
      <c r="CD2724" s="6"/>
      <c r="CE2724" s="6"/>
      <c r="CF2724" s="6"/>
      <c r="CG2724" s="6"/>
      <c r="CH2724" s="6"/>
      <c r="CI2724" s="6"/>
      <c r="CJ2724" s="6"/>
      <c r="CK2724" s="6"/>
      <c r="CL2724" s="6"/>
      <c r="CM2724" s="6"/>
      <c r="CN2724" s="6"/>
      <c r="CO2724" s="6"/>
      <c r="CP2724" s="6"/>
      <c r="CQ2724" s="6"/>
      <c r="CR2724" s="6"/>
      <c r="CS2724" s="6"/>
      <c r="CT2724" s="6"/>
      <c r="CU2724" s="6"/>
      <c r="CV2724" s="6"/>
      <c r="CW2724" s="6"/>
      <c r="CX2724" s="6"/>
      <c r="CY2724" s="6"/>
      <c r="CZ2724" s="6"/>
      <c r="DA2724" s="6"/>
      <c r="DB2724" s="6"/>
      <c r="DC2724" s="6"/>
      <c r="DD2724" s="6"/>
    </row>
    <row r="2725" spans="1:108" ht="12.75" hidden="1" customHeight="1" outlineLevel="5">
      <c r="A2725" s="104" t="s">
        <v>43</v>
      </c>
      <c r="B2725" s="28">
        <f t="shared" si="156"/>
        <v>0</v>
      </c>
      <c r="C2725" s="11"/>
      <c r="D2725" s="18" t="str">
        <f>"&lt;" &amp; A2725 &amp; "&gt;" &amp; TEXT(B2725,"0.000000") &amp; "&lt;/" &amp; A2725 &amp; "&gt;"</f>
        <v>&lt;ColorR&gt;0.000000&lt;/ColorR&gt;</v>
      </c>
      <c r="F2725" s="6"/>
      <c r="G2725" s="6"/>
      <c r="H2725" s="6"/>
      <c r="I2725" s="6"/>
      <c r="J2725" s="6"/>
      <c r="K2725" s="6"/>
      <c r="L2725" s="6"/>
      <c r="M2725" s="6"/>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c r="BU2725" s="6"/>
      <c r="BV2725" s="6"/>
      <c r="BW2725" s="6"/>
      <c r="BX2725" s="6"/>
      <c r="BY2725" s="6"/>
      <c r="BZ2725" s="6"/>
      <c r="CA2725" s="6"/>
      <c r="CB2725" s="6"/>
      <c r="CC2725" s="6"/>
      <c r="CD2725" s="6"/>
      <c r="CE2725" s="6"/>
      <c r="CF2725" s="6"/>
      <c r="CG2725" s="6"/>
      <c r="CH2725" s="6"/>
      <c r="CI2725" s="6"/>
      <c r="CJ2725" s="6"/>
      <c r="CK2725" s="6"/>
      <c r="CL2725" s="6"/>
      <c r="CM2725" s="6"/>
      <c r="CN2725" s="6"/>
      <c r="CO2725" s="6"/>
      <c r="CP2725" s="6"/>
      <c r="CQ2725" s="6"/>
      <c r="CR2725" s="6"/>
      <c r="CS2725" s="6"/>
      <c r="CT2725" s="6"/>
      <c r="CU2725" s="6"/>
      <c r="CV2725" s="6"/>
      <c r="CW2725" s="6"/>
      <c r="CX2725" s="6"/>
      <c r="CY2725" s="6"/>
      <c r="CZ2725" s="6"/>
      <c r="DA2725" s="6"/>
      <c r="DB2725" s="6"/>
      <c r="DC2725" s="6"/>
      <c r="DD2725" s="6"/>
    </row>
    <row r="2726" spans="1:108" ht="12.75" hidden="1" customHeight="1" outlineLevel="5">
      <c r="A2726" s="104" t="s">
        <v>44</v>
      </c>
      <c r="B2726" s="28">
        <f t="shared" si="156"/>
        <v>0</v>
      </c>
      <c r="C2726" s="11"/>
      <c r="D2726" s="18" t="str">
        <f>"&lt;" &amp; A2726 &amp; "&gt;" &amp; TEXT(B2726,"0.000000") &amp; "&lt;/" &amp; A2726 &amp; "&gt;"</f>
        <v>&lt;ColorG&gt;0.000000&lt;/ColorG&gt;</v>
      </c>
      <c r="F2726" s="6"/>
      <c r="G2726" s="6"/>
      <c r="H2726" s="6"/>
      <c r="I2726" s="6"/>
      <c r="J2726" s="6"/>
      <c r="K2726" s="6"/>
      <c r="L2726" s="6"/>
      <c r="M2726" s="6"/>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c r="BU2726" s="6"/>
      <c r="BV2726" s="6"/>
      <c r="BW2726" s="6"/>
      <c r="BX2726" s="6"/>
      <c r="BY2726" s="6"/>
      <c r="BZ2726" s="6"/>
      <c r="CA2726" s="6"/>
      <c r="CB2726" s="6"/>
      <c r="CC2726" s="6"/>
      <c r="CD2726" s="6"/>
      <c r="CE2726" s="6"/>
      <c r="CF2726" s="6"/>
      <c r="CG2726" s="6"/>
      <c r="CH2726" s="6"/>
      <c r="CI2726" s="6"/>
      <c r="CJ2726" s="6"/>
      <c r="CK2726" s="6"/>
      <c r="CL2726" s="6"/>
      <c r="CM2726" s="6"/>
      <c r="CN2726" s="6"/>
      <c r="CO2726" s="6"/>
      <c r="CP2726" s="6"/>
      <c r="CQ2726" s="6"/>
      <c r="CR2726" s="6"/>
      <c r="CS2726" s="6"/>
      <c r="CT2726" s="6"/>
      <c r="CU2726" s="6"/>
      <c r="CV2726" s="6"/>
      <c r="CW2726" s="6"/>
      <c r="CX2726" s="6"/>
      <c r="CY2726" s="6"/>
      <c r="CZ2726" s="6"/>
      <c r="DA2726" s="6"/>
      <c r="DB2726" s="6"/>
      <c r="DC2726" s="6"/>
      <c r="DD2726" s="6"/>
    </row>
    <row r="2727" spans="1:108" ht="12.75" hidden="1" customHeight="1" outlineLevel="5">
      <c r="A2727" s="104" t="s">
        <v>45</v>
      </c>
      <c r="B2727" s="28">
        <f t="shared" si="156"/>
        <v>255</v>
      </c>
      <c r="C2727" s="11"/>
      <c r="D2727" s="18" t="str">
        <f>"&lt;" &amp; A2727 &amp; "&gt;" &amp; TEXT(B2727,"0.000000") &amp; "&lt;/" &amp; A2727 &amp; "&gt;"</f>
        <v>&lt;ColorB&gt;255.000000&lt;/ColorB&gt;</v>
      </c>
      <c r="F2727" s="6"/>
      <c r="G2727" s="6"/>
      <c r="H2727" s="6"/>
      <c r="I2727" s="6"/>
      <c r="J2727" s="6"/>
      <c r="K2727" s="6"/>
      <c r="L2727" s="6"/>
      <c r="M2727" s="6"/>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c r="BU2727" s="6"/>
      <c r="BV2727" s="6"/>
      <c r="BW2727" s="6"/>
      <c r="BX2727" s="6"/>
      <c r="BY2727" s="6"/>
      <c r="BZ2727" s="6"/>
      <c r="CA2727" s="6"/>
      <c r="CB2727" s="6"/>
      <c r="CC2727" s="6"/>
      <c r="CD2727" s="6"/>
      <c r="CE2727" s="6"/>
      <c r="CF2727" s="6"/>
      <c r="CG2727" s="6"/>
      <c r="CH2727" s="6"/>
      <c r="CI2727" s="6"/>
      <c r="CJ2727" s="6"/>
      <c r="CK2727" s="6"/>
      <c r="CL2727" s="6"/>
      <c r="CM2727" s="6"/>
      <c r="CN2727" s="6"/>
      <c r="CO2727" s="6"/>
      <c r="CP2727" s="6"/>
      <c r="CQ2727" s="6"/>
      <c r="CR2727" s="6"/>
      <c r="CS2727" s="6"/>
      <c r="CT2727" s="6"/>
      <c r="CU2727" s="6"/>
      <c r="CV2727" s="6"/>
      <c r="CW2727" s="6"/>
      <c r="CX2727" s="6"/>
      <c r="CY2727" s="6"/>
      <c r="CZ2727" s="6"/>
      <c r="DA2727" s="6"/>
      <c r="DB2727" s="6"/>
      <c r="DC2727" s="6"/>
      <c r="DD2727" s="6"/>
    </row>
    <row r="2728" spans="1:108" ht="12.75" hidden="1" customHeight="1" outlineLevel="5">
      <c r="A2728" s="104" t="s">
        <v>46</v>
      </c>
      <c r="B2728" s="28">
        <f t="shared" si="156"/>
        <v>0</v>
      </c>
      <c r="C2728" s="11"/>
      <c r="D2728" s="18" t="str">
        <f t="shared" ref="D2728:D2737" si="157">"&lt;" &amp; A2728 &amp; "&gt;" &amp; TEXT(B2728,0) &amp; "&lt;/" &amp; A2728 &amp; "&gt;"</f>
        <v>&lt;Symmetry&gt;0&lt;/Symmetry&gt;</v>
      </c>
      <c r="F2728" s="6"/>
      <c r="G2728" s="6"/>
      <c r="H2728" s="6"/>
      <c r="I2728" s="6"/>
      <c r="J2728" s="6"/>
      <c r="K2728" s="6"/>
      <c r="L2728" s="6"/>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c r="BU2728" s="6"/>
      <c r="BV2728" s="6"/>
      <c r="BW2728" s="6"/>
      <c r="BX2728" s="6"/>
      <c r="BY2728" s="6"/>
      <c r="BZ2728" s="6"/>
      <c r="CA2728" s="6"/>
      <c r="CB2728" s="6"/>
      <c r="CC2728" s="6"/>
      <c r="CD2728" s="6"/>
      <c r="CE2728" s="6"/>
      <c r="CF2728" s="6"/>
      <c r="CG2728" s="6"/>
      <c r="CH2728" s="6"/>
      <c r="CI2728" s="6"/>
      <c r="CJ2728" s="6"/>
      <c r="CK2728" s="6"/>
      <c r="CL2728" s="6"/>
      <c r="CM2728" s="6"/>
      <c r="CN2728" s="6"/>
      <c r="CO2728" s="6"/>
      <c r="CP2728" s="6"/>
      <c r="CQ2728" s="6"/>
      <c r="CR2728" s="6"/>
      <c r="CS2728" s="6"/>
      <c r="CT2728" s="6"/>
      <c r="CU2728" s="6"/>
      <c r="CV2728" s="6"/>
      <c r="CW2728" s="6"/>
      <c r="CX2728" s="6"/>
      <c r="CY2728" s="6"/>
      <c r="CZ2728" s="6"/>
      <c r="DA2728" s="6"/>
      <c r="DB2728" s="6"/>
      <c r="DC2728" s="6"/>
      <c r="DD2728" s="6"/>
    </row>
    <row r="2729" spans="1:108" ht="12.75" hidden="1" customHeight="1" outlineLevel="5">
      <c r="A2729" s="104" t="s">
        <v>47</v>
      </c>
      <c r="B2729" s="28">
        <f t="shared" si="156"/>
        <v>0</v>
      </c>
      <c r="C2729" s="11"/>
      <c r="D2729" s="18" t="str">
        <f t="shared" si="157"/>
        <v>&lt;RelXFormFlag&gt;0&lt;/RelXFormFlag&gt;</v>
      </c>
      <c r="F2729" s="6"/>
      <c r="G2729" s="6"/>
      <c r="H2729" s="6"/>
      <c r="I2729" s="6"/>
      <c r="J2729" s="6"/>
      <c r="K2729" s="6"/>
      <c r="L2729" s="6"/>
      <c r="M2729" s="6"/>
      <c r="N2729" s="6"/>
      <c r="O2729" s="6"/>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c r="BU2729" s="6"/>
      <c r="BV2729" s="6"/>
      <c r="BW2729" s="6"/>
      <c r="BX2729" s="6"/>
      <c r="BY2729" s="6"/>
      <c r="BZ2729" s="6"/>
      <c r="CA2729" s="6"/>
      <c r="CB2729" s="6"/>
      <c r="CC2729" s="6"/>
      <c r="CD2729" s="6"/>
      <c r="CE2729" s="6"/>
      <c r="CF2729" s="6"/>
      <c r="CG2729" s="6"/>
      <c r="CH2729" s="6"/>
      <c r="CI2729" s="6"/>
      <c r="CJ2729" s="6"/>
      <c r="CK2729" s="6"/>
      <c r="CL2729" s="6"/>
      <c r="CM2729" s="6"/>
      <c r="CN2729" s="6"/>
      <c r="CO2729" s="6"/>
      <c r="CP2729" s="6"/>
      <c r="CQ2729" s="6"/>
      <c r="CR2729" s="6"/>
      <c r="CS2729" s="6"/>
      <c r="CT2729" s="6"/>
      <c r="CU2729" s="6"/>
      <c r="CV2729" s="6"/>
      <c r="CW2729" s="6"/>
      <c r="CX2729" s="6"/>
      <c r="CY2729" s="6"/>
      <c r="CZ2729" s="6"/>
      <c r="DA2729" s="6"/>
      <c r="DB2729" s="6"/>
      <c r="DC2729" s="6"/>
      <c r="DD2729" s="6"/>
    </row>
    <row r="2730" spans="1:108" ht="12.75" hidden="1" customHeight="1" outlineLevel="5">
      <c r="A2730" s="104" t="s">
        <v>48</v>
      </c>
      <c r="B2730" s="28">
        <f t="shared" si="156"/>
        <v>2</v>
      </c>
      <c r="C2730" s="11"/>
      <c r="D2730" s="18" t="str">
        <f t="shared" si="157"/>
        <v>&lt;MaterialID&gt;2&lt;/MaterialID&gt;</v>
      </c>
      <c r="F2730" s="6"/>
      <c r="G2730" s="6"/>
      <c r="H2730" s="6"/>
      <c r="I2730" s="6"/>
      <c r="J2730" s="6"/>
      <c r="K2730" s="6"/>
      <c r="L2730" s="6"/>
      <c r="M2730" s="6"/>
      <c r="N2730" s="6"/>
      <c r="O2730" s="6"/>
      <c r="P2730" s="6"/>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c r="BU2730" s="6"/>
      <c r="BV2730" s="6"/>
      <c r="BW2730" s="6"/>
      <c r="BX2730" s="6"/>
      <c r="BY2730" s="6"/>
      <c r="BZ2730" s="6"/>
      <c r="CA2730" s="6"/>
      <c r="CB2730" s="6"/>
      <c r="CC2730" s="6"/>
      <c r="CD2730" s="6"/>
      <c r="CE2730" s="6"/>
      <c r="CF2730" s="6"/>
      <c r="CG2730" s="6"/>
      <c r="CH2730" s="6"/>
      <c r="CI2730" s="6"/>
      <c r="CJ2730" s="6"/>
      <c r="CK2730" s="6"/>
      <c r="CL2730" s="6"/>
      <c r="CM2730" s="6"/>
      <c r="CN2730" s="6"/>
      <c r="CO2730" s="6"/>
      <c r="CP2730" s="6"/>
      <c r="CQ2730" s="6"/>
      <c r="CR2730" s="6"/>
      <c r="CS2730" s="6"/>
      <c r="CT2730" s="6"/>
      <c r="CU2730" s="6"/>
      <c r="CV2730" s="6"/>
      <c r="CW2730" s="6"/>
      <c r="CX2730" s="6"/>
      <c r="CY2730" s="6"/>
      <c r="CZ2730" s="6"/>
      <c r="DA2730" s="6"/>
      <c r="DB2730" s="6"/>
      <c r="DC2730" s="6"/>
      <c r="DD2730" s="6"/>
    </row>
    <row r="2731" spans="1:108" ht="12.75" hidden="1" customHeight="1" outlineLevel="5">
      <c r="A2731" s="104" t="s">
        <v>49</v>
      </c>
      <c r="B2731" s="28">
        <f t="shared" si="156"/>
        <v>1</v>
      </c>
      <c r="C2731" s="11"/>
      <c r="D2731" s="18" t="str">
        <f t="shared" si="157"/>
        <v>&lt;OutputFlag&gt;1&lt;/OutputFlag&gt;</v>
      </c>
      <c r="F2731" s="6"/>
      <c r="G2731" s="6"/>
      <c r="H2731" s="6"/>
      <c r="I2731" s="6"/>
      <c r="J2731" s="6"/>
      <c r="K2731" s="6"/>
      <c r="L2731" s="6"/>
      <c r="M2731" s="6"/>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c r="BU2731" s="6"/>
      <c r="BV2731" s="6"/>
      <c r="BW2731" s="6"/>
      <c r="BX2731" s="6"/>
      <c r="BY2731" s="6"/>
      <c r="BZ2731" s="6"/>
      <c r="CA2731" s="6"/>
      <c r="CB2731" s="6"/>
      <c r="CC2731" s="6"/>
      <c r="CD2731" s="6"/>
      <c r="CE2731" s="6"/>
      <c r="CF2731" s="6"/>
      <c r="CG2731" s="6"/>
      <c r="CH2731" s="6"/>
      <c r="CI2731" s="6"/>
      <c r="CJ2731" s="6"/>
      <c r="CK2731" s="6"/>
      <c r="CL2731" s="6"/>
      <c r="CM2731" s="6"/>
      <c r="CN2731" s="6"/>
      <c r="CO2731" s="6"/>
      <c r="CP2731" s="6"/>
      <c r="CQ2731" s="6"/>
      <c r="CR2731" s="6"/>
      <c r="CS2731" s="6"/>
      <c r="CT2731" s="6"/>
      <c r="CU2731" s="6"/>
      <c r="CV2731" s="6"/>
      <c r="CW2731" s="6"/>
      <c r="CX2731" s="6"/>
      <c r="CY2731" s="6"/>
      <c r="CZ2731" s="6"/>
      <c r="DA2731" s="6"/>
      <c r="DB2731" s="6"/>
      <c r="DC2731" s="6"/>
      <c r="DD2731" s="6"/>
    </row>
    <row r="2732" spans="1:108" ht="12.75" hidden="1" customHeight="1" outlineLevel="5">
      <c r="A2732" s="104" t="s">
        <v>50</v>
      </c>
      <c r="B2732" s="28">
        <f t="shared" si="156"/>
        <v>0</v>
      </c>
      <c r="C2732" s="11"/>
      <c r="D2732" s="18" t="str">
        <f t="shared" si="157"/>
        <v>&lt;OutputNameID&gt;0&lt;/OutputNameID&gt;</v>
      </c>
      <c r="F2732" s="6"/>
      <c r="G2732" s="6"/>
      <c r="H2732" s="6"/>
      <c r="I2732" s="6"/>
      <c r="J2732" s="6"/>
      <c r="K2732" s="6"/>
      <c r="L2732" s="6"/>
      <c r="M2732" s="6"/>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c r="BU2732" s="6"/>
      <c r="BV2732" s="6"/>
      <c r="BW2732" s="6"/>
      <c r="BX2732" s="6"/>
      <c r="BY2732" s="6"/>
      <c r="BZ2732" s="6"/>
      <c r="CA2732" s="6"/>
      <c r="CB2732" s="6"/>
      <c r="CC2732" s="6"/>
      <c r="CD2732" s="6"/>
      <c r="CE2732" s="6"/>
      <c r="CF2732" s="6"/>
      <c r="CG2732" s="6"/>
      <c r="CH2732" s="6"/>
      <c r="CI2732" s="6"/>
      <c r="CJ2732" s="6"/>
      <c r="CK2732" s="6"/>
      <c r="CL2732" s="6"/>
      <c r="CM2732" s="6"/>
      <c r="CN2732" s="6"/>
      <c r="CO2732" s="6"/>
      <c r="CP2732" s="6"/>
      <c r="CQ2732" s="6"/>
      <c r="CR2732" s="6"/>
      <c r="CS2732" s="6"/>
      <c r="CT2732" s="6"/>
      <c r="CU2732" s="6"/>
      <c r="CV2732" s="6"/>
      <c r="CW2732" s="6"/>
      <c r="CX2732" s="6"/>
      <c r="CY2732" s="6"/>
      <c r="CZ2732" s="6"/>
      <c r="DA2732" s="6"/>
      <c r="DB2732" s="6"/>
      <c r="DC2732" s="6"/>
      <c r="DD2732" s="6"/>
    </row>
    <row r="2733" spans="1:108" ht="12.75" hidden="1" customHeight="1" outlineLevel="5">
      <c r="A2733" s="104" t="s">
        <v>51</v>
      </c>
      <c r="B2733" s="28">
        <f t="shared" si="156"/>
        <v>1</v>
      </c>
      <c r="C2733" s="11"/>
      <c r="D2733" s="18" t="str">
        <f t="shared" si="157"/>
        <v>&lt;DisplayChildrenFlag&gt;1&lt;/DisplayChildrenFlag&gt;</v>
      </c>
      <c r="F2733" s="6"/>
      <c r="G2733" s="6"/>
      <c r="H2733" s="6"/>
      <c r="I2733" s="6"/>
      <c r="J2733" s="6"/>
      <c r="K2733" s="6"/>
      <c r="L2733" s="6"/>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c r="BU2733" s="6"/>
      <c r="BV2733" s="6"/>
      <c r="BW2733" s="6"/>
      <c r="BX2733" s="6"/>
      <c r="BY2733" s="6"/>
      <c r="BZ2733" s="6"/>
      <c r="CA2733" s="6"/>
      <c r="CB2733" s="6"/>
      <c r="CC2733" s="6"/>
      <c r="CD2733" s="6"/>
      <c r="CE2733" s="6"/>
      <c r="CF2733" s="6"/>
      <c r="CG2733" s="6"/>
      <c r="CH2733" s="6"/>
      <c r="CI2733" s="6"/>
      <c r="CJ2733" s="6"/>
      <c r="CK2733" s="6"/>
      <c r="CL2733" s="6"/>
      <c r="CM2733" s="6"/>
      <c r="CN2733" s="6"/>
      <c r="CO2733" s="6"/>
      <c r="CP2733" s="6"/>
      <c r="CQ2733" s="6"/>
      <c r="CR2733" s="6"/>
      <c r="CS2733" s="6"/>
      <c r="CT2733" s="6"/>
      <c r="CU2733" s="6"/>
      <c r="CV2733" s="6"/>
      <c r="CW2733" s="6"/>
      <c r="CX2733" s="6"/>
      <c r="CY2733" s="6"/>
      <c r="CZ2733" s="6"/>
      <c r="DA2733" s="6"/>
      <c r="DB2733" s="6"/>
      <c r="DC2733" s="6"/>
      <c r="DD2733" s="6"/>
    </row>
    <row r="2734" spans="1:108" ht="12.75" hidden="1" customHeight="1" outlineLevel="5">
      <c r="A2734" s="104" t="s">
        <v>52</v>
      </c>
      <c r="B2734" s="28">
        <f t="shared" si="156"/>
        <v>21</v>
      </c>
      <c r="C2734" s="11"/>
      <c r="D2734" s="18" t="str">
        <f t="shared" si="157"/>
        <v>&lt;NumPnts&gt;21&lt;/NumPnts&gt;</v>
      </c>
      <c r="F2734" s="6"/>
      <c r="G2734" s="6"/>
      <c r="H2734" s="6"/>
      <c r="I2734" s="6"/>
      <c r="J2734" s="6"/>
      <c r="K2734" s="6"/>
      <c r="L2734" s="6"/>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c r="BU2734" s="6"/>
      <c r="BV2734" s="6"/>
      <c r="BW2734" s="6"/>
      <c r="BX2734" s="6"/>
      <c r="BY2734" s="6"/>
      <c r="BZ2734" s="6"/>
      <c r="CA2734" s="6"/>
      <c r="CB2734" s="6"/>
      <c r="CC2734" s="6"/>
      <c r="CD2734" s="6"/>
      <c r="CE2734" s="6"/>
      <c r="CF2734" s="6"/>
      <c r="CG2734" s="6"/>
      <c r="CH2734" s="6"/>
      <c r="CI2734" s="6"/>
      <c r="CJ2734" s="6"/>
      <c r="CK2734" s="6"/>
      <c r="CL2734" s="6"/>
      <c r="CM2734" s="6"/>
      <c r="CN2734" s="6"/>
      <c r="CO2734" s="6"/>
      <c r="CP2734" s="6"/>
      <c r="CQ2734" s="6"/>
      <c r="CR2734" s="6"/>
      <c r="CS2734" s="6"/>
      <c r="CT2734" s="6"/>
      <c r="CU2734" s="6"/>
      <c r="CV2734" s="6"/>
      <c r="CW2734" s="6"/>
      <c r="CX2734" s="6"/>
      <c r="CY2734" s="6"/>
      <c r="CZ2734" s="6"/>
      <c r="DA2734" s="6"/>
      <c r="DB2734" s="6"/>
      <c r="DC2734" s="6"/>
      <c r="DD2734" s="6"/>
    </row>
    <row r="2735" spans="1:108" ht="12.75" hidden="1" customHeight="1" outlineLevel="5">
      <c r="A2735" s="104" t="s">
        <v>53</v>
      </c>
      <c r="B2735" s="28">
        <f t="shared" si="156"/>
        <v>11</v>
      </c>
      <c r="C2735" s="11"/>
      <c r="D2735" s="18" t="str">
        <f t="shared" si="157"/>
        <v>&lt;NumXsecs&gt;11&lt;/NumXsecs&gt;</v>
      </c>
      <c r="F2735" s="6"/>
      <c r="G2735" s="6"/>
      <c r="H2735" s="6"/>
      <c r="I2735" s="6"/>
      <c r="J2735" s="6"/>
      <c r="K2735" s="6"/>
      <c r="L2735" s="6"/>
      <c r="M2735" s="6"/>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c r="BU2735" s="6"/>
      <c r="BV2735" s="6"/>
      <c r="BW2735" s="6"/>
      <c r="BX2735" s="6"/>
      <c r="BY2735" s="6"/>
      <c r="BZ2735" s="6"/>
      <c r="CA2735" s="6"/>
      <c r="CB2735" s="6"/>
      <c r="CC2735" s="6"/>
      <c r="CD2735" s="6"/>
      <c r="CE2735" s="6"/>
      <c r="CF2735" s="6"/>
      <c r="CG2735" s="6"/>
      <c r="CH2735" s="6"/>
      <c r="CI2735" s="6"/>
      <c r="CJ2735" s="6"/>
      <c r="CK2735" s="6"/>
      <c r="CL2735" s="6"/>
      <c r="CM2735" s="6"/>
      <c r="CN2735" s="6"/>
      <c r="CO2735" s="6"/>
      <c r="CP2735" s="6"/>
      <c r="CQ2735" s="6"/>
      <c r="CR2735" s="6"/>
      <c r="CS2735" s="6"/>
      <c r="CT2735" s="6"/>
      <c r="CU2735" s="6"/>
      <c r="CV2735" s="6"/>
      <c r="CW2735" s="6"/>
      <c r="CX2735" s="6"/>
      <c r="CY2735" s="6"/>
      <c r="CZ2735" s="6"/>
      <c r="DA2735" s="6"/>
      <c r="DB2735" s="6"/>
      <c r="DC2735" s="6"/>
      <c r="DD2735" s="6"/>
    </row>
    <row r="2736" spans="1:108" ht="12.75" hidden="1" customHeight="1" outlineLevel="5">
      <c r="A2736" s="104" t="s">
        <v>54</v>
      </c>
      <c r="B2736" s="28">
        <f t="shared" si="156"/>
        <v>0</v>
      </c>
      <c r="C2736" s="11"/>
      <c r="D2736" s="18" t="str">
        <f t="shared" si="157"/>
        <v>&lt;MassPrior&gt;0&lt;/MassPrior&gt;</v>
      </c>
      <c r="F2736" s="6"/>
      <c r="G2736" s="6"/>
      <c r="H2736" s="6"/>
      <c r="I2736" s="6"/>
      <c r="J2736" s="6"/>
      <c r="K2736" s="6"/>
      <c r="L2736" s="6"/>
      <c r="M2736" s="6"/>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c r="BU2736" s="6"/>
      <c r="BV2736" s="6"/>
      <c r="BW2736" s="6"/>
      <c r="BX2736" s="6"/>
      <c r="BY2736" s="6"/>
      <c r="BZ2736" s="6"/>
      <c r="CA2736" s="6"/>
      <c r="CB2736" s="6"/>
      <c r="CC2736" s="6"/>
      <c r="CD2736" s="6"/>
      <c r="CE2736" s="6"/>
      <c r="CF2736" s="6"/>
      <c r="CG2736" s="6"/>
      <c r="CH2736" s="6"/>
      <c r="CI2736" s="6"/>
      <c r="CJ2736" s="6"/>
      <c r="CK2736" s="6"/>
      <c r="CL2736" s="6"/>
      <c r="CM2736" s="6"/>
      <c r="CN2736" s="6"/>
      <c r="CO2736" s="6"/>
      <c r="CP2736" s="6"/>
      <c r="CQ2736" s="6"/>
      <c r="CR2736" s="6"/>
      <c r="CS2736" s="6"/>
      <c r="CT2736" s="6"/>
      <c r="CU2736" s="6"/>
      <c r="CV2736" s="6"/>
      <c r="CW2736" s="6"/>
      <c r="CX2736" s="6"/>
      <c r="CY2736" s="6"/>
      <c r="CZ2736" s="6"/>
      <c r="DA2736" s="6"/>
      <c r="DB2736" s="6"/>
      <c r="DC2736" s="6"/>
      <c r="DD2736" s="6"/>
    </row>
    <row r="2737" spans="1:108" ht="12.75" hidden="1" customHeight="1" outlineLevel="5">
      <c r="A2737" s="104" t="s">
        <v>55</v>
      </c>
      <c r="B2737" s="28">
        <f t="shared" si="156"/>
        <v>0</v>
      </c>
      <c r="C2737" s="11"/>
      <c r="D2737" s="18" t="str">
        <f t="shared" si="157"/>
        <v>&lt;ShellFlag&gt;0&lt;/ShellFlag&gt;</v>
      </c>
      <c r="F2737" s="6"/>
      <c r="G2737" s="6"/>
      <c r="H2737" s="6"/>
      <c r="I2737" s="6"/>
      <c r="J2737" s="6"/>
      <c r="K2737" s="6"/>
      <c r="L2737" s="6"/>
      <c r="M2737" s="6"/>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c r="BU2737" s="6"/>
      <c r="BV2737" s="6"/>
      <c r="BW2737" s="6"/>
      <c r="BX2737" s="6"/>
      <c r="BY2737" s="6"/>
      <c r="BZ2737" s="6"/>
      <c r="CA2737" s="6"/>
      <c r="CB2737" s="6"/>
      <c r="CC2737" s="6"/>
      <c r="CD2737" s="6"/>
      <c r="CE2737" s="6"/>
      <c r="CF2737" s="6"/>
      <c r="CG2737" s="6"/>
      <c r="CH2737" s="6"/>
      <c r="CI2737" s="6"/>
      <c r="CJ2737" s="6"/>
      <c r="CK2737" s="6"/>
      <c r="CL2737" s="6"/>
      <c r="CM2737" s="6"/>
      <c r="CN2737" s="6"/>
      <c r="CO2737" s="6"/>
      <c r="CP2737" s="6"/>
      <c r="CQ2737" s="6"/>
      <c r="CR2737" s="6"/>
      <c r="CS2737" s="6"/>
      <c r="CT2737" s="6"/>
      <c r="CU2737" s="6"/>
      <c r="CV2737" s="6"/>
      <c r="CW2737" s="6"/>
      <c r="CX2737" s="6"/>
      <c r="CY2737" s="6"/>
      <c r="CZ2737" s="6"/>
      <c r="DA2737" s="6"/>
      <c r="DB2737" s="6"/>
      <c r="DC2737" s="6"/>
      <c r="DD2737" s="6"/>
    </row>
    <row r="2738" spans="1:108" ht="12.75" hidden="1" customHeight="1" outlineLevel="5">
      <c r="A2738" s="104" t="s">
        <v>56</v>
      </c>
      <c r="B2738" s="28">
        <f t="shared" si="156"/>
        <v>0</v>
      </c>
      <c r="C2738" s="11"/>
      <c r="D2738" s="18" t="str">
        <f t="shared" ref="D2738:D2752" si="158">"&lt;" &amp; A2738 &amp; "&gt;" &amp; TEXT(B2738,"0.000000") &amp; "&lt;/" &amp; A2738 &amp; "&gt;"</f>
        <v>&lt;Tran_X&gt;0.000000&lt;/Tran_X&gt;</v>
      </c>
      <c r="F2738" s="6"/>
      <c r="G2738" s="6"/>
      <c r="H2738" s="6"/>
      <c r="I2738" s="6"/>
      <c r="J2738" s="6"/>
      <c r="K2738" s="6"/>
      <c r="L2738" s="6"/>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c r="BU2738" s="6"/>
      <c r="BV2738" s="6"/>
      <c r="BW2738" s="6"/>
      <c r="BX2738" s="6"/>
      <c r="BY2738" s="6"/>
      <c r="BZ2738" s="6"/>
      <c r="CA2738" s="6"/>
      <c r="CB2738" s="6"/>
      <c r="CC2738" s="6"/>
      <c r="CD2738" s="6"/>
      <c r="CE2738" s="6"/>
      <c r="CF2738" s="6"/>
      <c r="CG2738" s="6"/>
      <c r="CH2738" s="6"/>
      <c r="CI2738" s="6"/>
      <c r="CJ2738" s="6"/>
      <c r="CK2738" s="6"/>
      <c r="CL2738" s="6"/>
      <c r="CM2738" s="6"/>
      <c r="CN2738" s="6"/>
      <c r="CO2738" s="6"/>
      <c r="CP2738" s="6"/>
      <c r="CQ2738" s="6"/>
      <c r="CR2738" s="6"/>
      <c r="CS2738" s="6"/>
      <c r="CT2738" s="6"/>
      <c r="CU2738" s="6"/>
      <c r="CV2738" s="6"/>
      <c r="CW2738" s="6"/>
      <c r="CX2738" s="6"/>
      <c r="CY2738" s="6"/>
      <c r="CZ2738" s="6"/>
      <c r="DA2738" s="6"/>
      <c r="DB2738" s="6"/>
      <c r="DC2738" s="6"/>
      <c r="DD2738" s="6"/>
    </row>
    <row r="2739" spans="1:108" ht="12.75" hidden="1" customHeight="1" outlineLevel="5">
      <c r="A2739" s="104" t="s">
        <v>57</v>
      </c>
      <c r="B2739" s="28">
        <f t="shared" si="156"/>
        <v>0</v>
      </c>
      <c r="C2739" s="11"/>
      <c r="D2739" s="18" t="str">
        <f t="shared" si="158"/>
        <v>&lt;Tran_Y&gt;0.000000&lt;/Tran_Y&gt;</v>
      </c>
      <c r="F2739" s="6"/>
      <c r="G2739" s="6"/>
      <c r="H2739" s="6"/>
      <c r="I2739" s="6"/>
      <c r="J2739" s="6"/>
      <c r="K2739" s="6"/>
      <c r="L2739" s="6"/>
      <c r="M2739" s="6"/>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c r="BU2739" s="6"/>
      <c r="BV2739" s="6"/>
      <c r="BW2739" s="6"/>
      <c r="BX2739" s="6"/>
      <c r="BY2739" s="6"/>
      <c r="BZ2739" s="6"/>
      <c r="CA2739" s="6"/>
      <c r="CB2739" s="6"/>
      <c r="CC2739" s="6"/>
      <c r="CD2739" s="6"/>
      <c r="CE2739" s="6"/>
      <c r="CF2739" s="6"/>
      <c r="CG2739" s="6"/>
      <c r="CH2739" s="6"/>
      <c r="CI2739" s="6"/>
      <c r="CJ2739" s="6"/>
      <c r="CK2739" s="6"/>
      <c r="CL2739" s="6"/>
      <c r="CM2739" s="6"/>
      <c r="CN2739" s="6"/>
      <c r="CO2739" s="6"/>
      <c r="CP2739" s="6"/>
      <c r="CQ2739" s="6"/>
      <c r="CR2739" s="6"/>
      <c r="CS2739" s="6"/>
      <c r="CT2739" s="6"/>
      <c r="CU2739" s="6"/>
      <c r="CV2739" s="6"/>
      <c r="CW2739" s="6"/>
      <c r="CX2739" s="6"/>
      <c r="CY2739" s="6"/>
      <c r="CZ2739" s="6"/>
      <c r="DA2739" s="6"/>
      <c r="DB2739" s="6"/>
      <c r="DC2739" s="6"/>
      <c r="DD2739" s="6"/>
    </row>
    <row r="2740" spans="1:108" ht="12.75" hidden="1" customHeight="1" outlineLevel="5">
      <c r="A2740" s="104" t="s">
        <v>58</v>
      </c>
      <c r="B2740" s="28">
        <f t="shared" si="156"/>
        <v>0</v>
      </c>
      <c r="C2740" s="11"/>
      <c r="D2740" s="18" t="str">
        <f t="shared" si="158"/>
        <v>&lt;Tran_Z&gt;0.000000&lt;/Tran_Z&gt;</v>
      </c>
      <c r="F2740" s="6"/>
      <c r="G2740" s="6"/>
      <c r="H2740" s="6"/>
      <c r="I2740" s="6"/>
      <c r="J2740" s="6"/>
      <c r="K2740" s="6"/>
      <c r="L2740" s="6"/>
      <c r="M2740" s="6"/>
      <c r="N2740" s="6"/>
      <c r="O2740" s="6"/>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c r="BU2740" s="6"/>
      <c r="BV2740" s="6"/>
      <c r="BW2740" s="6"/>
      <c r="BX2740" s="6"/>
      <c r="BY2740" s="6"/>
      <c r="BZ2740" s="6"/>
      <c r="CA2740" s="6"/>
      <c r="CB2740" s="6"/>
      <c r="CC2740" s="6"/>
      <c r="CD2740" s="6"/>
      <c r="CE2740" s="6"/>
      <c r="CF2740" s="6"/>
      <c r="CG2740" s="6"/>
      <c r="CH2740" s="6"/>
      <c r="CI2740" s="6"/>
      <c r="CJ2740" s="6"/>
      <c r="CK2740" s="6"/>
      <c r="CL2740" s="6"/>
      <c r="CM2740" s="6"/>
      <c r="CN2740" s="6"/>
      <c r="CO2740" s="6"/>
      <c r="CP2740" s="6"/>
      <c r="CQ2740" s="6"/>
      <c r="CR2740" s="6"/>
      <c r="CS2740" s="6"/>
      <c r="CT2740" s="6"/>
      <c r="CU2740" s="6"/>
      <c r="CV2740" s="6"/>
      <c r="CW2740" s="6"/>
      <c r="CX2740" s="6"/>
      <c r="CY2740" s="6"/>
      <c r="CZ2740" s="6"/>
      <c r="DA2740" s="6"/>
      <c r="DB2740" s="6"/>
      <c r="DC2740" s="6"/>
      <c r="DD2740" s="6"/>
    </row>
    <row r="2741" spans="1:108" ht="12.75" hidden="1" customHeight="1" outlineLevel="5">
      <c r="A2741" s="104" t="s">
        <v>59</v>
      </c>
      <c r="B2741" s="28">
        <f t="shared" si="156"/>
        <v>0</v>
      </c>
      <c r="C2741" s="11"/>
      <c r="D2741" s="18" t="str">
        <f t="shared" si="158"/>
        <v>&lt;TranRel_X&gt;0.000000&lt;/TranRel_X&gt;</v>
      </c>
      <c r="F2741" s="6"/>
      <c r="G2741" s="6"/>
      <c r="H2741" s="6"/>
      <c r="I2741" s="6"/>
      <c r="J2741" s="6"/>
      <c r="K2741" s="6"/>
      <c r="L2741" s="6"/>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c r="BU2741" s="6"/>
      <c r="BV2741" s="6"/>
      <c r="BW2741" s="6"/>
      <c r="BX2741" s="6"/>
      <c r="BY2741" s="6"/>
      <c r="BZ2741" s="6"/>
      <c r="CA2741" s="6"/>
      <c r="CB2741" s="6"/>
      <c r="CC2741" s="6"/>
      <c r="CD2741" s="6"/>
      <c r="CE2741" s="6"/>
      <c r="CF2741" s="6"/>
      <c r="CG2741" s="6"/>
      <c r="CH2741" s="6"/>
      <c r="CI2741" s="6"/>
      <c r="CJ2741" s="6"/>
      <c r="CK2741" s="6"/>
      <c r="CL2741" s="6"/>
      <c r="CM2741" s="6"/>
      <c r="CN2741" s="6"/>
      <c r="CO2741" s="6"/>
      <c r="CP2741" s="6"/>
      <c r="CQ2741" s="6"/>
      <c r="CR2741" s="6"/>
      <c r="CS2741" s="6"/>
      <c r="CT2741" s="6"/>
      <c r="CU2741" s="6"/>
      <c r="CV2741" s="6"/>
      <c r="CW2741" s="6"/>
      <c r="CX2741" s="6"/>
      <c r="CY2741" s="6"/>
      <c r="CZ2741" s="6"/>
      <c r="DA2741" s="6"/>
      <c r="DB2741" s="6"/>
      <c r="DC2741" s="6"/>
      <c r="DD2741" s="6"/>
    </row>
    <row r="2742" spans="1:108" ht="12.75" hidden="1" customHeight="1" outlineLevel="5">
      <c r="A2742" s="104" t="s">
        <v>60</v>
      </c>
      <c r="B2742" s="28">
        <f t="shared" si="156"/>
        <v>0</v>
      </c>
      <c r="C2742" s="11"/>
      <c r="D2742" s="18" t="str">
        <f t="shared" si="158"/>
        <v>&lt;TranRel_Y&gt;0.000000&lt;/TranRel_Y&gt;</v>
      </c>
      <c r="F2742" s="6"/>
      <c r="G2742" s="6"/>
      <c r="H2742" s="6"/>
      <c r="I2742" s="6"/>
      <c r="J2742" s="6"/>
      <c r="K2742" s="6"/>
      <c r="L2742" s="6"/>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c r="BU2742" s="6"/>
      <c r="BV2742" s="6"/>
      <c r="BW2742" s="6"/>
      <c r="BX2742" s="6"/>
      <c r="BY2742" s="6"/>
      <c r="BZ2742" s="6"/>
      <c r="CA2742" s="6"/>
      <c r="CB2742" s="6"/>
      <c r="CC2742" s="6"/>
      <c r="CD2742" s="6"/>
      <c r="CE2742" s="6"/>
      <c r="CF2742" s="6"/>
      <c r="CG2742" s="6"/>
      <c r="CH2742" s="6"/>
      <c r="CI2742" s="6"/>
      <c r="CJ2742" s="6"/>
      <c r="CK2742" s="6"/>
      <c r="CL2742" s="6"/>
      <c r="CM2742" s="6"/>
      <c r="CN2742" s="6"/>
      <c r="CO2742" s="6"/>
      <c r="CP2742" s="6"/>
      <c r="CQ2742" s="6"/>
      <c r="CR2742" s="6"/>
      <c r="CS2742" s="6"/>
      <c r="CT2742" s="6"/>
      <c r="CU2742" s="6"/>
      <c r="CV2742" s="6"/>
      <c r="CW2742" s="6"/>
      <c r="CX2742" s="6"/>
      <c r="CY2742" s="6"/>
      <c r="CZ2742" s="6"/>
      <c r="DA2742" s="6"/>
      <c r="DB2742" s="6"/>
      <c r="DC2742" s="6"/>
      <c r="DD2742" s="6"/>
    </row>
    <row r="2743" spans="1:108" ht="12.75" hidden="1" customHeight="1" outlineLevel="5">
      <c r="A2743" s="104" t="s">
        <v>61</v>
      </c>
      <c r="B2743" s="28">
        <f t="shared" si="156"/>
        <v>0</v>
      </c>
      <c r="C2743" s="11"/>
      <c r="D2743" s="18" t="str">
        <f t="shared" si="158"/>
        <v>&lt;TranRel_Z&gt;0.000000&lt;/TranRel_Z&gt;</v>
      </c>
      <c r="F2743" s="6"/>
      <c r="G2743" s="6"/>
      <c r="H2743" s="6"/>
      <c r="I2743" s="6"/>
      <c r="J2743" s="6"/>
      <c r="K2743" s="6"/>
      <c r="L2743" s="6"/>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c r="BU2743" s="6"/>
      <c r="BV2743" s="6"/>
      <c r="BW2743" s="6"/>
      <c r="BX2743" s="6"/>
      <c r="BY2743" s="6"/>
      <c r="BZ2743" s="6"/>
      <c r="CA2743" s="6"/>
      <c r="CB2743" s="6"/>
      <c r="CC2743" s="6"/>
      <c r="CD2743" s="6"/>
      <c r="CE2743" s="6"/>
      <c r="CF2743" s="6"/>
      <c r="CG2743" s="6"/>
      <c r="CH2743" s="6"/>
      <c r="CI2743" s="6"/>
      <c r="CJ2743" s="6"/>
      <c r="CK2743" s="6"/>
      <c r="CL2743" s="6"/>
      <c r="CM2743" s="6"/>
      <c r="CN2743" s="6"/>
      <c r="CO2743" s="6"/>
      <c r="CP2743" s="6"/>
      <c r="CQ2743" s="6"/>
      <c r="CR2743" s="6"/>
      <c r="CS2743" s="6"/>
      <c r="CT2743" s="6"/>
      <c r="CU2743" s="6"/>
      <c r="CV2743" s="6"/>
      <c r="CW2743" s="6"/>
      <c r="CX2743" s="6"/>
      <c r="CY2743" s="6"/>
      <c r="CZ2743" s="6"/>
      <c r="DA2743" s="6"/>
      <c r="DB2743" s="6"/>
      <c r="DC2743" s="6"/>
      <c r="DD2743" s="6"/>
    </row>
    <row r="2744" spans="1:108" ht="12.75" hidden="1" customHeight="1" outlineLevel="5">
      <c r="A2744" s="104" t="s">
        <v>62</v>
      </c>
      <c r="B2744" s="28">
        <f t="shared" si="156"/>
        <v>0</v>
      </c>
      <c r="C2744" s="11"/>
      <c r="D2744" s="18" t="str">
        <f t="shared" si="158"/>
        <v>&lt;Rot_X&gt;0.000000&lt;/Rot_X&gt;</v>
      </c>
      <c r="F2744" s="6"/>
      <c r="G2744" s="6"/>
      <c r="H2744" s="6"/>
      <c r="I2744" s="6"/>
      <c r="J2744" s="6"/>
      <c r="K2744" s="6"/>
      <c r="L2744" s="6"/>
      <c r="M2744" s="6"/>
      <c r="N2744" s="6"/>
      <c r="O2744" s="6"/>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c r="BU2744" s="6"/>
      <c r="BV2744" s="6"/>
      <c r="BW2744" s="6"/>
      <c r="BX2744" s="6"/>
      <c r="BY2744" s="6"/>
      <c r="BZ2744" s="6"/>
      <c r="CA2744" s="6"/>
      <c r="CB2744" s="6"/>
      <c r="CC2744" s="6"/>
      <c r="CD2744" s="6"/>
      <c r="CE2744" s="6"/>
      <c r="CF2744" s="6"/>
      <c r="CG2744" s="6"/>
      <c r="CH2744" s="6"/>
      <c r="CI2744" s="6"/>
      <c r="CJ2744" s="6"/>
      <c r="CK2744" s="6"/>
      <c r="CL2744" s="6"/>
      <c r="CM2744" s="6"/>
      <c r="CN2744" s="6"/>
      <c r="CO2744" s="6"/>
      <c r="CP2744" s="6"/>
      <c r="CQ2744" s="6"/>
      <c r="CR2744" s="6"/>
      <c r="CS2744" s="6"/>
      <c r="CT2744" s="6"/>
      <c r="CU2744" s="6"/>
      <c r="CV2744" s="6"/>
      <c r="CW2744" s="6"/>
      <c r="CX2744" s="6"/>
      <c r="CY2744" s="6"/>
      <c r="CZ2744" s="6"/>
      <c r="DA2744" s="6"/>
      <c r="DB2744" s="6"/>
      <c r="DC2744" s="6"/>
      <c r="DD2744" s="6"/>
    </row>
    <row r="2745" spans="1:108" ht="12.75" hidden="1" customHeight="1" outlineLevel="5">
      <c r="A2745" s="104" t="s">
        <v>63</v>
      </c>
      <c r="B2745" s="28">
        <f t="shared" si="156"/>
        <v>0</v>
      </c>
      <c r="C2745" s="11"/>
      <c r="D2745" s="18" t="str">
        <f t="shared" si="158"/>
        <v>&lt;Rot_Y&gt;0.000000&lt;/Rot_Y&gt;</v>
      </c>
      <c r="F2745" s="6"/>
      <c r="G2745" s="6"/>
      <c r="H2745" s="6"/>
      <c r="I2745" s="6"/>
      <c r="J2745" s="6"/>
      <c r="K2745" s="6"/>
      <c r="L2745" s="6"/>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c r="BU2745" s="6"/>
      <c r="BV2745" s="6"/>
      <c r="BW2745" s="6"/>
      <c r="BX2745" s="6"/>
      <c r="BY2745" s="6"/>
      <c r="BZ2745" s="6"/>
      <c r="CA2745" s="6"/>
      <c r="CB2745" s="6"/>
      <c r="CC2745" s="6"/>
      <c r="CD2745" s="6"/>
      <c r="CE2745" s="6"/>
      <c r="CF2745" s="6"/>
      <c r="CG2745" s="6"/>
      <c r="CH2745" s="6"/>
      <c r="CI2745" s="6"/>
      <c r="CJ2745" s="6"/>
      <c r="CK2745" s="6"/>
      <c r="CL2745" s="6"/>
      <c r="CM2745" s="6"/>
      <c r="CN2745" s="6"/>
      <c r="CO2745" s="6"/>
      <c r="CP2745" s="6"/>
      <c r="CQ2745" s="6"/>
      <c r="CR2745" s="6"/>
      <c r="CS2745" s="6"/>
      <c r="CT2745" s="6"/>
      <c r="CU2745" s="6"/>
      <c r="CV2745" s="6"/>
      <c r="CW2745" s="6"/>
      <c r="CX2745" s="6"/>
      <c r="CY2745" s="6"/>
      <c r="CZ2745" s="6"/>
      <c r="DA2745" s="6"/>
      <c r="DB2745" s="6"/>
      <c r="DC2745" s="6"/>
      <c r="DD2745" s="6"/>
    </row>
    <row r="2746" spans="1:108" ht="12.75" hidden="1" customHeight="1" outlineLevel="5">
      <c r="A2746" s="104" t="s">
        <v>64</v>
      </c>
      <c r="B2746" s="28">
        <f t="shared" si="156"/>
        <v>0</v>
      </c>
      <c r="C2746" s="11"/>
      <c r="D2746" s="18" t="str">
        <f t="shared" si="158"/>
        <v>&lt;Rot_Z&gt;0.000000&lt;/Rot_Z&gt;</v>
      </c>
      <c r="F2746" s="6"/>
      <c r="G2746" s="6"/>
      <c r="H2746" s="6"/>
      <c r="I2746" s="6"/>
      <c r="J2746" s="6"/>
      <c r="K2746" s="6"/>
      <c r="L2746" s="6"/>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c r="BU2746" s="6"/>
      <c r="BV2746" s="6"/>
      <c r="BW2746" s="6"/>
      <c r="BX2746" s="6"/>
      <c r="BY2746" s="6"/>
      <c r="BZ2746" s="6"/>
      <c r="CA2746" s="6"/>
      <c r="CB2746" s="6"/>
      <c r="CC2746" s="6"/>
      <c r="CD2746" s="6"/>
      <c r="CE2746" s="6"/>
      <c r="CF2746" s="6"/>
      <c r="CG2746" s="6"/>
      <c r="CH2746" s="6"/>
      <c r="CI2746" s="6"/>
      <c r="CJ2746" s="6"/>
      <c r="CK2746" s="6"/>
      <c r="CL2746" s="6"/>
      <c r="CM2746" s="6"/>
      <c r="CN2746" s="6"/>
      <c r="CO2746" s="6"/>
      <c r="CP2746" s="6"/>
      <c r="CQ2746" s="6"/>
      <c r="CR2746" s="6"/>
      <c r="CS2746" s="6"/>
      <c r="CT2746" s="6"/>
      <c r="CU2746" s="6"/>
      <c r="CV2746" s="6"/>
      <c r="CW2746" s="6"/>
      <c r="CX2746" s="6"/>
      <c r="CY2746" s="6"/>
      <c r="CZ2746" s="6"/>
      <c r="DA2746" s="6"/>
      <c r="DB2746" s="6"/>
      <c r="DC2746" s="6"/>
      <c r="DD2746" s="6"/>
    </row>
    <row r="2747" spans="1:108" ht="12.75" hidden="1" customHeight="1" outlineLevel="5">
      <c r="A2747" s="104" t="s">
        <v>65</v>
      </c>
      <c r="B2747" s="28">
        <f t="shared" si="156"/>
        <v>0</v>
      </c>
      <c r="C2747" s="11"/>
      <c r="D2747" s="18" t="str">
        <f t="shared" si="158"/>
        <v>&lt;RotRel_X&gt;0.000000&lt;/RotRel_X&gt;</v>
      </c>
      <c r="F2747" s="6"/>
      <c r="G2747" s="6"/>
      <c r="H2747" s="6"/>
      <c r="I2747" s="6"/>
      <c r="J2747" s="6"/>
      <c r="K2747" s="6"/>
      <c r="L2747" s="6"/>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c r="BU2747" s="6"/>
      <c r="BV2747" s="6"/>
      <c r="BW2747" s="6"/>
      <c r="BX2747" s="6"/>
      <c r="BY2747" s="6"/>
      <c r="BZ2747" s="6"/>
      <c r="CA2747" s="6"/>
      <c r="CB2747" s="6"/>
      <c r="CC2747" s="6"/>
      <c r="CD2747" s="6"/>
      <c r="CE2747" s="6"/>
      <c r="CF2747" s="6"/>
      <c r="CG2747" s="6"/>
      <c r="CH2747" s="6"/>
      <c r="CI2747" s="6"/>
      <c r="CJ2747" s="6"/>
      <c r="CK2747" s="6"/>
      <c r="CL2747" s="6"/>
      <c r="CM2747" s="6"/>
      <c r="CN2747" s="6"/>
      <c r="CO2747" s="6"/>
      <c r="CP2747" s="6"/>
      <c r="CQ2747" s="6"/>
      <c r="CR2747" s="6"/>
      <c r="CS2747" s="6"/>
      <c r="CT2747" s="6"/>
      <c r="CU2747" s="6"/>
      <c r="CV2747" s="6"/>
      <c r="CW2747" s="6"/>
      <c r="CX2747" s="6"/>
      <c r="CY2747" s="6"/>
      <c r="CZ2747" s="6"/>
      <c r="DA2747" s="6"/>
      <c r="DB2747" s="6"/>
      <c r="DC2747" s="6"/>
      <c r="DD2747" s="6"/>
    </row>
    <row r="2748" spans="1:108" ht="12.75" hidden="1" customHeight="1" outlineLevel="5">
      <c r="A2748" s="104" t="s">
        <v>66</v>
      </c>
      <c r="B2748" s="28">
        <f t="shared" si="156"/>
        <v>0</v>
      </c>
      <c r="C2748" s="11"/>
      <c r="D2748" s="18" t="str">
        <f t="shared" si="158"/>
        <v>&lt;RotRel_Y&gt;0.000000&lt;/RotRel_Y&gt;</v>
      </c>
      <c r="F2748" s="6"/>
      <c r="G2748" s="6"/>
      <c r="H2748" s="6"/>
      <c r="I2748" s="6"/>
      <c r="J2748" s="6"/>
      <c r="K2748" s="6"/>
      <c r="L2748" s="6"/>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c r="BU2748" s="6"/>
      <c r="BV2748" s="6"/>
      <c r="BW2748" s="6"/>
      <c r="BX2748" s="6"/>
      <c r="BY2748" s="6"/>
      <c r="BZ2748" s="6"/>
      <c r="CA2748" s="6"/>
      <c r="CB2748" s="6"/>
      <c r="CC2748" s="6"/>
      <c r="CD2748" s="6"/>
      <c r="CE2748" s="6"/>
      <c r="CF2748" s="6"/>
      <c r="CG2748" s="6"/>
      <c r="CH2748" s="6"/>
      <c r="CI2748" s="6"/>
      <c r="CJ2748" s="6"/>
      <c r="CK2748" s="6"/>
      <c r="CL2748" s="6"/>
      <c r="CM2748" s="6"/>
      <c r="CN2748" s="6"/>
      <c r="CO2748" s="6"/>
      <c r="CP2748" s="6"/>
      <c r="CQ2748" s="6"/>
      <c r="CR2748" s="6"/>
      <c r="CS2748" s="6"/>
      <c r="CT2748" s="6"/>
      <c r="CU2748" s="6"/>
      <c r="CV2748" s="6"/>
      <c r="CW2748" s="6"/>
      <c r="CX2748" s="6"/>
      <c r="CY2748" s="6"/>
      <c r="CZ2748" s="6"/>
      <c r="DA2748" s="6"/>
      <c r="DB2748" s="6"/>
      <c r="DC2748" s="6"/>
      <c r="DD2748" s="6"/>
    </row>
    <row r="2749" spans="1:108" ht="12.75" hidden="1" customHeight="1" outlineLevel="5">
      <c r="A2749" s="104" t="s">
        <v>67</v>
      </c>
      <c r="B2749" s="28">
        <f t="shared" si="156"/>
        <v>0</v>
      </c>
      <c r="C2749" s="11"/>
      <c r="D2749" s="18" t="str">
        <f t="shared" si="158"/>
        <v>&lt;RotRel_Z&gt;0.000000&lt;/RotRel_Z&gt;</v>
      </c>
      <c r="F2749" s="6"/>
      <c r="G2749" s="6"/>
      <c r="H2749" s="6"/>
      <c r="I2749" s="6"/>
      <c r="J2749" s="6"/>
      <c r="K2749" s="6"/>
      <c r="L2749" s="6"/>
      <c r="M2749" s="6"/>
      <c r="N2749" s="6"/>
      <c r="O2749" s="6"/>
      <c r="P2749" s="6"/>
      <c r="Q2749" s="6"/>
      <c r="R2749" s="6"/>
      <c r="S2749" s="6"/>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c r="BU2749" s="6"/>
      <c r="BV2749" s="6"/>
      <c r="BW2749" s="6"/>
      <c r="BX2749" s="6"/>
      <c r="BY2749" s="6"/>
      <c r="BZ2749" s="6"/>
      <c r="CA2749" s="6"/>
      <c r="CB2749" s="6"/>
      <c r="CC2749" s="6"/>
      <c r="CD2749" s="6"/>
      <c r="CE2749" s="6"/>
      <c r="CF2749" s="6"/>
      <c r="CG2749" s="6"/>
      <c r="CH2749" s="6"/>
      <c r="CI2749" s="6"/>
      <c r="CJ2749" s="6"/>
      <c r="CK2749" s="6"/>
      <c r="CL2749" s="6"/>
      <c r="CM2749" s="6"/>
      <c r="CN2749" s="6"/>
      <c r="CO2749" s="6"/>
      <c r="CP2749" s="6"/>
      <c r="CQ2749" s="6"/>
      <c r="CR2749" s="6"/>
      <c r="CS2749" s="6"/>
      <c r="CT2749" s="6"/>
      <c r="CU2749" s="6"/>
      <c r="CV2749" s="6"/>
      <c r="CW2749" s="6"/>
      <c r="CX2749" s="6"/>
      <c r="CY2749" s="6"/>
      <c r="CZ2749" s="6"/>
      <c r="DA2749" s="6"/>
      <c r="DB2749" s="6"/>
      <c r="DC2749" s="6"/>
      <c r="DD2749" s="6"/>
    </row>
    <row r="2750" spans="1:108" ht="12.75" hidden="1" customHeight="1" outlineLevel="5">
      <c r="A2750" s="104" t="s">
        <v>68</v>
      </c>
      <c r="B2750" s="28">
        <f t="shared" si="156"/>
        <v>0</v>
      </c>
      <c r="C2750" s="11"/>
      <c r="D2750" s="18" t="str">
        <f t="shared" si="158"/>
        <v>&lt;Origin&gt;0.000000&lt;/Origin&gt;</v>
      </c>
      <c r="F2750" s="6"/>
      <c r="G2750" s="6"/>
      <c r="H2750" s="6"/>
      <c r="I2750" s="6"/>
      <c r="J2750" s="6"/>
      <c r="K2750" s="6"/>
      <c r="L2750" s="6"/>
      <c r="M2750" s="6"/>
      <c r="N2750" s="6"/>
      <c r="O2750" s="6"/>
      <c r="P2750" s="6"/>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c r="BU2750" s="6"/>
      <c r="BV2750" s="6"/>
      <c r="BW2750" s="6"/>
      <c r="BX2750" s="6"/>
      <c r="BY2750" s="6"/>
      <c r="BZ2750" s="6"/>
      <c r="CA2750" s="6"/>
      <c r="CB2750" s="6"/>
      <c r="CC2750" s="6"/>
      <c r="CD2750" s="6"/>
      <c r="CE2750" s="6"/>
      <c r="CF2750" s="6"/>
      <c r="CG2750" s="6"/>
      <c r="CH2750" s="6"/>
      <c r="CI2750" s="6"/>
      <c r="CJ2750" s="6"/>
      <c r="CK2750" s="6"/>
      <c r="CL2750" s="6"/>
      <c r="CM2750" s="6"/>
      <c r="CN2750" s="6"/>
      <c r="CO2750" s="6"/>
      <c r="CP2750" s="6"/>
      <c r="CQ2750" s="6"/>
      <c r="CR2750" s="6"/>
      <c r="CS2750" s="6"/>
      <c r="CT2750" s="6"/>
      <c r="CU2750" s="6"/>
      <c r="CV2750" s="6"/>
      <c r="CW2750" s="6"/>
      <c r="CX2750" s="6"/>
      <c r="CY2750" s="6"/>
      <c r="CZ2750" s="6"/>
      <c r="DA2750" s="6"/>
      <c r="DB2750" s="6"/>
      <c r="DC2750" s="6"/>
      <c r="DD2750" s="6"/>
    </row>
    <row r="2751" spans="1:108" ht="12.75" hidden="1" customHeight="1" outlineLevel="5">
      <c r="A2751" s="104" t="s">
        <v>69</v>
      </c>
      <c r="B2751" s="28">
        <f t="shared" si="156"/>
        <v>1</v>
      </c>
      <c r="C2751" s="11"/>
      <c r="D2751" s="18" t="str">
        <f t="shared" si="158"/>
        <v>&lt;Density&gt;1.000000&lt;/Density&gt;</v>
      </c>
      <c r="F2751" s="6"/>
      <c r="G2751" s="6"/>
      <c r="H2751" s="6"/>
      <c r="I2751" s="6"/>
      <c r="J2751" s="6"/>
      <c r="K2751" s="6"/>
      <c r="L2751" s="6"/>
      <c r="M2751" s="6"/>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c r="BU2751" s="6"/>
      <c r="BV2751" s="6"/>
      <c r="BW2751" s="6"/>
      <c r="BX2751" s="6"/>
      <c r="BY2751" s="6"/>
      <c r="BZ2751" s="6"/>
      <c r="CA2751" s="6"/>
      <c r="CB2751" s="6"/>
      <c r="CC2751" s="6"/>
      <c r="CD2751" s="6"/>
      <c r="CE2751" s="6"/>
      <c r="CF2751" s="6"/>
      <c r="CG2751" s="6"/>
      <c r="CH2751" s="6"/>
      <c r="CI2751" s="6"/>
      <c r="CJ2751" s="6"/>
      <c r="CK2751" s="6"/>
      <c r="CL2751" s="6"/>
      <c r="CM2751" s="6"/>
      <c r="CN2751" s="6"/>
      <c r="CO2751" s="6"/>
      <c r="CP2751" s="6"/>
      <c r="CQ2751" s="6"/>
      <c r="CR2751" s="6"/>
      <c r="CS2751" s="6"/>
      <c r="CT2751" s="6"/>
      <c r="CU2751" s="6"/>
      <c r="CV2751" s="6"/>
      <c r="CW2751" s="6"/>
      <c r="CX2751" s="6"/>
      <c r="CY2751" s="6"/>
      <c r="CZ2751" s="6"/>
      <c r="DA2751" s="6"/>
      <c r="DB2751" s="6"/>
      <c r="DC2751" s="6"/>
      <c r="DD2751" s="6"/>
    </row>
    <row r="2752" spans="1:108" ht="12.75" hidden="1" customHeight="1" outlineLevel="5">
      <c r="A2752" s="104" t="s">
        <v>70</v>
      </c>
      <c r="B2752" s="28">
        <f t="shared" si="156"/>
        <v>1</v>
      </c>
      <c r="C2752" s="11"/>
      <c r="D2752" s="18" t="str">
        <f t="shared" si="158"/>
        <v>&lt;ShellMassArea&gt;1.000000&lt;/ShellMassArea&gt;</v>
      </c>
      <c r="F2752" s="6"/>
      <c r="G2752" s="6"/>
      <c r="H2752" s="6"/>
      <c r="I2752" s="6"/>
      <c r="J2752" s="6"/>
      <c r="K2752" s="6"/>
      <c r="L2752" s="6"/>
      <c r="M2752" s="6"/>
      <c r="N2752" s="6"/>
      <c r="O2752" s="6"/>
      <c r="P2752" s="6"/>
      <c r="Q2752" s="6"/>
      <c r="R2752" s="6"/>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c r="BU2752" s="6"/>
      <c r="BV2752" s="6"/>
      <c r="BW2752" s="6"/>
      <c r="BX2752" s="6"/>
      <c r="BY2752" s="6"/>
      <c r="BZ2752" s="6"/>
      <c r="CA2752" s="6"/>
      <c r="CB2752" s="6"/>
      <c r="CC2752" s="6"/>
      <c r="CD2752" s="6"/>
      <c r="CE2752" s="6"/>
      <c r="CF2752" s="6"/>
      <c r="CG2752" s="6"/>
      <c r="CH2752" s="6"/>
      <c r="CI2752" s="6"/>
      <c r="CJ2752" s="6"/>
      <c r="CK2752" s="6"/>
      <c r="CL2752" s="6"/>
      <c r="CM2752" s="6"/>
      <c r="CN2752" s="6"/>
      <c r="CO2752" s="6"/>
      <c r="CP2752" s="6"/>
      <c r="CQ2752" s="6"/>
      <c r="CR2752" s="6"/>
      <c r="CS2752" s="6"/>
      <c r="CT2752" s="6"/>
      <c r="CU2752" s="6"/>
      <c r="CV2752" s="6"/>
      <c r="CW2752" s="6"/>
      <c r="CX2752" s="6"/>
      <c r="CY2752" s="6"/>
      <c r="CZ2752" s="6"/>
      <c r="DA2752" s="6"/>
      <c r="DB2752" s="6"/>
      <c r="DC2752" s="6"/>
      <c r="DD2752" s="6"/>
    </row>
    <row r="2753" spans="1:108" ht="12.75" hidden="1" customHeight="1" outlineLevel="5">
      <c r="A2753" s="104" t="s">
        <v>71</v>
      </c>
      <c r="B2753" s="28">
        <f t="shared" si="156"/>
        <v>0</v>
      </c>
      <c r="C2753" s="11"/>
      <c r="D2753" s="18" t="str">
        <f>"&lt;" &amp; A2753 &amp; "&gt;" &amp; TEXT(B2753,0) &amp; "&lt;/" &amp; A2753 &amp; "&gt;"</f>
        <v>&lt;RefFlag&gt;0&lt;/RefFlag&gt;</v>
      </c>
      <c r="F2753" s="6"/>
      <c r="G2753" s="6"/>
      <c r="H2753" s="6"/>
      <c r="I2753" s="6"/>
      <c r="J2753" s="6"/>
      <c r="K2753" s="6"/>
      <c r="L2753" s="6"/>
      <c r="M2753" s="6"/>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c r="BU2753" s="6"/>
      <c r="BV2753" s="6"/>
      <c r="BW2753" s="6"/>
      <c r="BX2753" s="6"/>
      <c r="BY2753" s="6"/>
      <c r="BZ2753" s="6"/>
      <c r="CA2753" s="6"/>
      <c r="CB2753" s="6"/>
      <c r="CC2753" s="6"/>
      <c r="CD2753" s="6"/>
      <c r="CE2753" s="6"/>
      <c r="CF2753" s="6"/>
      <c r="CG2753" s="6"/>
      <c r="CH2753" s="6"/>
      <c r="CI2753" s="6"/>
      <c r="CJ2753" s="6"/>
      <c r="CK2753" s="6"/>
      <c r="CL2753" s="6"/>
      <c r="CM2753" s="6"/>
      <c r="CN2753" s="6"/>
      <c r="CO2753" s="6"/>
      <c r="CP2753" s="6"/>
      <c r="CQ2753" s="6"/>
      <c r="CR2753" s="6"/>
      <c r="CS2753" s="6"/>
      <c r="CT2753" s="6"/>
      <c r="CU2753" s="6"/>
      <c r="CV2753" s="6"/>
      <c r="CW2753" s="6"/>
      <c r="CX2753" s="6"/>
      <c r="CY2753" s="6"/>
      <c r="CZ2753" s="6"/>
      <c r="DA2753" s="6"/>
      <c r="DB2753" s="6"/>
      <c r="DC2753" s="6"/>
      <c r="DD2753" s="6"/>
    </row>
    <row r="2754" spans="1:108" ht="12.75" hidden="1" customHeight="1" outlineLevel="5">
      <c r="A2754" s="104" t="s">
        <v>72</v>
      </c>
      <c r="B2754" s="28">
        <f t="shared" si="156"/>
        <v>100</v>
      </c>
      <c r="C2754" s="11"/>
      <c r="D2754" s="18" t="str">
        <f>"&lt;" &amp; A2754 &amp; "&gt;" &amp; TEXT(B2754,"0.000000") &amp; "&lt;/" &amp; A2754 &amp; "&gt;"</f>
        <v>&lt;RefArea&gt;100.000000&lt;/RefArea&gt;</v>
      </c>
      <c r="F2754" s="6"/>
      <c r="G2754" s="6"/>
      <c r="H2754" s="6"/>
      <c r="I2754" s="6"/>
      <c r="J2754" s="6"/>
      <c r="K2754" s="6"/>
      <c r="L2754" s="6"/>
      <c r="M2754" s="6"/>
      <c r="N2754" s="6"/>
      <c r="O2754" s="6"/>
      <c r="P2754" s="6"/>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c r="BU2754" s="6"/>
      <c r="BV2754" s="6"/>
      <c r="BW2754" s="6"/>
      <c r="BX2754" s="6"/>
      <c r="BY2754" s="6"/>
      <c r="BZ2754" s="6"/>
      <c r="CA2754" s="6"/>
      <c r="CB2754" s="6"/>
      <c r="CC2754" s="6"/>
      <c r="CD2754" s="6"/>
      <c r="CE2754" s="6"/>
      <c r="CF2754" s="6"/>
      <c r="CG2754" s="6"/>
      <c r="CH2754" s="6"/>
      <c r="CI2754" s="6"/>
      <c r="CJ2754" s="6"/>
      <c r="CK2754" s="6"/>
      <c r="CL2754" s="6"/>
      <c r="CM2754" s="6"/>
      <c r="CN2754" s="6"/>
      <c r="CO2754" s="6"/>
      <c r="CP2754" s="6"/>
      <c r="CQ2754" s="6"/>
      <c r="CR2754" s="6"/>
      <c r="CS2754" s="6"/>
      <c r="CT2754" s="6"/>
      <c r="CU2754" s="6"/>
      <c r="CV2754" s="6"/>
      <c r="CW2754" s="6"/>
      <c r="CX2754" s="6"/>
      <c r="CY2754" s="6"/>
      <c r="CZ2754" s="6"/>
      <c r="DA2754" s="6"/>
      <c r="DB2754" s="6"/>
      <c r="DC2754" s="6"/>
      <c r="DD2754" s="6"/>
    </row>
    <row r="2755" spans="1:108" ht="12.75" hidden="1" customHeight="1" outlineLevel="5">
      <c r="A2755" s="104" t="s">
        <v>73</v>
      </c>
      <c r="B2755" s="28">
        <f t="shared" si="156"/>
        <v>10</v>
      </c>
      <c r="C2755" s="11"/>
      <c r="D2755" s="18" t="str">
        <f>"&lt;" &amp; A2755 &amp; "&gt;" &amp; TEXT(B2755,"0.000000") &amp; "&lt;/" &amp; A2755 &amp; "&gt;"</f>
        <v>&lt;RefSpan&gt;10.000000&lt;/RefSpan&gt;</v>
      </c>
      <c r="F2755" s="6"/>
      <c r="G2755" s="6"/>
      <c r="H2755" s="6"/>
      <c r="I2755" s="6"/>
      <c r="J2755" s="6"/>
      <c r="K2755" s="6"/>
      <c r="L2755" s="6"/>
      <c r="M2755" s="6"/>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c r="BU2755" s="6"/>
      <c r="BV2755" s="6"/>
      <c r="BW2755" s="6"/>
      <c r="BX2755" s="6"/>
      <c r="BY2755" s="6"/>
      <c r="BZ2755" s="6"/>
      <c r="CA2755" s="6"/>
      <c r="CB2755" s="6"/>
      <c r="CC2755" s="6"/>
      <c r="CD2755" s="6"/>
      <c r="CE2755" s="6"/>
      <c r="CF2755" s="6"/>
      <c r="CG2755" s="6"/>
      <c r="CH2755" s="6"/>
      <c r="CI2755" s="6"/>
      <c r="CJ2755" s="6"/>
      <c r="CK2755" s="6"/>
      <c r="CL2755" s="6"/>
      <c r="CM2755" s="6"/>
      <c r="CN2755" s="6"/>
      <c r="CO2755" s="6"/>
      <c r="CP2755" s="6"/>
      <c r="CQ2755" s="6"/>
      <c r="CR2755" s="6"/>
      <c r="CS2755" s="6"/>
      <c r="CT2755" s="6"/>
      <c r="CU2755" s="6"/>
      <c r="CV2755" s="6"/>
      <c r="CW2755" s="6"/>
      <c r="CX2755" s="6"/>
      <c r="CY2755" s="6"/>
      <c r="CZ2755" s="6"/>
      <c r="DA2755" s="6"/>
      <c r="DB2755" s="6"/>
      <c r="DC2755" s="6"/>
      <c r="DD2755" s="6"/>
    </row>
    <row r="2756" spans="1:108" ht="12.75" hidden="1" customHeight="1" outlineLevel="5">
      <c r="A2756" s="104" t="s">
        <v>74</v>
      </c>
      <c r="B2756" s="28">
        <f t="shared" si="156"/>
        <v>1</v>
      </c>
      <c r="C2756" s="11"/>
      <c r="D2756" s="18" t="str">
        <f>"&lt;" &amp; A2756 &amp; "&gt;" &amp; TEXT(B2756,"0.000000") &amp; "&lt;/" &amp; A2756 &amp; "&gt;"</f>
        <v>&lt;RefCbar&gt;1.000000&lt;/RefCbar&gt;</v>
      </c>
      <c r="F2756" s="6"/>
      <c r="G2756" s="6"/>
      <c r="H2756" s="6"/>
      <c r="I2756" s="6"/>
      <c r="J2756" s="6"/>
      <c r="K2756" s="6"/>
      <c r="L2756" s="6"/>
      <c r="M2756" s="6"/>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c r="BU2756" s="6"/>
      <c r="BV2756" s="6"/>
      <c r="BW2756" s="6"/>
      <c r="BX2756" s="6"/>
      <c r="BY2756" s="6"/>
      <c r="BZ2756" s="6"/>
      <c r="CA2756" s="6"/>
      <c r="CB2756" s="6"/>
      <c r="CC2756" s="6"/>
      <c r="CD2756" s="6"/>
      <c r="CE2756" s="6"/>
      <c r="CF2756" s="6"/>
      <c r="CG2756" s="6"/>
      <c r="CH2756" s="6"/>
      <c r="CI2756" s="6"/>
      <c r="CJ2756" s="6"/>
      <c r="CK2756" s="6"/>
      <c r="CL2756" s="6"/>
      <c r="CM2756" s="6"/>
      <c r="CN2756" s="6"/>
      <c r="CO2756" s="6"/>
      <c r="CP2756" s="6"/>
      <c r="CQ2756" s="6"/>
      <c r="CR2756" s="6"/>
      <c r="CS2756" s="6"/>
      <c r="CT2756" s="6"/>
      <c r="CU2756" s="6"/>
      <c r="CV2756" s="6"/>
      <c r="CW2756" s="6"/>
      <c r="CX2756" s="6"/>
      <c r="CY2756" s="6"/>
      <c r="CZ2756" s="6"/>
      <c r="DA2756" s="6"/>
      <c r="DB2756" s="6"/>
      <c r="DC2756" s="6"/>
      <c r="DD2756" s="6"/>
    </row>
    <row r="2757" spans="1:108" ht="12.75" hidden="1" customHeight="1" outlineLevel="5">
      <c r="A2757" s="104" t="s">
        <v>75</v>
      </c>
      <c r="B2757" s="28">
        <f t="shared" si="156"/>
        <v>1</v>
      </c>
      <c r="C2757" s="11"/>
      <c r="D2757" s="18" t="str">
        <f>"&lt;" &amp; A2757 &amp; "&gt;" &amp; TEXT(B2757,0) &amp; "&lt;/" &amp; A2757 &amp; "&gt;"</f>
        <v>&lt;AutoRefAreaFlag&gt;1&lt;/AutoRefAreaFlag&gt;</v>
      </c>
      <c r="F2757" s="6"/>
      <c r="G2757" s="6"/>
      <c r="H2757" s="6"/>
      <c r="I2757" s="6"/>
      <c r="J2757" s="6"/>
      <c r="K2757" s="6"/>
      <c r="L2757" s="6"/>
      <c r="M2757" s="6"/>
      <c r="N2757" s="6"/>
      <c r="O2757" s="6"/>
      <c r="P2757" s="6"/>
      <c r="Q2757" s="6"/>
      <c r="R2757" s="6"/>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c r="BU2757" s="6"/>
      <c r="BV2757" s="6"/>
      <c r="BW2757" s="6"/>
      <c r="BX2757" s="6"/>
      <c r="BY2757" s="6"/>
      <c r="BZ2757" s="6"/>
      <c r="CA2757" s="6"/>
      <c r="CB2757" s="6"/>
      <c r="CC2757" s="6"/>
      <c r="CD2757" s="6"/>
      <c r="CE2757" s="6"/>
      <c r="CF2757" s="6"/>
      <c r="CG2757" s="6"/>
      <c r="CH2757" s="6"/>
      <c r="CI2757" s="6"/>
      <c r="CJ2757" s="6"/>
      <c r="CK2757" s="6"/>
      <c r="CL2757" s="6"/>
      <c r="CM2757" s="6"/>
      <c r="CN2757" s="6"/>
      <c r="CO2757" s="6"/>
      <c r="CP2757" s="6"/>
      <c r="CQ2757" s="6"/>
      <c r="CR2757" s="6"/>
      <c r="CS2757" s="6"/>
      <c r="CT2757" s="6"/>
      <c r="CU2757" s="6"/>
      <c r="CV2757" s="6"/>
      <c r="CW2757" s="6"/>
      <c r="CX2757" s="6"/>
      <c r="CY2757" s="6"/>
      <c r="CZ2757" s="6"/>
      <c r="DA2757" s="6"/>
      <c r="DB2757" s="6"/>
      <c r="DC2757" s="6"/>
      <c r="DD2757" s="6"/>
    </row>
    <row r="2758" spans="1:108" ht="12.75" hidden="1" customHeight="1" outlineLevel="5">
      <c r="A2758" s="104" t="s">
        <v>76</v>
      </c>
      <c r="B2758" s="28">
        <f t="shared" si="156"/>
        <v>1</v>
      </c>
      <c r="C2758" s="11"/>
      <c r="D2758" s="18" t="str">
        <f>"&lt;" &amp; A2758 &amp; "&gt;" &amp; TEXT(B2758,0) &amp; "&lt;/" &amp; A2758 &amp; "&gt;"</f>
        <v>&lt;AutoRefSpanFlag&gt;1&lt;/AutoRefSpanFlag&gt;</v>
      </c>
      <c r="F2758" s="6"/>
      <c r="G2758" s="6"/>
      <c r="H2758" s="6"/>
      <c r="I2758" s="6"/>
      <c r="J2758" s="6"/>
      <c r="K2758" s="6"/>
      <c r="L2758" s="6"/>
      <c r="M2758" s="6"/>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c r="BU2758" s="6"/>
      <c r="BV2758" s="6"/>
      <c r="BW2758" s="6"/>
      <c r="BX2758" s="6"/>
      <c r="BY2758" s="6"/>
      <c r="BZ2758" s="6"/>
      <c r="CA2758" s="6"/>
      <c r="CB2758" s="6"/>
      <c r="CC2758" s="6"/>
      <c r="CD2758" s="6"/>
      <c r="CE2758" s="6"/>
      <c r="CF2758" s="6"/>
      <c r="CG2758" s="6"/>
      <c r="CH2758" s="6"/>
      <c r="CI2758" s="6"/>
      <c r="CJ2758" s="6"/>
      <c r="CK2758" s="6"/>
      <c r="CL2758" s="6"/>
      <c r="CM2758" s="6"/>
      <c r="CN2758" s="6"/>
      <c r="CO2758" s="6"/>
      <c r="CP2758" s="6"/>
      <c r="CQ2758" s="6"/>
      <c r="CR2758" s="6"/>
      <c r="CS2758" s="6"/>
      <c r="CT2758" s="6"/>
      <c r="CU2758" s="6"/>
      <c r="CV2758" s="6"/>
      <c r="CW2758" s="6"/>
      <c r="CX2758" s="6"/>
      <c r="CY2758" s="6"/>
      <c r="CZ2758" s="6"/>
      <c r="DA2758" s="6"/>
      <c r="DB2758" s="6"/>
      <c r="DC2758" s="6"/>
      <c r="DD2758" s="6"/>
    </row>
    <row r="2759" spans="1:108" ht="12.75" hidden="1" customHeight="1" outlineLevel="5">
      <c r="A2759" s="104" t="s">
        <v>77</v>
      </c>
      <c r="B2759" s="28">
        <f t="shared" si="156"/>
        <v>1</v>
      </c>
      <c r="C2759" s="11"/>
      <c r="D2759" s="18" t="str">
        <f>"&lt;" &amp; A2759 &amp; "&gt;" &amp; TEXT(B2759,0) &amp; "&lt;/" &amp; A2759 &amp; "&gt;"</f>
        <v>&lt;AutoRefCbarFlag&gt;1&lt;/AutoRefCbarFlag&gt;</v>
      </c>
      <c r="F2759" s="6"/>
      <c r="G2759" s="6"/>
      <c r="H2759" s="6"/>
      <c r="I2759" s="6"/>
      <c r="J2759" s="6"/>
      <c r="K2759" s="6"/>
      <c r="L2759" s="6"/>
      <c r="M2759" s="6"/>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c r="BU2759" s="6"/>
      <c r="BV2759" s="6"/>
      <c r="BW2759" s="6"/>
      <c r="BX2759" s="6"/>
      <c r="BY2759" s="6"/>
      <c r="BZ2759" s="6"/>
      <c r="CA2759" s="6"/>
      <c r="CB2759" s="6"/>
      <c r="CC2759" s="6"/>
      <c r="CD2759" s="6"/>
      <c r="CE2759" s="6"/>
      <c r="CF2759" s="6"/>
      <c r="CG2759" s="6"/>
      <c r="CH2759" s="6"/>
      <c r="CI2759" s="6"/>
      <c r="CJ2759" s="6"/>
      <c r="CK2759" s="6"/>
      <c r="CL2759" s="6"/>
      <c r="CM2759" s="6"/>
      <c r="CN2759" s="6"/>
      <c r="CO2759" s="6"/>
      <c r="CP2759" s="6"/>
      <c r="CQ2759" s="6"/>
      <c r="CR2759" s="6"/>
      <c r="CS2759" s="6"/>
      <c r="CT2759" s="6"/>
      <c r="CU2759" s="6"/>
      <c r="CV2759" s="6"/>
      <c r="CW2759" s="6"/>
      <c r="CX2759" s="6"/>
      <c r="CY2759" s="6"/>
      <c r="CZ2759" s="6"/>
      <c r="DA2759" s="6"/>
      <c r="DB2759" s="6"/>
      <c r="DC2759" s="6"/>
      <c r="DD2759" s="6"/>
    </row>
    <row r="2760" spans="1:108" ht="12.75" hidden="1" customHeight="1" outlineLevel="5">
      <c r="A2760" s="104" t="s">
        <v>78</v>
      </c>
      <c r="B2760" s="28">
        <f t="shared" si="156"/>
        <v>0</v>
      </c>
      <c r="C2760" s="11"/>
      <c r="D2760" s="18" t="str">
        <f>"&lt;" &amp; A2760 &amp; "&gt;" &amp; TEXT(B2760,"0.000000") &amp; "&lt;/" &amp; A2760 &amp; "&gt;"</f>
        <v>&lt;AeroCenter_X&gt;0.000000&lt;/AeroCenter_X&gt;</v>
      </c>
      <c r="F2760" s="6"/>
      <c r="G2760" s="6"/>
      <c r="H2760" s="6"/>
      <c r="I2760" s="6"/>
      <c r="J2760" s="6"/>
      <c r="K2760" s="6"/>
      <c r="L2760" s="6"/>
      <c r="M2760" s="6"/>
      <c r="N2760" s="6"/>
      <c r="O2760" s="6"/>
      <c r="P2760" s="6"/>
      <c r="Q2760" s="6"/>
      <c r="R2760" s="6"/>
      <c r="S2760" s="6"/>
      <c r="T2760" s="6"/>
      <c r="U2760" s="6"/>
      <c r="V2760" s="6"/>
      <c r="W2760" s="6"/>
      <c r="X2760" s="6"/>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c r="BU2760" s="6"/>
      <c r="BV2760" s="6"/>
      <c r="BW2760" s="6"/>
      <c r="BX2760" s="6"/>
      <c r="BY2760" s="6"/>
      <c r="BZ2760" s="6"/>
      <c r="CA2760" s="6"/>
      <c r="CB2760" s="6"/>
      <c r="CC2760" s="6"/>
      <c r="CD2760" s="6"/>
      <c r="CE2760" s="6"/>
      <c r="CF2760" s="6"/>
      <c r="CG2760" s="6"/>
      <c r="CH2760" s="6"/>
      <c r="CI2760" s="6"/>
      <c r="CJ2760" s="6"/>
      <c r="CK2760" s="6"/>
      <c r="CL2760" s="6"/>
      <c r="CM2760" s="6"/>
      <c r="CN2760" s="6"/>
      <c r="CO2760" s="6"/>
      <c r="CP2760" s="6"/>
      <c r="CQ2760" s="6"/>
      <c r="CR2760" s="6"/>
      <c r="CS2760" s="6"/>
      <c r="CT2760" s="6"/>
      <c r="CU2760" s="6"/>
      <c r="CV2760" s="6"/>
      <c r="CW2760" s="6"/>
      <c r="CX2760" s="6"/>
      <c r="CY2760" s="6"/>
      <c r="CZ2760" s="6"/>
      <c r="DA2760" s="6"/>
      <c r="DB2760" s="6"/>
      <c r="DC2760" s="6"/>
      <c r="DD2760" s="6"/>
    </row>
    <row r="2761" spans="1:108" ht="12.75" hidden="1" customHeight="1" outlineLevel="5">
      <c r="A2761" s="104" t="s">
        <v>79</v>
      </c>
      <c r="B2761" s="28">
        <f t="shared" si="156"/>
        <v>0</v>
      </c>
      <c r="C2761" s="11"/>
      <c r="D2761" s="18" t="str">
        <f>"&lt;" &amp; A2761 &amp; "&gt;" &amp; TEXT(B2761,"0.000000") &amp; "&lt;/" &amp; A2761 &amp; "&gt;"</f>
        <v>&lt;AeroCenter_Y&gt;0.000000&lt;/AeroCenter_Y&gt;</v>
      </c>
      <c r="F2761" s="6"/>
      <c r="G2761" s="6"/>
      <c r="H2761" s="6"/>
      <c r="I2761" s="6"/>
      <c r="J2761" s="6"/>
      <c r="K2761" s="6"/>
      <c r="L2761" s="6"/>
      <c r="M2761" s="6"/>
      <c r="N2761" s="6"/>
      <c r="O2761" s="6"/>
      <c r="P2761" s="6"/>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c r="BU2761" s="6"/>
      <c r="BV2761" s="6"/>
      <c r="BW2761" s="6"/>
      <c r="BX2761" s="6"/>
      <c r="BY2761" s="6"/>
      <c r="BZ2761" s="6"/>
      <c r="CA2761" s="6"/>
      <c r="CB2761" s="6"/>
      <c r="CC2761" s="6"/>
      <c r="CD2761" s="6"/>
      <c r="CE2761" s="6"/>
      <c r="CF2761" s="6"/>
      <c r="CG2761" s="6"/>
      <c r="CH2761" s="6"/>
      <c r="CI2761" s="6"/>
      <c r="CJ2761" s="6"/>
      <c r="CK2761" s="6"/>
      <c r="CL2761" s="6"/>
      <c r="CM2761" s="6"/>
      <c r="CN2761" s="6"/>
      <c r="CO2761" s="6"/>
      <c r="CP2761" s="6"/>
      <c r="CQ2761" s="6"/>
      <c r="CR2761" s="6"/>
      <c r="CS2761" s="6"/>
      <c r="CT2761" s="6"/>
      <c r="CU2761" s="6"/>
      <c r="CV2761" s="6"/>
      <c r="CW2761" s="6"/>
      <c r="CX2761" s="6"/>
      <c r="CY2761" s="6"/>
      <c r="CZ2761" s="6"/>
      <c r="DA2761" s="6"/>
      <c r="DB2761" s="6"/>
      <c r="DC2761" s="6"/>
      <c r="DD2761" s="6"/>
    </row>
    <row r="2762" spans="1:108" ht="12.75" hidden="1" customHeight="1" outlineLevel="5">
      <c r="A2762" s="104" t="s">
        <v>80</v>
      </c>
      <c r="B2762" s="28">
        <f t="shared" si="156"/>
        <v>0</v>
      </c>
      <c r="C2762" s="11"/>
      <c r="D2762" s="18" t="str">
        <f>"&lt;" &amp; A2762 &amp; "&gt;" &amp; TEXT(B2762,"0.000000") &amp; "&lt;/" &amp; A2762 &amp; "&gt;"</f>
        <v>&lt;AeroCenter_Z&gt;0.000000&lt;/AeroCenter_Z&gt;</v>
      </c>
      <c r="F2762" s="6"/>
      <c r="G2762" s="6"/>
      <c r="H2762" s="6"/>
      <c r="I2762" s="6"/>
      <c r="J2762" s="6"/>
      <c r="K2762" s="6"/>
      <c r="L2762" s="6"/>
      <c r="M2762" s="6"/>
      <c r="N2762" s="6"/>
      <c r="O2762" s="6"/>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c r="BU2762" s="6"/>
      <c r="BV2762" s="6"/>
      <c r="BW2762" s="6"/>
      <c r="BX2762" s="6"/>
      <c r="BY2762" s="6"/>
      <c r="BZ2762" s="6"/>
      <c r="CA2762" s="6"/>
      <c r="CB2762" s="6"/>
      <c r="CC2762" s="6"/>
      <c r="CD2762" s="6"/>
      <c r="CE2762" s="6"/>
      <c r="CF2762" s="6"/>
      <c r="CG2762" s="6"/>
      <c r="CH2762" s="6"/>
      <c r="CI2762" s="6"/>
      <c r="CJ2762" s="6"/>
      <c r="CK2762" s="6"/>
      <c r="CL2762" s="6"/>
      <c r="CM2762" s="6"/>
      <c r="CN2762" s="6"/>
      <c r="CO2762" s="6"/>
      <c r="CP2762" s="6"/>
      <c r="CQ2762" s="6"/>
      <c r="CR2762" s="6"/>
      <c r="CS2762" s="6"/>
      <c r="CT2762" s="6"/>
      <c r="CU2762" s="6"/>
      <c r="CV2762" s="6"/>
      <c r="CW2762" s="6"/>
      <c r="CX2762" s="6"/>
      <c r="CY2762" s="6"/>
      <c r="CZ2762" s="6"/>
      <c r="DA2762" s="6"/>
      <c r="DB2762" s="6"/>
      <c r="DC2762" s="6"/>
      <c r="DD2762" s="6"/>
    </row>
    <row r="2763" spans="1:108" ht="12.75" hidden="1" customHeight="1" outlineLevel="5">
      <c r="A2763" s="104" t="s">
        <v>81</v>
      </c>
      <c r="B2763" s="28">
        <f t="shared" si="156"/>
        <v>1</v>
      </c>
      <c r="C2763" s="11"/>
      <c r="D2763" s="18" t="str">
        <f>"&lt;" &amp; A2763 &amp; "&gt;" &amp; TEXT(B2763,0) &amp; "&lt;/" &amp; A2763 &amp; "&gt;"</f>
        <v>&lt;AutoAeroCenterFlag&gt;1&lt;/AutoAeroCenterFlag&gt;</v>
      </c>
      <c r="F2763" s="6"/>
      <c r="G2763" s="6"/>
      <c r="H2763" s="6"/>
      <c r="I2763" s="6"/>
      <c r="J2763" s="6"/>
      <c r="K2763" s="6"/>
      <c r="L2763" s="6"/>
      <c r="M2763" s="6"/>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c r="BU2763" s="6"/>
      <c r="BV2763" s="6"/>
      <c r="BW2763" s="6"/>
      <c r="BX2763" s="6"/>
      <c r="BY2763" s="6"/>
      <c r="BZ2763" s="6"/>
      <c r="CA2763" s="6"/>
      <c r="CB2763" s="6"/>
      <c r="CC2763" s="6"/>
      <c r="CD2763" s="6"/>
      <c r="CE2763" s="6"/>
      <c r="CF2763" s="6"/>
      <c r="CG2763" s="6"/>
      <c r="CH2763" s="6"/>
      <c r="CI2763" s="6"/>
      <c r="CJ2763" s="6"/>
      <c r="CK2763" s="6"/>
      <c r="CL2763" s="6"/>
      <c r="CM2763" s="6"/>
      <c r="CN2763" s="6"/>
      <c r="CO2763" s="6"/>
      <c r="CP2763" s="6"/>
      <c r="CQ2763" s="6"/>
      <c r="CR2763" s="6"/>
      <c r="CS2763" s="6"/>
      <c r="CT2763" s="6"/>
      <c r="CU2763" s="6"/>
      <c r="CV2763" s="6"/>
      <c r="CW2763" s="6"/>
      <c r="CX2763" s="6"/>
      <c r="CY2763" s="6"/>
      <c r="CZ2763" s="6"/>
      <c r="DA2763" s="6"/>
      <c r="DB2763" s="6"/>
      <c r="DC2763" s="6"/>
      <c r="DD2763" s="6"/>
    </row>
    <row r="2764" spans="1:108" ht="12.75" hidden="1" customHeight="1" outlineLevel="5">
      <c r="A2764" s="104" t="s">
        <v>82</v>
      </c>
      <c r="B2764" s="28">
        <f t="shared" si="156"/>
        <v>0</v>
      </c>
      <c r="C2764" s="11"/>
      <c r="D2764" s="18" t="str">
        <f>"&lt;" &amp; A2764 &amp; "&gt;" &amp; TEXT(B2764,0) &amp; "&lt;/" &amp; A2764 &amp; "&gt;"</f>
        <v>&lt;WakeActiveFlag&gt;0&lt;/WakeActiveFlag&gt;</v>
      </c>
      <c r="F2764" s="6"/>
      <c r="G2764" s="6"/>
      <c r="H2764" s="6"/>
      <c r="I2764" s="6"/>
      <c r="J2764" s="6"/>
      <c r="K2764" s="6"/>
      <c r="L2764" s="6"/>
      <c r="M2764" s="6"/>
      <c r="N2764" s="6"/>
      <c r="O2764" s="6"/>
      <c r="P2764" s="6"/>
      <c r="Q2764" s="6"/>
      <c r="R2764" s="6"/>
      <c r="S2764" s="6"/>
      <c r="T2764" s="6"/>
      <c r="U2764" s="6"/>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c r="BU2764" s="6"/>
      <c r="BV2764" s="6"/>
      <c r="BW2764" s="6"/>
      <c r="BX2764" s="6"/>
      <c r="BY2764" s="6"/>
      <c r="BZ2764" s="6"/>
      <c r="CA2764" s="6"/>
      <c r="CB2764" s="6"/>
      <c r="CC2764" s="6"/>
      <c r="CD2764" s="6"/>
      <c r="CE2764" s="6"/>
      <c r="CF2764" s="6"/>
      <c r="CG2764" s="6"/>
      <c r="CH2764" s="6"/>
      <c r="CI2764" s="6"/>
      <c r="CJ2764" s="6"/>
      <c r="CK2764" s="6"/>
      <c r="CL2764" s="6"/>
      <c r="CM2764" s="6"/>
      <c r="CN2764" s="6"/>
      <c r="CO2764" s="6"/>
      <c r="CP2764" s="6"/>
      <c r="CQ2764" s="6"/>
      <c r="CR2764" s="6"/>
      <c r="CS2764" s="6"/>
      <c r="CT2764" s="6"/>
      <c r="CU2764" s="6"/>
      <c r="CV2764" s="6"/>
      <c r="CW2764" s="6"/>
      <c r="CX2764" s="6"/>
      <c r="CY2764" s="6"/>
      <c r="CZ2764" s="6"/>
      <c r="DA2764" s="6"/>
      <c r="DB2764" s="6"/>
      <c r="DC2764" s="6"/>
      <c r="DD2764" s="6"/>
    </row>
    <row r="2765" spans="1:108" ht="12.75" hidden="1" customHeight="1" outlineLevel="5">
      <c r="A2765" s="104" t="s">
        <v>83</v>
      </c>
      <c r="B2765" s="28">
        <f t="shared" si="156"/>
        <v>3</v>
      </c>
      <c r="C2765" s="11"/>
      <c r="D2765" s="18" t="str">
        <f>"&lt;" &amp; A2765 &amp; "&gt;" &amp; TEXT(B2765,0) &amp; "&lt;/" &amp; A2765 &amp; "&gt;"</f>
        <v>&lt;PosAttachFlag&gt;3&lt;/PosAttachFlag&gt;</v>
      </c>
      <c r="F2765" s="6"/>
      <c r="G2765" s="6"/>
      <c r="H2765" s="6"/>
      <c r="I2765" s="6"/>
      <c r="J2765" s="6"/>
      <c r="K2765" s="6"/>
      <c r="L2765" s="6"/>
      <c r="M2765" s="6"/>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c r="BU2765" s="6"/>
      <c r="BV2765" s="6"/>
      <c r="BW2765" s="6"/>
      <c r="BX2765" s="6"/>
      <c r="BY2765" s="6"/>
      <c r="BZ2765" s="6"/>
      <c r="CA2765" s="6"/>
      <c r="CB2765" s="6"/>
      <c r="CC2765" s="6"/>
      <c r="CD2765" s="6"/>
      <c r="CE2765" s="6"/>
      <c r="CF2765" s="6"/>
      <c r="CG2765" s="6"/>
      <c r="CH2765" s="6"/>
      <c r="CI2765" s="6"/>
      <c r="CJ2765" s="6"/>
      <c r="CK2765" s="6"/>
      <c r="CL2765" s="6"/>
      <c r="CM2765" s="6"/>
      <c r="CN2765" s="6"/>
      <c r="CO2765" s="6"/>
      <c r="CP2765" s="6"/>
      <c r="CQ2765" s="6"/>
      <c r="CR2765" s="6"/>
      <c r="CS2765" s="6"/>
      <c r="CT2765" s="6"/>
      <c r="CU2765" s="6"/>
      <c r="CV2765" s="6"/>
      <c r="CW2765" s="6"/>
      <c r="CX2765" s="6"/>
      <c r="CY2765" s="6"/>
      <c r="CZ2765" s="6"/>
      <c r="DA2765" s="6"/>
      <c r="DB2765" s="6"/>
      <c r="DC2765" s="6"/>
      <c r="DD2765" s="6"/>
    </row>
    <row r="2766" spans="1:108" ht="12.75" hidden="1" customHeight="1" outlineLevel="5">
      <c r="A2766" s="104" t="s">
        <v>84</v>
      </c>
      <c r="B2766" s="28">
        <f t="shared" si="156"/>
        <v>0</v>
      </c>
      <c r="C2766" s="11"/>
      <c r="D2766" s="18" t="str">
        <f>"&lt;" &amp; A2766 &amp; "&gt;" &amp; TEXT(B2766,"0.000000") &amp; "&lt;/" &amp; A2766 &amp; "&gt;"</f>
        <v>&lt;U_Attach&gt;0.000000&lt;/U_Attach&gt;</v>
      </c>
      <c r="F2766" s="6"/>
      <c r="G2766" s="6"/>
      <c r="H2766" s="6"/>
      <c r="I2766" s="6"/>
      <c r="J2766" s="6"/>
      <c r="K2766" s="6"/>
      <c r="L2766" s="6"/>
      <c r="M2766" s="6"/>
      <c r="N2766" s="6"/>
      <c r="O2766" s="6"/>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c r="BU2766" s="6"/>
      <c r="BV2766" s="6"/>
      <c r="BW2766" s="6"/>
      <c r="BX2766" s="6"/>
      <c r="BY2766" s="6"/>
      <c r="BZ2766" s="6"/>
      <c r="CA2766" s="6"/>
      <c r="CB2766" s="6"/>
      <c r="CC2766" s="6"/>
      <c r="CD2766" s="6"/>
      <c r="CE2766" s="6"/>
      <c r="CF2766" s="6"/>
      <c r="CG2766" s="6"/>
      <c r="CH2766" s="6"/>
      <c r="CI2766" s="6"/>
      <c r="CJ2766" s="6"/>
      <c r="CK2766" s="6"/>
      <c r="CL2766" s="6"/>
      <c r="CM2766" s="6"/>
      <c r="CN2766" s="6"/>
      <c r="CO2766" s="6"/>
      <c r="CP2766" s="6"/>
      <c r="CQ2766" s="6"/>
      <c r="CR2766" s="6"/>
      <c r="CS2766" s="6"/>
      <c r="CT2766" s="6"/>
      <c r="CU2766" s="6"/>
      <c r="CV2766" s="6"/>
      <c r="CW2766" s="6"/>
      <c r="CX2766" s="6"/>
      <c r="CY2766" s="6"/>
      <c r="CZ2766" s="6"/>
      <c r="DA2766" s="6"/>
      <c r="DB2766" s="6"/>
      <c r="DC2766" s="6"/>
      <c r="DD2766" s="6"/>
    </row>
    <row r="2767" spans="1:108" ht="12.75" hidden="1" customHeight="1" outlineLevel="5">
      <c r="A2767" s="104" t="s">
        <v>85</v>
      </c>
      <c r="B2767" s="28">
        <f t="shared" si="156"/>
        <v>0</v>
      </c>
      <c r="C2767" s="11"/>
      <c r="D2767" s="18" t="str">
        <f>"&lt;" &amp; A2767 &amp; "&gt;" &amp; TEXT(B2767,"0.000000") &amp; "&lt;/" &amp; A2767 &amp; "&gt;"</f>
        <v>&lt;V_Attach&gt;0.000000&lt;/V_Attach&gt;</v>
      </c>
      <c r="F2767" s="6"/>
      <c r="G2767" s="6"/>
      <c r="H2767" s="6"/>
      <c r="I2767" s="6"/>
      <c r="J2767" s="6"/>
      <c r="K2767" s="6"/>
      <c r="L2767" s="6"/>
      <c r="M2767" s="6"/>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c r="BU2767" s="6"/>
      <c r="BV2767" s="6"/>
      <c r="BW2767" s="6"/>
      <c r="BX2767" s="6"/>
      <c r="BY2767" s="6"/>
      <c r="BZ2767" s="6"/>
      <c r="CA2767" s="6"/>
      <c r="CB2767" s="6"/>
      <c r="CC2767" s="6"/>
      <c r="CD2767" s="6"/>
      <c r="CE2767" s="6"/>
      <c r="CF2767" s="6"/>
      <c r="CG2767" s="6"/>
      <c r="CH2767" s="6"/>
      <c r="CI2767" s="6"/>
      <c r="CJ2767" s="6"/>
      <c r="CK2767" s="6"/>
      <c r="CL2767" s="6"/>
      <c r="CM2767" s="6"/>
      <c r="CN2767" s="6"/>
      <c r="CO2767" s="6"/>
      <c r="CP2767" s="6"/>
      <c r="CQ2767" s="6"/>
      <c r="CR2767" s="6"/>
      <c r="CS2767" s="6"/>
      <c r="CT2767" s="6"/>
      <c r="CU2767" s="6"/>
      <c r="CV2767" s="6"/>
      <c r="CW2767" s="6"/>
      <c r="CX2767" s="6"/>
      <c r="CY2767" s="6"/>
      <c r="CZ2767" s="6"/>
      <c r="DA2767" s="6"/>
      <c r="DB2767" s="6"/>
      <c r="DC2767" s="6"/>
      <c r="DD2767" s="6"/>
    </row>
    <row r="2768" spans="1:108" ht="12.75" hidden="1" customHeight="1" outlineLevel="5">
      <c r="A2768" s="104" t="s">
        <v>86</v>
      </c>
      <c r="B2768" s="28">
        <v>149328112</v>
      </c>
      <c r="C2768" s="11"/>
      <c r="D2768" s="18" t="str">
        <f>"&lt;" &amp; A2768 &amp; "&gt;" &amp; TEXT(B2768,0) &amp; "&lt;/" &amp; A2768 &amp; "&gt;"</f>
        <v>&lt;PtrID&gt;149328112&lt;/PtrID&gt;</v>
      </c>
      <c r="F2768" s="6"/>
      <c r="G2768" s="6"/>
      <c r="H2768" s="6"/>
      <c r="I2768" s="6"/>
      <c r="J2768" s="6"/>
      <c r="K2768" s="6"/>
      <c r="L2768" s="6"/>
      <c r="M2768" s="6"/>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c r="BU2768" s="6"/>
      <c r="BV2768" s="6"/>
      <c r="BW2768" s="6"/>
      <c r="BX2768" s="6"/>
      <c r="BY2768" s="6"/>
      <c r="BZ2768" s="6"/>
      <c r="CA2768" s="6"/>
      <c r="CB2768" s="6"/>
      <c r="CC2768" s="6"/>
      <c r="CD2768" s="6"/>
      <c r="CE2768" s="6"/>
      <c r="CF2768" s="6"/>
      <c r="CG2768" s="6"/>
      <c r="CH2768" s="6"/>
      <c r="CI2768" s="6"/>
      <c r="CJ2768" s="6"/>
      <c r="CK2768" s="6"/>
      <c r="CL2768" s="6"/>
      <c r="CM2768" s="6"/>
      <c r="CN2768" s="6"/>
      <c r="CO2768" s="6"/>
      <c r="CP2768" s="6"/>
      <c r="CQ2768" s="6"/>
      <c r="CR2768" s="6"/>
      <c r="CS2768" s="6"/>
      <c r="CT2768" s="6"/>
      <c r="CU2768" s="6"/>
      <c r="CV2768" s="6"/>
      <c r="CW2768" s="6"/>
      <c r="CX2768" s="6"/>
      <c r="CY2768" s="6"/>
      <c r="CZ2768" s="6"/>
      <c r="DA2768" s="6"/>
      <c r="DB2768" s="6"/>
      <c r="DC2768" s="6"/>
      <c r="DD2768" s="6"/>
    </row>
    <row r="2769" spans="1:108" ht="12.75" hidden="1" customHeight="1" outlineLevel="5">
      <c r="A2769" s="104" t="s">
        <v>87</v>
      </c>
      <c r="B2769" s="28">
        <v>149096552</v>
      </c>
      <c r="C2769" s="11"/>
      <c r="D2769" s="18" t="str">
        <f>"&lt;" &amp; A2769 &amp; "&gt;" &amp; TEXT(B2769,0) &amp; "&lt;/" &amp; A2769 &amp; "&gt;"</f>
        <v>&lt;Parent_PtrID&gt;149096552&lt;/Parent_PtrID&gt;</v>
      </c>
      <c r="F2769" s="6"/>
      <c r="G2769" s="6"/>
      <c r="H2769" s="6"/>
      <c r="I2769" s="6"/>
      <c r="J2769" s="6"/>
      <c r="K2769" s="6"/>
      <c r="L2769" s="6"/>
      <c r="M2769" s="6"/>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c r="BU2769" s="6"/>
      <c r="BV2769" s="6"/>
      <c r="BW2769" s="6"/>
      <c r="BX2769" s="6"/>
      <c r="BY2769" s="6"/>
      <c r="BZ2769" s="6"/>
      <c r="CA2769" s="6"/>
      <c r="CB2769" s="6"/>
      <c r="CC2769" s="6"/>
      <c r="CD2769" s="6"/>
      <c r="CE2769" s="6"/>
      <c r="CF2769" s="6"/>
      <c r="CG2769" s="6"/>
      <c r="CH2769" s="6"/>
      <c r="CI2769" s="6"/>
      <c r="CJ2769" s="6"/>
      <c r="CK2769" s="6"/>
      <c r="CL2769" s="6"/>
      <c r="CM2769" s="6"/>
      <c r="CN2769" s="6"/>
      <c r="CO2769" s="6"/>
      <c r="CP2769" s="6"/>
      <c r="CQ2769" s="6"/>
      <c r="CR2769" s="6"/>
      <c r="CS2769" s="6"/>
      <c r="CT2769" s="6"/>
      <c r="CU2769" s="6"/>
      <c r="CV2769" s="6"/>
      <c r="CW2769" s="6"/>
      <c r="CX2769" s="6"/>
      <c r="CY2769" s="6"/>
      <c r="CZ2769" s="6"/>
      <c r="DA2769" s="6"/>
      <c r="DB2769" s="6"/>
      <c r="DC2769" s="6"/>
      <c r="DD2769" s="6"/>
    </row>
    <row r="2770" spans="1:108" ht="12.75" hidden="1" customHeight="1" outlineLevel="5">
      <c r="A2770" s="104" t="s">
        <v>88</v>
      </c>
      <c r="B2770" s="100"/>
      <c r="C2770" s="11"/>
      <c r="D2770" s="6" t="str">
        <f>"&lt;" &amp; A2770 &amp; "&gt;"</f>
        <v>&lt;/General_Parms&gt;</v>
      </c>
      <c r="F2770" s="6"/>
      <c r="G2770" s="6"/>
      <c r="H2770" s="6"/>
      <c r="I2770" s="6"/>
      <c r="J2770" s="6"/>
      <c r="K2770" s="6"/>
      <c r="L2770" s="6"/>
      <c r="M2770" s="6"/>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c r="BU2770" s="6"/>
      <c r="BV2770" s="6"/>
      <c r="BW2770" s="6"/>
      <c r="BX2770" s="6"/>
      <c r="BY2770" s="6"/>
      <c r="BZ2770" s="6"/>
      <c r="CA2770" s="6"/>
      <c r="CB2770" s="6"/>
      <c r="CC2770" s="6"/>
      <c r="CD2770" s="6"/>
      <c r="CE2770" s="6"/>
      <c r="CF2770" s="6"/>
      <c r="CG2770" s="6"/>
      <c r="CH2770" s="6"/>
      <c r="CI2770" s="6"/>
      <c r="CJ2770" s="6"/>
      <c r="CK2770" s="6"/>
      <c r="CL2770" s="6"/>
      <c r="CM2770" s="6"/>
      <c r="CN2770" s="6"/>
      <c r="CO2770" s="6"/>
      <c r="CP2770" s="6"/>
      <c r="CQ2770" s="6"/>
      <c r="CR2770" s="6"/>
      <c r="CS2770" s="6"/>
      <c r="CT2770" s="6"/>
      <c r="CU2770" s="6"/>
      <c r="CV2770" s="6"/>
      <c r="CW2770" s="6"/>
      <c r="CX2770" s="6"/>
      <c r="CY2770" s="6"/>
      <c r="CZ2770" s="6"/>
      <c r="DA2770" s="6"/>
      <c r="DB2770" s="6"/>
      <c r="DC2770" s="6"/>
      <c r="DD2770" s="6"/>
    </row>
    <row r="2771" spans="1:108" ht="12.75" hidden="1" customHeight="1" outlineLevel="4" collapsed="1">
      <c r="A2771" s="104" t="s">
        <v>228</v>
      </c>
      <c r="B2771" s="100"/>
      <c r="C2771" s="11"/>
      <c r="D2771" s="6" t="str">
        <f>"&lt;" &amp; A2771 &amp; "&gt;"</f>
        <v>&lt;Engine_Parms&gt;</v>
      </c>
      <c r="F2771" s="6"/>
      <c r="G2771" s="6"/>
      <c r="H2771" s="6"/>
      <c r="I2771" s="6"/>
      <c r="J2771" s="6"/>
      <c r="K2771" s="6"/>
      <c r="L2771" s="6"/>
      <c r="M2771" s="6"/>
      <c r="N2771" s="6"/>
      <c r="O2771" s="6"/>
      <c r="P2771" s="6"/>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c r="BU2771" s="6"/>
      <c r="BV2771" s="6"/>
      <c r="BW2771" s="6"/>
      <c r="BX2771" s="6"/>
      <c r="BY2771" s="6"/>
      <c r="BZ2771" s="6"/>
      <c r="CA2771" s="6"/>
      <c r="CB2771" s="6"/>
      <c r="CC2771" s="6"/>
      <c r="CD2771" s="6"/>
      <c r="CE2771" s="6"/>
      <c r="CF2771" s="6"/>
      <c r="CG2771" s="6"/>
      <c r="CH2771" s="6"/>
      <c r="CI2771" s="6"/>
      <c r="CJ2771" s="6"/>
      <c r="CK2771" s="6"/>
      <c r="CL2771" s="6"/>
      <c r="CM2771" s="6"/>
      <c r="CN2771" s="6"/>
      <c r="CO2771" s="6"/>
      <c r="CP2771" s="6"/>
      <c r="CQ2771" s="6"/>
      <c r="CR2771" s="6"/>
      <c r="CS2771" s="6"/>
      <c r="CT2771" s="6"/>
      <c r="CU2771" s="6"/>
      <c r="CV2771" s="6"/>
      <c r="CW2771" s="6"/>
      <c r="CX2771" s="6"/>
      <c r="CY2771" s="6"/>
      <c r="CZ2771" s="6"/>
      <c r="DA2771" s="6"/>
      <c r="DB2771" s="6"/>
      <c r="DC2771" s="6"/>
      <c r="DD2771" s="6"/>
    </row>
    <row r="2772" spans="1:108" ht="12.75" hidden="1" customHeight="1" outlineLevel="5">
      <c r="A2772" s="104" t="s">
        <v>229</v>
      </c>
      <c r="B2772" s="28">
        <f t="shared" ref="B2772:B2797" si="159">B2239</f>
        <v>0</v>
      </c>
      <c r="C2772" s="11"/>
      <c r="D2772" s="18" t="str">
        <f>"&lt;" &amp; A2772 &amp; "&gt;" &amp; TEXT(B2772,0) &amp; "&lt;/" &amp; A2772 &amp; "&gt;"</f>
        <v>&lt;Engine_Type&gt;0&lt;/Engine_Type&gt;</v>
      </c>
      <c r="F2772" s="6"/>
      <c r="G2772" s="6"/>
      <c r="H2772" s="6"/>
      <c r="I2772" s="6"/>
      <c r="J2772" s="6"/>
      <c r="K2772" s="6"/>
      <c r="L2772" s="6"/>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c r="BU2772" s="6"/>
      <c r="BV2772" s="6"/>
      <c r="BW2772" s="6"/>
      <c r="BX2772" s="6"/>
      <c r="BY2772" s="6"/>
      <c r="BZ2772" s="6"/>
      <c r="CA2772" s="6"/>
      <c r="CB2772" s="6"/>
      <c r="CC2772" s="6"/>
      <c r="CD2772" s="6"/>
      <c r="CE2772" s="6"/>
      <c r="CF2772" s="6"/>
      <c r="CG2772" s="6"/>
      <c r="CH2772" s="6"/>
      <c r="CI2772" s="6"/>
      <c r="CJ2772" s="6"/>
      <c r="CK2772" s="6"/>
      <c r="CL2772" s="6"/>
      <c r="CM2772" s="6"/>
      <c r="CN2772" s="6"/>
      <c r="CO2772" s="6"/>
      <c r="CP2772" s="6"/>
      <c r="CQ2772" s="6"/>
      <c r="CR2772" s="6"/>
      <c r="CS2772" s="6"/>
      <c r="CT2772" s="6"/>
      <c r="CU2772" s="6"/>
      <c r="CV2772" s="6"/>
      <c r="CW2772" s="6"/>
      <c r="CX2772" s="6"/>
      <c r="CY2772" s="6"/>
      <c r="CZ2772" s="6"/>
      <c r="DA2772" s="6"/>
      <c r="DB2772" s="6"/>
      <c r="DC2772" s="6"/>
      <c r="DD2772" s="6"/>
    </row>
    <row r="2773" spans="1:108" ht="12.75" hidden="1" customHeight="1" outlineLevel="5">
      <c r="A2773" s="104" t="s">
        <v>230</v>
      </c>
      <c r="B2773" s="94">
        <f t="shared" si="159"/>
        <v>0.82173499999999999</v>
      </c>
      <c r="C2773" s="11"/>
      <c r="D2773" s="18" t="str">
        <f>"&lt;" &amp; A2773 &amp; "&gt;" &amp; TEXT(B2773,"0.000000") &amp; "&lt;/" &amp; A2773 &amp; "&gt;"</f>
        <v>&lt;Radius_Tip&gt;0.821735&lt;/Radius_Tip&gt;</v>
      </c>
      <c r="F2773" s="6"/>
      <c r="G2773" s="6"/>
      <c r="H2773" s="6"/>
      <c r="I2773" s="6"/>
      <c r="J2773" s="6"/>
      <c r="K2773" s="6"/>
      <c r="L2773" s="6"/>
      <c r="M2773" s="6"/>
      <c r="N2773" s="6"/>
      <c r="O2773" s="6"/>
      <c r="P2773" s="6"/>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c r="BU2773" s="6"/>
      <c r="BV2773" s="6"/>
      <c r="BW2773" s="6"/>
      <c r="BX2773" s="6"/>
      <c r="BY2773" s="6"/>
      <c r="BZ2773" s="6"/>
      <c r="CA2773" s="6"/>
      <c r="CB2773" s="6"/>
      <c r="CC2773" s="6"/>
      <c r="CD2773" s="6"/>
      <c r="CE2773" s="6"/>
      <c r="CF2773" s="6"/>
      <c r="CG2773" s="6"/>
      <c r="CH2773" s="6"/>
      <c r="CI2773" s="6"/>
      <c r="CJ2773" s="6"/>
      <c r="CK2773" s="6"/>
      <c r="CL2773" s="6"/>
      <c r="CM2773" s="6"/>
      <c r="CN2773" s="6"/>
      <c r="CO2773" s="6"/>
      <c r="CP2773" s="6"/>
      <c r="CQ2773" s="6"/>
      <c r="CR2773" s="6"/>
      <c r="CS2773" s="6"/>
      <c r="CT2773" s="6"/>
      <c r="CU2773" s="6"/>
      <c r="CV2773" s="6"/>
      <c r="CW2773" s="6"/>
      <c r="CX2773" s="6"/>
      <c r="CY2773" s="6"/>
      <c r="CZ2773" s="6"/>
      <c r="DA2773" s="6"/>
      <c r="DB2773" s="6"/>
      <c r="DC2773" s="6"/>
      <c r="DD2773" s="6"/>
    </row>
    <row r="2774" spans="1:108" ht="12.75" hidden="1" customHeight="1" outlineLevel="5">
      <c r="A2774" s="104" t="s">
        <v>231</v>
      </c>
      <c r="B2774" s="28">
        <f t="shared" si="159"/>
        <v>1.1499999999999999</v>
      </c>
      <c r="C2774" s="11"/>
      <c r="D2774" s="18" t="str">
        <f>"&lt;" &amp; A2774 &amp; "&gt;" &amp; TEXT(B2774,"0.000000") &amp; "&lt;/" &amp; A2774 &amp; "&gt;"</f>
        <v>&lt;Max_Tip&gt;1.150000&lt;/Max_Tip&gt;</v>
      </c>
      <c r="F2774" s="6"/>
      <c r="G2774" s="6"/>
      <c r="H2774" s="6"/>
      <c r="I2774" s="6"/>
      <c r="J2774" s="6"/>
      <c r="K2774" s="6"/>
      <c r="L2774" s="6"/>
      <c r="M2774" s="6"/>
      <c r="N2774" s="6"/>
      <c r="O2774" s="6"/>
      <c r="P2774" s="6"/>
      <c r="Q2774" s="6"/>
      <c r="R2774" s="6"/>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c r="BU2774" s="6"/>
      <c r="BV2774" s="6"/>
      <c r="BW2774" s="6"/>
      <c r="BX2774" s="6"/>
      <c r="BY2774" s="6"/>
      <c r="BZ2774" s="6"/>
      <c r="CA2774" s="6"/>
      <c r="CB2774" s="6"/>
      <c r="CC2774" s="6"/>
      <c r="CD2774" s="6"/>
      <c r="CE2774" s="6"/>
      <c r="CF2774" s="6"/>
      <c r="CG2774" s="6"/>
      <c r="CH2774" s="6"/>
      <c r="CI2774" s="6"/>
      <c r="CJ2774" s="6"/>
      <c r="CK2774" s="6"/>
      <c r="CL2774" s="6"/>
      <c r="CM2774" s="6"/>
      <c r="CN2774" s="6"/>
      <c r="CO2774" s="6"/>
      <c r="CP2774" s="6"/>
      <c r="CQ2774" s="6"/>
      <c r="CR2774" s="6"/>
      <c r="CS2774" s="6"/>
      <c r="CT2774" s="6"/>
      <c r="CU2774" s="6"/>
      <c r="CV2774" s="6"/>
      <c r="CW2774" s="6"/>
      <c r="CX2774" s="6"/>
      <c r="CY2774" s="6"/>
      <c r="CZ2774" s="6"/>
      <c r="DA2774" s="6"/>
      <c r="DB2774" s="6"/>
      <c r="DC2774" s="6"/>
      <c r="DD2774" s="6"/>
    </row>
    <row r="2775" spans="1:108" ht="12.75" hidden="1" customHeight="1" outlineLevel="5">
      <c r="A2775" s="104" t="s">
        <v>232</v>
      </c>
      <c r="B2775" s="28">
        <f t="shared" si="159"/>
        <v>0.31333299999999997</v>
      </c>
      <c r="C2775" s="11"/>
      <c r="D2775" s="18" t="str">
        <f>"&lt;" &amp; A2775 &amp; "&gt;" &amp; TEXT(B2775,"0.000000") &amp; "&lt;/" &amp; A2775 &amp; "&gt;"</f>
        <v>&lt;Hub_Tip&gt;0.313333&lt;/Hub_Tip&gt;</v>
      </c>
      <c r="F2775" s="6"/>
      <c r="G2775" s="6"/>
      <c r="H2775" s="6"/>
      <c r="I2775" s="6"/>
      <c r="J2775" s="6"/>
      <c r="K2775" s="6"/>
      <c r="L2775" s="6"/>
      <c r="M2775" s="6"/>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c r="BU2775" s="6"/>
      <c r="BV2775" s="6"/>
      <c r="BW2775" s="6"/>
      <c r="BX2775" s="6"/>
      <c r="BY2775" s="6"/>
      <c r="BZ2775" s="6"/>
      <c r="CA2775" s="6"/>
      <c r="CB2775" s="6"/>
      <c r="CC2775" s="6"/>
      <c r="CD2775" s="6"/>
      <c r="CE2775" s="6"/>
      <c r="CF2775" s="6"/>
      <c r="CG2775" s="6"/>
      <c r="CH2775" s="6"/>
      <c r="CI2775" s="6"/>
      <c r="CJ2775" s="6"/>
      <c r="CK2775" s="6"/>
      <c r="CL2775" s="6"/>
      <c r="CM2775" s="6"/>
      <c r="CN2775" s="6"/>
      <c r="CO2775" s="6"/>
      <c r="CP2775" s="6"/>
      <c r="CQ2775" s="6"/>
      <c r="CR2775" s="6"/>
      <c r="CS2775" s="6"/>
      <c r="CT2775" s="6"/>
      <c r="CU2775" s="6"/>
      <c r="CV2775" s="6"/>
      <c r="CW2775" s="6"/>
      <c r="CX2775" s="6"/>
      <c r="CY2775" s="6"/>
      <c r="CZ2775" s="6"/>
      <c r="DA2775" s="6"/>
      <c r="DB2775" s="6"/>
      <c r="DC2775" s="6"/>
      <c r="DD2775" s="6"/>
    </row>
    <row r="2776" spans="1:108" ht="12.75" hidden="1" customHeight="1" outlineLevel="5">
      <c r="A2776" s="104" t="s">
        <v>233</v>
      </c>
      <c r="B2776" s="28">
        <f t="shared" si="159"/>
        <v>0</v>
      </c>
      <c r="C2776" s="11"/>
      <c r="D2776" s="18" t="str">
        <f>"&lt;" &amp; A2776 &amp; "&gt;" &amp; TEXT(B2776,"0.000000") &amp; "&lt;/" &amp; A2776 &amp; "&gt;"</f>
        <v>&lt;Eng_Length&gt;0.000000&lt;/Eng_Length&gt;</v>
      </c>
      <c r="F2776" s="6"/>
      <c r="G2776" s="6"/>
      <c r="H2776" s="6"/>
      <c r="I2776" s="6"/>
      <c r="J2776" s="6"/>
      <c r="K2776" s="6"/>
      <c r="L2776" s="6"/>
      <c r="M2776" s="6"/>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c r="BU2776" s="6"/>
      <c r="BV2776" s="6"/>
      <c r="BW2776" s="6"/>
      <c r="BX2776" s="6"/>
      <c r="BY2776" s="6"/>
      <c r="BZ2776" s="6"/>
      <c r="CA2776" s="6"/>
      <c r="CB2776" s="6"/>
      <c r="CC2776" s="6"/>
      <c r="CD2776" s="6"/>
      <c r="CE2776" s="6"/>
      <c r="CF2776" s="6"/>
      <c r="CG2776" s="6"/>
      <c r="CH2776" s="6"/>
      <c r="CI2776" s="6"/>
      <c r="CJ2776" s="6"/>
      <c r="CK2776" s="6"/>
      <c r="CL2776" s="6"/>
      <c r="CM2776" s="6"/>
      <c r="CN2776" s="6"/>
      <c r="CO2776" s="6"/>
      <c r="CP2776" s="6"/>
      <c r="CQ2776" s="6"/>
      <c r="CR2776" s="6"/>
      <c r="CS2776" s="6"/>
      <c r="CT2776" s="6"/>
      <c r="CU2776" s="6"/>
      <c r="CV2776" s="6"/>
      <c r="CW2776" s="6"/>
      <c r="CX2776" s="6"/>
      <c r="CY2776" s="6"/>
      <c r="CZ2776" s="6"/>
      <c r="DA2776" s="6"/>
      <c r="DB2776" s="6"/>
      <c r="DC2776" s="6"/>
      <c r="DD2776" s="6"/>
    </row>
    <row r="2777" spans="1:108" ht="12.75" hidden="1" customHeight="1" outlineLevel="5">
      <c r="A2777" s="104" t="s">
        <v>234</v>
      </c>
      <c r="B2777" s="28">
        <f t="shared" si="159"/>
        <v>1</v>
      </c>
      <c r="C2777" s="11"/>
      <c r="D2777" s="18" t="str">
        <f>"&lt;" &amp; A2777 &amp; "&gt;" &amp; TEXT(B2777,0) &amp; "&lt;/" &amp; A2777 &amp; "&gt;"</f>
        <v>&lt;Inlet_Type&gt;1&lt;/Inlet_Type&gt;</v>
      </c>
      <c r="F2777" s="6"/>
      <c r="G2777" s="6"/>
      <c r="H2777" s="6"/>
      <c r="I2777" s="6"/>
      <c r="J2777" s="6"/>
      <c r="K2777" s="6"/>
      <c r="L2777" s="6"/>
      <c r="M2777" s="6"/>
      <c r="N2777" s="6"/>
      <c r="O2777" s="6"/>
      <c r="P2777" s="6"/>
      <c r="Q2777" s="6"/>
      <c r="R2777" s="6"/>
      <c r="S2777" s="6"/>
      <c r="T2777" s="6"/>
      <c r="U2777" s="6"/>
      <c r="V2777" s="6"/>
      <c r="W2777" s="6"/>
      <c r="X2777" s="6"/>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c r="BU2777" s="6"/>
      <c r="BV2777" s="6"/>
      <c r="BW2777" s="6"/>
      <c r="BX2777" s="6"/>
      <c r="BY2777" s="6"/>
      <c r="BZ2777" s="6"/>
      <c r="CA2777" s="6"/>
      <c r="CB2777" s="6"/>
      <c r="CC2777" s="6"/>
      <c r="CD2777" s="6"/>
      <c r="CE2777" s="6"/>
      <c r="CF2777" s="6"/>
      <c r="CG2777" s="6"/>
      <c r="CH2777" s="6"/>
      <c r="CI2777" s="6"/>
      <c r="CJ2777" s="6"/>
      <c r="CK2777" s="6"/>
      <c r="CL2777" s="6"/>
      <c r="CM2777" s="6"/>
      <c r="CN2777" s="6"/>
      <c r="CO2777" s="6"/>
      <c r="CP2777" s="6"/>
      <c r="CQ2777" s="6"/>
      <c r="CR2777" s="6"/>
      <c r="CS2777" s="6"/>
      <c r="CT2777" s="6"/>
      <c r="CU2777" s="6"/>
      <c r="CV2777" s="6"/>
      <c r="CW2777" s="6"/>
      <c r="CX2777" s="6"/>
      <c r="CY2777" s="6"/>
      <c r="CZ2777" s="6"/>
      <c r="DA2777" s="6"/>
      <c r="DB2777" s="6"/>
      <c r="DC2777" s="6"/>
      <c r="DD2777" s="6"/>
    </row>
    <row r="2778" spans="1:108" ht="12.75" hidden="1" customHeight="1" outlineLevel="5">
      <c r="A2778" s="104" t="s">
        <v>235</v>
      </c>
      <c r="B2778" s="28">
        <f t="shared" si="159"/>
        <v>0</v>
      </c>
      <c r="C2778" s="11"/>
      <c r="D2778" s="18" t="str">
        <f>"&lt;" &amp; A2778 &amp; "&gt;" &amp; TEXT(B2778,0) &amp; "&lt;/" &amp; A2778 &amp; "&gt;"</f>
        <v>&lt;Inl_Noz_Color&gt;0&lt;/Inl_Noz_Color&gt;</v>
      </c>
      <c r="F2778" s="6"/>
      <c r="G2778" s="6"/>
      <c r="H2778" s="6"/>
      <c r="I2778" s="6"/>
      <c r="J2778" s="6"/>
      <c r="K2778" s="6"/>
      <c r="L2778" s="6"/>
      <c r="M2778" s="6"/>
      <c r="N2778" s="6"/>
      <c r="O2778" s="6"/>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c r="BU2778" s="6"/>
      <c r="BV2778" s="6"/>
      <c r="BW2778" s="6"/>
      <c r="BX2778" s="6"/>
      <c r="BY2778" s="6"/>
      <c r="BZ2778" s="6"/>
      <c r="CA2778" s="6"/>
      <c r="CB2778" s="6"/>
      <c r="CC2778" s="6"/>
      <c r="CD2778" s="6"/>
      <c r="CE2778" s="6"/>
      <c r="CF2778" s="6"/>
      <c r="CG2778" s="6"/>
      <c r="CH2778" s="6"/>
      <c r="CI2778" s="6"/>
      <c r="CJ2778" s="6"/>
      <c r="CK2778" s="6"/>
      <c r="CL2778" s="6"/>
      <c r="CM2778" s="6"/>
      <c r="CN2778" s="6"/>
      <c r="CO2778" s="6"/>
      <c r="CP2778" s="6"/>
      <c r="CQ2778" s="6"/>
      <c r="CR2778" s="6"/>
      <c r="CS2778" s="6"/>
      <c r="CT2778" s="6"/>
      <c r="CU2778" s="6"/>
      <c r="CV2778" s="6"/>
      <c r="CW2778" s="6"/>
      <c r="CX2778" s="6"/>
      <c r="CY2778" s="6"/>
      <c r="CZ2778" s="6"/>
      <c r="DA2778" s="6"/>
      <c r="DB2778" s="6"/>
      <c r="DC2778" s="6"/>
      <c r="DD2778" s="6"/>
    </row>
    <row r="2779" spans="1:108" ht="12.75" hidden="1" customHeight="1" outlineLevel="5">
      <c r="A2779" s="104" t="s">
        <v>236</v>
      </c>
      <c r="B2779" s="28">
        <f t="shared" si="159"/>
        <v>0</v>
      </c>
      <c r="C2779" s="11"/>
      <c r="D2779" s="18" t="str">
        <f>"&lt;" &amp; A2779 &amp; "&gt;" &amp; TEXT(B2779,0) &amp; "&lt;/" &amp; A2779 &amp; "&gt;"</f>
        <v>&lt;Inlet_XY_Sym_Flag&gt;0&lt;/Inlet_XY_Sym_Flag&gt;</v>
      </c>
      <c r="F2779" s="6"/>
      <c r="G2779" s="6"/>
      <c r="H2779" s="6"/>
      <c r="I2779" s="6"/>
      <c r="J2779" s="6"/>
      <c r="K2779" s="6"/>
      <c r="L2779" s="6"/>
      <c r="M2779" s="6"/>
      <c r="N2779" s="6"/>
      <c r="O2779" s="6"/>
      <c r="P2779" s="6"/>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c r="BU2779" s="6"/>
      <c r="BV2779" s="6"/>
      <c r="BW2779" s="6"/>
      <c r="BX2779" s="6"/>
      <c r="BY2779" s="6"/>
      <c r="BZ2779" s="6"/>
      <c r="CA2779" s="6"/>
      <c r="CB2779" s="6"/>
      <c r="CC2779" s="6"/>
      <c r="CD2779" s="6"/>
      <c r="CE2779" s="6"/>
      <c r="CF2779" s="6"/>
      <c r="CG2779" s="6"/>
      <c r="CH2779" s="6"/>
      <c r="CI2779" s="6"/>
      <c r="CJ2779" s="6"/>
      <c r="CK2779" s="6"/>
      <c r="CL2779" s="6"/>
      <c r="CM2779" s="6"/>
      <c r="CN2779" s="6"/>
      <c r="CO2779" s="6"/>
      <c r="CP2779" s="6"/>
      <c r="CQ2779" s="6"/>
      <c r="CR2779" s="6"/>
      <c r="CS2779" s="6"/>
      <c r="CT2779" s="6"/>
      <c r="CU2779" s="6"/>
      <c r="CV2779" s="6"/>
      <c r="CW2779" s="6"/>
      <c r="CX2779" s="6"/>
      <c r="CY2779" s="6"/>
      <c r="CZ2779" s="6"/>
      <c r="DA2779" s="6"/>
      <c r="DB2779" s="6"/>
      <c r="DC2779" s="6"/>
      <c r="DD2779" s="6"/>
    </row>
    <row r="2780" spans="1:108" ht="12.75" hidden="1" customHeight="1" outlineLevel="5">
      <c r="A2780" s="104" t="s">
        <v>237</v>
      </c>
      <c r="B2780" s="28">
        <f t="shared" si="159"/>
        <v>0</v>
      </c>
      <c r="C2780" s="11"/>
      <c r="D2780" s="18" t="str">
        <f>"&lt;" &amp; A2780 &amp; "&gt;" &amp; TEXT(B2780,0) &amp; "&lt;/" &amp; A2780 &amp; "&gt;"</f>
        <v>&lt;Inlet_Half_Split_Flag&gt;0&lt;/Inlet_Half_Split_Flag&gt;</v>
      </c>
      <c r="F2780" s="6"/>
      <c r="G2780" s="6"/>
      <c r="H2780" s="6"/>
      <c r="I2780" s="6"/>
      <c r="J2780" s="6"/>
      <c r="K2780" s="6"/>
      <c r="L2780" s="6"/>
      <c r="M2780" s="6"/>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c r="BU2780" s="6"/>
      <c r="BV2780" s="6"/>
      <c r="BW2780" s="6"/>
      <c r="BX2780" s="6"/>
      <c r="BY2780" s="6"/>
      <c r="BZ2780" s="6"/>
      <c r="CA2780" s="6"/>
      <c r="CB2780" s="6"/>
      <c r="CC2780" s="6"/>
      <c r="CD2780" s="6"/>
      <c r="CE2780" s="6"/>
      <c r="CF2780" s="6"/>
      <c r="CG2780" s="6"/>
      <c r="CH2780" s="6"/>
      <c r="CI2780" s="6"/>
      <c r="CJ2780" s="6"/>
      <c r="CK2780" s="6"/>
      <c r="CL2780" s="6"/>
      <c r="CM2780" s="6"/>
      <c r="CN2780" s="6"/>
      <c r="CO2780" s="6"/>
      <c r="CP2780" s="6"/>
      <c r="CQ2780" s="6"/>
      <c r="CR2780" s="6"/>
      <c r="CS2780" s="6"/>
      <c r="CT2780" s="6"/>
      <c r="CU2780" s="6"/>
      <c r="CV2780" s="6"/>
      <c r="CW2780" s="6"/>
      <c r="CX2780" s="6"/>
      <c r="CY2780" s="6"/>
      <c r="CZ2780" s="6"/>
      <c r="DA2780" s="6"/>
      <c r="DB2780" s="6"/>
      <c r="DC2780" s="6"/>
      <c r="DD2780" s="6"/>
    </row>
    <row r="2781" spans="1:108" ht="12.75" hidden="1" customHeight="1" outlineLevel="5">
      <c r="A2781" s="104" t="s">
        <v>238</v>
      </c>
      <c r="B2781" s="94">
        <f>B2248</f>
        <v>1.8246959177837139</v>
      </c>
      <c r="C2781" s="11"/>
      <c r="D2781" s="18" t="str">
        <f t="shared" ref="D2781:D2789" si="160">"&lt;" &amp; A2781 &amp; "&gt;" &amp; TEXT(B2781,"0.000000") &amp; "&lt;/" &amp; A2781 &amp; "&gt;"</f>
        <v>&lt;Cowl_Length&gt;1.824696&lt;/Cowl_Length&gt;</v>
      </c>
      <c r="F2781" s="6"/>
      <c r="G2781" s="6"/>
      <c r="H2781" s="6"/>
      <c r="I2781" s="6"/>
      <c r="J2781" s="6"/>
      <c r="K2781" s="6"/>
      <c r="L2781" s="6"/>
      <c r="M2781" s="6"/>
      <c r="N2781" s="6"/>
      <c r="O2781" s="6"/>
      <c r="P2781" s="6"/>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c r="BU2781" s="6"/>
      <c r="BV2781" s="6"/>
      <c r="BW2781" s="6"/>
      <c r="BX2781" s="6"/>
      <c r="BY2781" s="6"/>
      <c r="BZ2781" s="6"/>
      <c r="CA2781" s="6"/>
      <c r="CB2781" s="6"/>
      <c r="CC2781" s="6"/>
      <c r="CD2781" s="6"/>
      <c r="CE2781" s="6"/>
      <c r="CF2781" s="6"/>
      <c r="CG2781" s="6"/>
      <c r="CH2781" s="6"/>
      <c r="CI2781" s="6"/>
      <c r="CJ2781" s="6"/>
      <c r="CK2781" s="6"/>
      <c r="CL2781" s="6"/>
      <c r="CM2781" s="6"/>
      <c r="CN2781" s="6"/>
      <c r="CO2781" s="6"/>
      <c r="CP2781" s="6"/>
      <c r="CQ2781" s="6"/>
      <c r="CR2781" s="6"/>
      <c r="CS2781" s="6"/>
      <c r="CT2781" s="6"/>
      <c r="CU2781" s="6"/>
      <c r="CV2781" s="6"/>
      <c r="CW2781" s="6"/>
      <c r="CX2781" s="6"/>
      <c r="CY2781" s="6"/>
      <c r="CZ2781" s="6"/>
      <c r="DA2781" s="6"/>
      <c r="DB2781" s="6"/>
      <c r="DC2781" s="6"/>
      <c r="DD2781" s="6"/>
    </row>
    <row r="2782" spans="1:108" ht="12.75" hidden="1" customHeight="1" outlineLevel="5">
      <c r="A2782" s="104" t="s">
        <v>239</v>
      </c>
      <c r="B2782" s="28">
        <f t="shared" si="159"/>
        <v>1.1499999999999999</v>
      </c>
      <c r="C2782" s="11"/>
      <c r="D2782" s="18" t="str">
        <f t="shared" si="160"/>
        <v>&lt;Eng_Thrt_Ratio&gt;1.150000&lt;/Eng_Thrt_Ratio&gt;</v>
      </c>
      <c r="F2782" s="6"/>
      <c r="G2782" s="6"/>
      <c r="H2782" s="6"/>
      <c r="I2782" s="6"/>
      <c r="J2782" s="6"/>
      <c r="K2782" s="6"/>
      <c r="L2782" s="6"/>
      <c r="M2782" s="6"/>
      <c r="N2782" s="6"/>
      <c r="O2782" s="6"/>
      <c r="P2782" s="6"/>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c r="BU2782" s="6"/>
      <c r="BV2782" s="6"/>
      <c r="BW2782" s="6"/>
      <c r="BX2782" s="6"/>
      <c r="BY2782" s="6"/>
      <c r="BZ2782" s="6"/>
      <c r="CA2782" s="6"/>
      <c r="CB2782" s="6"/>
      <c r="CC2782" s="6"/>
      <c r="CD2782" s="6"/>
      <c r="CE2782" s="6"/>
      <c r="CF2782" s="6"/>
      <c r="CG2782" s="6"/>
      <c r="CH2782" s="6"/>
      <c r="CI2782" s="6"/>
      <c r="CJ2782" s="6"/>
      <c r="CK2782" s="6"/>
      <c r="CL2782" s="6"/>
      <c r="CM2782" s="6"/>
      <c r="CN2782" s="6"/>
      <c r="CO2782" s="6"/>
      <c r="CP2782" s="6"/>
      <c r="CQ2782" s="6"/>
      <c r="CR2782" s="6"/>
      <c r="CS2782" s="6"/>
      <c r="CT2782" s="6"/>
      <c r="CU2782" s="6"/>
      <c r="CV2782" s="6"/>
      <c r="CW2782" s="6"/>
      <c r="CX2782" s="6"/>
      <c r="CY2782" s="6"/>
      <c r="CZ2782" s="6"/>
      <c r="DA2782" s="6"/>
      <c r="DB2782" s="6"/>
      <c r="DC2782" s="6"/>
      <c r="DD2782" s="6"/>
    </row>
    <row r="2783" spans="1:108" ht="12.75" hidden="1" customHeight="1" outlineLevel="5">
      <c r="A2783" s="104" t="s">
        <v>240</v>
      </c>
      <c r="B2783" s="28">
        <f t="shared" si="159"/>
        <v>1.1499999999999999</v>
      </c>
      <c r="C2783" s="11"/>
      <c r="D2783" s="18" t="str">
        <f t="shared" si="160"/>
        <v>&lt;Hilight_Thrt_Ratio&gt;1.150000&lt;/Hilight_Thrt_Ratio&gt;</v>
      </c>
      <c r="F2783" s="6"/>
      <c r="G2783" s="6"/>
      <c r="H2783" s="6"/>
      <c r="I2783" s="6"/>
      <c r="J2783" s="6"/>
      <c r="K2783" s="6"/>
      <c r="L2783" s="6"/>
      <c r="M2783" s="6"/>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c r="BU2783" s="6"/>
      <c r="BV2783" s="6"/>
      <c r="BW2783" s="6"/>
      <c r="BX2783" s="6"/>
      <c r="BY2783" s="6"/>
      <c r="BZ2783" s="6"/>
      <c r="CA2783" s="6"/>
      <c r="CB2783" s="6"/>
      <c r="CC2783" s="6"/>
      <c r="CD2783" s="6"/>
      <c r="CE2783" s="6"/>
      <c r="CF2783" s="6"/>
      <c r="CG2783" s="6"/>
      <c r="CH2783" s="6"/>
      <c r="CI2783" s="6"/>
      <c r="CJ2783" s="6"/>
      <c r="CK2783" s="6"/>
      <c r="CL2783" s="6"/>
      <c r="CM2783" s="6"/>
      <c r="CN2783" s="6"/>
      <c r="CO2783" s="6"/>
      <c r="CP2783" s="6"/>
      <c r="CQ2783" s="6"/>
      <c r="CR2783" s="6"/>
      <c r="CS2783" s="6"/>
      <c r="CT2783" s="6"/>
      <c r="CU2783" s="6"/>
      <c r="CV2783" s="6"/>
      <c r="CW2783" s="6"/>
      <c r="CX2783" s="6"/>
      <c r="CY2783" s="6"/>
      <c r="CZ2783" s="6"/>
      <c r="DA2783" s="6"/>
      <c r="DB2783" s="6"/>
      <c r="DC2783" s="6"/>
      <c r="DD2783" s="6"/>
    </row>
    <row r="2784" spans="1:108" ht="12.75" hidden="1" customHeight="1" outlineLevel="5">
      <c r="A2784" s="104" t="s">
        <v>241</v>
      </c>
      <c r="B2784" s="28">
        <f t="shared" si="159"/>
        <v>1.026904</v>
      </c>
      <c r="C2784" s="11"/>
      <c r="D2784" s="18" t="str">
        <f t="shared" si="160"/>
        <v>&lt;Lip_Finess_Ratio&gt;1.026904&lt;/Lip_Finess_Ratio&gt;</v>
      </c>
      <c r="F2784" s="6"/>
      <c r="G2784" s="6"/>
      <c r="H2784" s="6"/>
      <c r="I2784" s="6"/>
      <c r="J2784" s="6"/>
      <c r="K2784" s="6"/>
      <c r="L2784" s="6"/>
      <c r="M2784" s="6"/>
      <c r="N2784" s="6"/>
      <c r="O2784" s="6"/>
      <c r="P2784" s="6"/>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c r="BU2784" s="6"/>
      <c r="BV2784" s="6"/>
      <c r="BW2784" s="6"/>
      <c r="BX2784" s="6"/>
      <c r="BY2784" s="6"/>
      <c r="BZ2784" s="6"/>
      <c r="CA2784" s="6"/>
      <c r="CB2784" s="6"/>
      <c r="CC2784" s="6"/>
      <c r="CD2784" s="6"/>
      <c r="CE2784" s="6"/>
      <c r="CF2784" s="6"/>
      <c r="CG2784" s="6"/>
      <c r="CH2784" s="6"/>
      <c r="CI2784" s="6"/>
      <c r="CJ2784" s="6"/>
      <c r="CK2784" s="6"/>
      <c r="CL2784" s="6"/>
      <c r="CM2784" s="6"/>
      <c r="CN2784" s="6"/>
      <c r="CO2784" s="6"/>
      <c r="CP2784" s="6"/>
      <c r="CQ2784" s="6"/>
      <c r="CR2784" s="6"/>
      <c r="CS2784" s="6"/>
      <c r="CT2784" s="6"/>
      <c r="CU2784" s="6"/>
      <c r="CV2784" s="6"/>
      <c r="CW2784" s="6"/>
      <c r="CX2784" s="6"/>
      <c r="CY2784" s="6"/>
      <c r="CZ2784" s="6"/>
      <c r="DA2784" s="6"/>
      <c r="DB2784" s="6"/>
      <c r="DC2784" s="6"/>
      <c r="DD2784" s="6"/>
    </row>
    <row r="2785" spans="1:108" ht="12.75" hidden="1" customHeight="1" outlineLevel="5">
      <c r="A2785" s="104" t="s">
        <v>242</v>
      </c>
      <c r="B2785" s="28">
        <f t="shared" si="159"/>
        <v>1</v>
      </c>
      <c r="C2785" s="11"/>
      <c r="D2785" s="18" t="str">
        <f t="shared" si="160"/>
        <v>&lt;Height_Width_Ratio&gt;1.000000&lt;/Height_Width_Ratio&gt;</v>
      </c>
      <c r="F2785" s="6"/>
      <c r="G2785" s="6"/>
      <c r="H2785" s="6"/>
      <c r="I2785" s="6"/>
      <c r="J2785" s="6"/>
      <c r="K2785" s="6"/>
      <c r="L2785" s="6"/>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c r="BU2785" s="6"/>
      <c r="BV2785" s="6"/>
      <c r="BW2785" s="6"/>
      <c r="BX2785" s="6"/>
      <c r="BY2785" s="6"/>
      <c r="BZ2785" s="6"/>
      <c r="CA2785" s="6"/>
      <c r="CB2785" s="6"/>
      <c r="CC2785" s="6"/>
      <c r="CD2785" s="6"/>
      <c r="CE2785" s="6"/>
      <c r="CF2785" s="6"/>
      <c r="CG2785" s="6"/>
      <c r="CH2785" s="6"/>
      <c r="CI2785" s="6"/>
      <c r="CJ2785" s="6"/>
      <c r="CK2785" s="6"/>
      <c r="CL2785" s="6"/>
      <c r="CM2785" s="6"/>
      <c r="CN2785" s="6"/>
      <c r="CO2785" s="6"/>
      <c r="CP2785" s="6"/>
      <c r="CQ2785" s="6"/>
      <c r="CR2785" s="6"/>
      <c r="CS2785" s="6"/>
      <c r="CT2785" s="6"/>
      <c r="CU2785" s="6"/>
      <c r="CV2785" s="6"/>
      <c r="CW2785" s="6"/>
      <c r="CX2785" s="6"/>
      <c r="CY2785" s="6"/>
      <c r="CZ2785" s="6"/>
      <c r="DA2785" s="6"/>
      <c r="DB2785" s="6"/>
      <c r="DC2785" s="6"/>
      <c r="DD2785" s="6"/>
    </row>
    <row r="2786" spans="1:108" ht="12.75" hidden="1" customHeight="1" outlineLevel="5">
      <c r="A2786" s="104" t="s">
        <v>243</v>
      </c>
      <c r="B2786" s="28">
        <f t="shared" si="159"/>
        <v>-0.95229299999999995</v>
      </c>
      <c r="C2786" s="11"/>
      <c r="D2786" s="18" t="str">
        <f t="shared" si="160"/>
        <v>&lt;Upper_Surf_Shape_Factor&gt;-0.952293&lt;/Upper_Surf_Shape_Factor&gt;</v>
      </c>
      <c r="F2786" s="6"/>
      <c r="G2786" s="6"/>
      <c r="H2786" s="6"/>
      <c r="I2786" s="6"/>
      <c r="J2786" s="6"/>
      <c r="K2786" s="6"/>
      <c r="L2786" s="6"/>
      <c r="M2786" s="6"/>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c r="BU2786" s="6"/>
      <c r="BV2786" s="6"/>
      <c r="BW2786" s="6"/>
      <c r="BX2786" s="6"/>
      <c r="BY2786" s="6"/>
      <c r="BZ2786" s="6"/>
      <c r="CA2786" s="6"/>
      <c r="CB2786" s="6"/>
      <c r="CC2786" s="6"/>
      <c r="CD2786" s="6"/>
      <c r="CE2786" s="6"/>
      <c r="CF2786" s="6"/>
      <c r="CG2786" s="6"/>
      <c r="CH2786" s="6"/>
      <c r="CI2786" s="6"/>
      <c r="CJ2786" s="6"/>
      <c r="CK2786" s="6"/>
      <c r="CL2786" s="6"/>
      <c r="CM2786" s="6"/>
      <c r="CN2786" s="6"/>
      <c r="CO2786" s="6"/>
      <c r="CP2786" s="6"/>
      <c r="CQ2786" s="6"/>
      <c r="CR2786" s="6"/>
      <c r="CS2786" s="6"/>
      <c r="CT2786" s="6"/>
      <c r="CU2786" s="6"/>
      <c r="CV2786" s="6"/>
      <c r="CW2786" s="6"/>
      <c r="CX2786" s="6"/>
      <c r="CY2786" s="6"/>
      <c r="CZ2786" s="6"/>
      <c r="DA2786" s="6"/>
      <c r="DB2786" s="6"/>
      <c r="DC2786" s="6"/>
      <c r="DD2786" s="6"/>
    </row>
    <row r="2787" spans="1:108" ht="12.75" hidden="1" customHeight="1" outlineLevel="5">
      <c r="A2787" s="104" t="s">
        <v>244</v>
      </c>
      <c r="B2787" s="28">
        <f t="shared" si="159"/>
        <v>0.66507400000000005</v>
      </c>
      <c r="C2787" s="11"/>
      <c r="D2787" s="18" t="str">
        <f t="shared" si="160"/>
        <v>&lt;Lower_Surf_Shape_Factor&gt;0.665074&lt;/Lower_Surf_Shape_Factor&gt;</v>
      </c>
      <c r="F2787" s="6"/>
      <c r="G2787" s="6"/>
      <c r="H2787" s="6"/>
      <c r="I2787" s="6"/>
      <c r="J2787" s="6"/>
      <c r="K2787" s="6"/>
      <c r="L2787" s="6"/>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c r="BU2787" s="6"/>
      <c r="BV2787" s="6"/>
      <c r="BW2787" s="6"/>
      <c r="BX2787" s="6"/>
      <c r="BY2787" s="6"/>
      <c r="BZ2787" s="6"/>
      <c r="CA2787" s="6"/>
      <c r="CB2787" s="6"/>
      <c r="CC2787" s="6"/>
      <c r="CD2787" s="6"/>
      <c r="CE2787" s="6"/>
      <c r="CF2787" s="6"/>
      <c r="CG2787" s="6"/>
      <c r="CH2787" s="6"/>
      <c r="CI2787" s="6"/>
      <c r="CJ2787" s="6"/>
      <c r="CK2787" s="6"/>
      <c r="CL2787" s="6"/>
      <c r="CM2787" s="6"/>
      <c r="CN2787" s="6"/>
      <c r="CO2787" s="6"/>
      <c r="CP2787" s="6"/>
      <c r="CQ2787" s="6"/>
      <c r="CR2787" s="6"/>
      <c r="CS2787" s="6"/>
      <c r="CT2787" s="6"/>
      <c r="CU2787" s="6"/>
      <c r="CV2787" s="6"/>
      <c r="CW2787" s="6"/>
      <c r="CX2787" s="6"/>
      <c r="CY2787" s="6"/>
      <c r="CZ2787" s="6"/>
      <c r="DA2787" s="6"/>
      <c r="DB2787" s="6"/>
      <c r="DC2787" s="6"/>
      <c r="DD2787" s="6"/>
    </row>
    <row r="2788" spans="1:108" ht="12.75" hidden="1" customHeight="1" outlineLevel="5">
      <c r="A2788" s="104" t="s">
        <v>245</v>
      </c>
      <c r="B2788" s="28">
        <f t="shared" si="159"/>
        <v>90</v>
      </c>
      <c r="C2788" s="11"/>
      <c r="D2788" s="18" t="str">
        <f t="shared" si="160"/>
        <v>&lt;Inlet_X_Axis_Rot&gt;90.000000&lt;/Inlet_X_Axis_Rot&gt;</v>
      </c>
      <c r="F2788" s="6"/>
      <c r="G2788" s="6"/>
      <c r="H2788" s="6"/>
      <c r="I2788" s="6"/>
      <c r="J2788" s="6"/>
      <c r="K2788" s="6"/>
      <c r="L2788" s="6"/>
      <c r="M2788" s="6"/>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c r="BU2788" s="6"/>
      <c r="BV2788" s="6"/>
      <c r="BW2788" s="6"/>
      <c r="BX2788" s="6"/>
      <c r="BY2788" s="6"/>
      <c r="BZ2788" s="6"/>
      <c r="CA2788" s="6"/>
      <c r="CB2788" s="6"/>
      <c r="CC2788" s="6"/>
      <c r="CD2788" s="6"/>
      <c r="CE2788" s="6"/>
      <c r="CF2788" s="6"/>
      <c r="CG2788" s="6"/>
      <c r="CH2788" s="6"/>
      <c r="CI2788" s="6"/>
      <c r="CJ2788" s="6"/>
      <c r="CK2788" s="6"/>
      <c r="CL2788" s="6"/>
      <c r="CM2788" s="6"/>
      <c r="CN2788" s="6"/>
      <c r="CO2788" s="6"/>
      <c r="CP2788" s="6"/>
      <c r="CQ2788" s="6"/>
      <c r="CR2788" s="6"/>
      <c r="CS2788" s="6"/>
      <c r="CT2788" s="6"/>
      <c r="CU2788" s="6"/>
      <c r="CV2788" s="6"/>
      <c r="CW2788" s="6"/>
      <c r="CX2788" s="6"/>
      <c r="CY2788" s="6"/>
      <c r="CZ2788" s="6"/>
      <c r="DA2788" s="6"/>
      <c r="DB2788" s="6"/>
      <c r="DC2788" s="6"/>
      <c r="DD2788" s="6"/>
    </row>
    <row r="2789" spans="1:108" ht="12.75" hidden="1" customHeight="1" outlineLevel="5">
      <c r="A2789" s="104" t="s">
        <v>246</v>
      </c>
      <c r="B2789" s="28">
        <f t="shared" si="159"/>
        <v>2</v>
      </c>
      <c r="C2789" s="11"/>
      <c r="D2789" s="18" t="str">
        <f t="shared" si="160"/>
        <v>&lt;Inlet_Scarf_Angle&gt;2.000000&lt;/Inlet_Scarf_Angle&gt;</v>
      </c>
      <c r="F2789" s="6"/>
      <c r="G2789" s="6"/>
      <c r="H2789" s="6"/>
      <c r="I2789" s="6"/>
      <c r="J2789" s="6"/>
      <c r="K2789" s="6"/>
      <c r="L2789" s="6"/>
      <c r="M2789" s="6"/>
      <c r="N2789" s="6"/>
      <c r="O2789" s="6"/>
      <c r="P2789" s="6"/>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c r="BU2789" s="6"/>
      <c r="BV2789" s="6"/>
      <c r="BW2789" s="6"/>
      <c r="BX2789" s="6"/>
      <c r="BY2789" s="6"/>
      <c r="BZ2789" s="6"/>
      <c r="CA2789" s="6"/>
      <c r="CB2789" s="6"/>
      <c r="CC2789" s="6"/>
      <c r="CD2789" s="6"/>
      <c r="CE2789" s="6"/>
      <c r="CF2789" s="6"/>
      <c r="CG2789" s="6"/>
      <c r="CH2789" s="6"/>
      <c r="CI2789" s="6"/>
      <c r="CJ2789" s="6"/>
      <c r="CK2789" s="6"/>
      <c r="CL2789" s="6"/>
      <c r="CM2789" s="6"/>
      <c r="CN2789" s="6"/>
      <c r="CO2789" s="6"/>
      <c r="CP2789" s="6"/>
      <c r="CQ2789" s="6"/>
      <c r="CR2789" s="6"/>
      <c r="CS2789" s="6"/>
      <c r="CT2789" s="6"/>
      <c r="CU2789" s="6"/>
      <c r="CV2789" s="6"/>
      <c r="CW2789" s="6"/>
      <c r="CX2789" s="6"/>
      <c r="CY2789" s="6"/>
      <c r="CZ2789" s="6"/>
      <c r="DA2789" s="6"/>
      <c r="DB2789" s="6"/>
      <c r="DC2789" s="6"/>
      <c r="DD2789" s="6"/>
    </row>
    <row r="2790" spans="1:108" ht="12.75" hidden="1" customHeight="1" outlineLevel="5">
      <c r="A2790" s="104" t="s">
        <v>247</v>
      </c>
      <c r="B2790" s="28">
        <f t="shared" si="159"/>
        <v>0</v>
      </c>
      <c r="C2790" s="11"/>
      <c r="D2790" s="18" t="str">
        <f>"&lt;" &amp; A2790 &amp; "&gt;" &amp; TEXT(B2790,0) &amp; "&lt;/" &amp; A2790 &amp; "&gt;"</f>
        <v>&lt;Inlet_Duct_On_Off&gt;0&lt;/Inlet_Duct_On_Off&gt;</v>
      </c>
      <c r="F2790" s="6"/>
      <c r="G2790" s="6"/>
      <c r="H2790" s="6"/>
      <c r="I2790" s="6"/>
      <c r="J2790" s="6"/>
      <c r="K2790" s="6"/>
      <c r="L2790" s="6"/>
      <c r="M2790" s="6"/>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c r="BU2790" s="6"/>
      <c r="BV2790" s="6"/>
      <c r="BW2790" s="6"/>
      <c r="BX2790" s="6"/>
      <c r="BY2790" s="6"/>
      <c r="BZ2790" s="6"/>
      <c r="CA2790" s="6"/>
      <c r="CB2790" s="6"/>
      <c r="CC2790" s="6"/>
      <c r="CD2790" s="6"/>
      <c r="CE2790" s="6"/>
      <c r="CF2790" s="6"/>
      <c r="CG2790" s="6"/>
      <c r="CH2790" s="6"/>
      <c r="CI2790" s="6"/>
      <c r="CJ2790" s="6"/>
      <c r="CK2790" s="6"/>
      <c r="CL2790" s="6"/>
      <c r="CM2790" s="6"/>
      <c r="CN2790" s="6"/>
      <c r="CO2790" s="6"/>
      <c r="CP2790" s="6"/>
      <c r="CQ2790" s="6"/>
      <c r="CR2790" s="6"/>
      <c r="CS2790" s="6"/>
      <c r="CT2790" s="6"/>
      <c r="CU2790" s="6"/>
      <c r="CV2790" s="6"/>
      <c r="CW2790" s="6"/>
      <c r="CX2790" s="6"/>
      <c r="CY2790" s="6"/>
      <c r="CZ2790" s="6"/>
      <c r="DA2790" s="6"/>
      <c r="DB2790" s="6"/>
      <c r="DC2790" s="6"/>
      <c r="DD2790" s="6"/>
    </row>
    <row r="2791" spans="1:108" ht="12.75" hidden="1" customHeight="1" outlineLevel="5">
      <c r="A2791" s="104" t="s">
        <v>248</v>
      </c>
      <c r="B2791" s="28">
        <f t="shared" si="159"/>
        <v>3</v>
      </c>
      <c r="C2791" s="11"/>
      <c r="D2791" s="18" t="str">
        <f>"&lt;" &amp; A2791 &amp; "&gt;" &amp; TEXT(B2791,"0.000000") &amp; "&lt;/" &amp; A2791 &amp; "&gt;"</f>
        <v>&lt;Inlet_Duct_X_Offset&gt;3.000000&lt;/Inlet_Duct_X_Offset&gt;</v>
      </c>
      <c r="F2791" s="6"/>
      <c r="G2791" s="6"/>
      <c r="H2791" s="6"/>
      <c r="I2791" s="6"/>
      <c r="J2791" s="6"/>
      <c r="K2791" s="6"/>
      <c r="L2791" s="6"/>
      <c r="M2791" s="6"/>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c r="BU2791" s="6"/>
      <c r="BV2791" s="6"/>
      <c r="BW2791" s="6"/>
      <c r="BX2791" s="6"/>
      <c r="BY2791" s="6"/>
      <c r="BZ2791" s="6"/>
      <c r="CA2791" s="6"/>
      <c r="CB2791" s="6"/>
      <c r="CC2791" s="6"/>
      <c r="CD2791" s="6"/>
      <c r="CE2791" s="6"/>
      <c r="CF2791" s="6"/>
      <c r="CG2791" s="6"/>
      <c r="CH2791" s="6"/>
      <c r="CI2791" s="6"/>
      <c r="CJ2791" s="6"/>
      <c r="CK2791" s="6"/>
      <c r="CL2791" s="6"/>
      <c r="CM2791" s="6"/>
      <c r="CN2791" s="6"/>
      <c r="CO2791" s="6"/>
      <c r="CP2791" s="6"/>
      <c r="CQ2791" s="6"/>
      <c r="CR2791" s="6"/>
      <c r="CS2791" s="6"/>
      <c r="CT2791" s="6"/>
      <c r="CU2791" s="6"/>
      <c r="CV2791" s="6"/>
      <c r="CW2791" s="6"/>
      <c r="CX2791" s="6"/>
      <c r="CY2791" s="6"/>
      <c r="CZ2791" s="6"/>
      <c r="DA2791" s="6"/>
      <c r="DB2791" s="6"/>
      <c r="DC2791" s="6"/>
      <c r="DD2791" s="6"/>
    </row>
    <row r="2792" spans="1:108" ht="12.75" hidden="1" customHeight="1" outlineLevel="5">
      <c r="A2792" s="104" t="s">
        <v>249</v>
      </c>
      <c r="B2792" s="28">
        <f t="shared" si="159"/>
        <v>1</v>
      </c>
      <c r="C2792" s="11"/>
      <c r="D2792" s="18" t="str">
        <f>"&lt;" &amp; A2792 &amp; "&gt;" &amp; TEXT(B2792,"0.000000") &amp; "&lt;/" &amp; A2792 &amp; "&gt;"</f>
        <v>&lt;Inlet_Duct_Y_Offset&gt;1.000000&lt;/Inlet_Duct_Y_Offset&gt;</v>
      </c>
      <c r="F2792" s="6"/>
      <c r="G2792" s="6"/>
      <c r="H2792" s="6"/>
      <c r="I2792" s="6"/>
      <c r="J2792" s="6"/>
      <c r="K2792" s="6"/>
      <c r="L2792" s="6"/>
      <c r="M2792" s="6"/>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c r="BU2792" s="6"/>
      <c r="BV2792" s="6"/>
      <c r="BW2792" s="6"/>
      <c r="BX2792" s="6"/>
      <c r="BY2792" s="6"/>
      <c r="BZ2792" s="6"/>
      <c r="CA2792" s="6"/>
      <c r="CB2792" s="6"/>
      <c r="CC2792" s="6"/>
      <c r="CD2792" s="6"/>
      <c r="CE2792" s="6"/>
      <c r="CF2792" s="6"/>
      <c r="CG2792" s="6"/>
      <c r="CH2792" s="6"/>
      <c r="CI2792" s="6"/>
      <c r="CJ2792" s="6"/>
      <c r="CK2792" s="6"/>
      <c r="CL2792" s="6"/>
      <c r="CM2792" s="6"/>
      <c r="CN2792" s="6"/>
      <c r="CO2792" s="6"/>
      <c r="CP2792" s="6"/>
      <c r="CQ2792" s="6"/>
      <c r="CR2792" s="6"/>
      <c r="CS2792" s="6"/>
      <c r="CT2792" s="6"/>
      <c r="CU2792" s="6"/>
      <c r="CV2792" s="6"/>
      <c r="CW2792" s="6"/>
      <c r="CX2792" s="6"/>
      <c r="CY2792" s="6"/>
      <c r="CZ2792" s="6"/>
      <c r="DA2792" s="6"/>
      <c r="DB2792" s="6"/>
      <c r="DC2792" s="6"/>
      <c r="DD2792" s="6"/>
    </row>
    <row r="2793" spans="1:108" ht="12.75" hidden="1" customHeight="1" outlineLevel="5">
      <c r="A2793" s="104" t="s">
        <v>250</v>
      </c>
      <c r="B2793" s="28">
        <f t="shared" si="159"/>
        <v>0.5</v>
      </c>
      <c r="C2793" s="11"/>
      <c r="D2793" s="18" t="str">
        <f>"&lt;" &amp; A2793 &amp; "&gt;" &amp; TEXT(B2793,"0.000000") &amp; "&lt;/" &amp; A2793 &amp; "&gt;"</f>
        <v>&lt;Inlet_Duct_Shape_Factor&gt;0.500000&lt;/Inlet_Duct_Shape_Factor&gt;</v>
      </c>
      <c r="F2793" s="6"/>
      <c r="G2793" s="6"/>
      <c r="H2793" s="6"/>
      <c r="I2793" s="6"/>
      <c r="J2793" s="6"/>
      <c r="K2793" s="6"/>
      <c r="L2793" s="6"/>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c r="BU2793" s="6"/>
      <c r="BV2793" s="6"/>
      <c r="BW2793" s="6"/>
      <c r="BX2793" s="6"/>
      <c r="BY2793" s="6"/>
      <c r="BZ2793" s="6"/>
      <c r="CA2793" s="6"/>
      <c r="CB2793" s="6"/>
      <c r="CC2793" s="6"/>
      <c r="CD2793" s="6"/>
      <c r="CE2793" s="6"/>
      <c r="CF2793" s="6"/>
      <c r="CG2793" s="6"/>
      <c r="CH2793" s="6"/>
      <c r="CI2793" s="6"/>
      <c r="CJ2793" s="6"/>
      <c r="CK2793" s="6"/>
      <c r="CL2793" s="6"/>
      <c r="CM2793" s="6"/>
      <c r="CN2793" s="6"/>
      <c r="CO2793" s="6"/>
      <c r="CP2793" s="6"/>
      <c r="CQ2793" s="6"/>
      <c r="CR2793" s="6"/>
      <c r="CS2793" s="6"/>
      <c r="CT2793" s="6"/>
      <c r="CU2793" s="6"/>
      <c r="CV2793" s="6"/>
      <c r="CW2793" s="6"/>
      <c r="CX2793" s="6"/>
      <c r="CY2793" s="6"/>
      <c r="CZ2793" s="6"/>
      <c r="DA2793" s="6"/>
      <c r="DB2793" s="6"/>
      <c r="DC2793" s="6"/>
      <c r="DD2793" s="6"/>
    </row>
    <row r="2794" spans="1:108" ht="12.75" hidden="1" customHeight="1" outlineLevel="5">
      <c r="A2794" s="104" t="s">
        <v>251</v>
      </c>
      <c r="B2794" s="28">
        <f t="shared" si="159"/>
        <v>0</v>
      </c>
      <c r="C2794" s="11"/>
      <c r="D2794" s="18" t="str">
        <f>"&lt;" &amp; A2794 &amp; "&gt;" &amp; TEXT(B2794,0) &amp; "&lt;/" &amp; A2794 &amp; "&gt;"</f>
        <v>&lt;Divertor_On_Off&gt;0&lt;/Divertor_On_Off&gt;</v>
      </c>
      <c r="F2794" s="6"/>
      <c r="G2794" s="6"/>
      <c r="H2794" s="6"/>
      <c r="I2794" s="6"/>
      <c r="J2794" s="6"/>
      <c r="K2794" s="6"/>
      <c r="L2794" s="6"/>
      <c r="M2794" s="6"/>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c r="BU2794" s="6"/>
      <c r="BV2794" s="6"/>
      <c r="BW2794" s="6"/>
      <c r="BX2794" s="6"/>
      <c r="BY2794" s="6"/>
      <c r="BZ2794" s="6"/>
      <c r="CA2794" s="6"/>
      <c r="CB2794" s="6"/>
      <c r="CC2794" s="6"/>
      <c r="CD2794" s="6"/>
      <c r="CE2794" s="6"/>
      <c r="CF2794" s="6"/>
      <c r="CG2794" s="6"/>
      <c r="CH2794" s="6"/>
      <c r="CI2794" s="6"/>
      <c r="CJ2794" s="6"/>
      <c r="CK2794" s="6"/>
      <c r="CL2794" s="6"/>
      <c r="CM2794" s="6"/>
      <c r="CN2794" s="6"/>
      <c r="CO2794" s="6"/>
      <c r="CP2794" s="6"/>
      <c r="CQ2794" s="6"/>
      <c r="CR2794" s="6"/>
      <c r="CS2794" s="6"/>
      <c r="CT2794" s="6"/>
      <c r="CU2794" s="6"/>
      <c r="CV2794" s="6"/>
      <c r="CW2794" s="6"/>
      <c r="CX2794" s="6"/>
      <c r="CY2794" s="6"/>
      <c r="CZ2794" s="6"/>
      <c r="DA2794" s="6"/>
      <c r="DB2794" s="6"/>
      <c r="DC2794" s="6"/>
      <c r="DD2794" s="6"/>
    </row>
    <row r="2795" spans="1:108" ht="12.75" hidden="1" customHeight="1" outlineLevel="5">
      <c r="A2795" s="104" t="s">
        <v>252</v>
      </c>
      <c r="B2795" s="28">
        <f t="shared" si="159"/>
        <v>0.5</v>
      </c>
      <c r="C2795" s="11"/>
      <c r="D2795" s="18" t="str">
        <f>"&lt;" &amp; A2795 &amp; "&gt;" &amp; TEXT(B2795,"0.000000") &amp; "&lt;/" &amp; A2795 &amp; "&gt;"</f>
        <v>&lt;Divertor_Height&gt;0.500000&lt;/Divertor_Height&gt;</v>
      </c>
      <c r="F2795" s="6"/>
      <c r="G2795" s="6"/>
      <c r="H2795" s="6"/>
      <c r="I2795" s="6"/>
      <c r="J2795" s="6"/>
      <c r="K2795" s="6"/>
      <c r="L2795" s="6"/>
      <c r="M2795" s="6"/>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c r="BU2795" s="6"/>
      <c r="BV2795" s="6"/>
      <c r="BW2795" s="6"/>
      <c r="BX2795" s="6"/>
      <c r="BY2795" s="6"/>
      <c r="BZ2795" s="6"/>
      <c r="CA2795" s="6"/>
      <c r="CB2795" s="6"/>
      <c r="CC2795" s="6"/>
      <c r="CD2795" s="6"/>
      <c r="CE2795" s="6"/>
      <c r="CF2795" s="6"/>
      <c r="CG2795" s="6"/>
      <c r="CH2795" s="6"/>
      <c r="CI2795" s="6"/>
      <c r="CJ2795" s="6"/>
      <c r="CK2795" s="6"/>
      <c r="CL2795" s="6"/>
      <c r="CM2795" s="6"/>
      <c r="CN2795" s="6"/>
      <c r="CO2795" s="6"/>
      <c r="CP2795" s="6"/>
      <c r="CQ2795" s="6"/>
      <c r="CR2795" s="6"/>
      <c r="CS2795" s="6"/>
      <c r="CT2795" s="6"/>
      <c r="CU2795" s="6"/>
      <c r="CV2795" s="6"/>
      <c r="CW2795" s="6"/>
      <c r="CX2795" s="6"/>
      <c r="CY2795" s="6"/>
      <c r="CZ2795" s="6"/>
      <c r="DA2795" s="6"/>
      <c r="DB2795" s="6"/>
      <c r="DC2795" s="6"/>
      <c r="DD2795" s="6"/>
    </row>
    <row r="2796" spans="1:108" ht="12.75" hidden="1" customHeight="1" outlineLevel="5">
      <c r="A2796" s="104" t="s">
        <v>253</v>
      </c>
      <c r="B2796" s="28">
        <f t="shared" si="159"/>
        <v>1</v>
      </c>
      <c r="C2796" s="11"/>
      <c r="D2796" s="18" t="str">
        <f>"&lt;" &amp; A2796 &amp; "&gt;" &amp; TEXT(B2796,"0.000000") &amp; "&lt;/" &amp; A2796 &amp; "&gt;"</f>
        <v>&lt;Divertor_Length&gt;1.000000&lt;/Divertor_Length&gt;</v>
      </c>
      <c r="F2796" s="6"/>
      <c r="G2796" s="6"/>
      <c r="H2796" s="6"/>
      <c r="I2796" s="6"/>
      <c r="J2796" s="6"/>
      <c r="K2796" s="6"/>
      <c r="L2796" s="6"/>
      <c r="M2796" s="6"/>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c r="BU2796" s="6"/>
      <c r="BV2796" s="6"/>
      <c r="BW2796" s="6"/>
      <c r="BX2796" s="6"/>
      <c r="BY2796" s="6"/>
      <c r="BZ2796" s="6"/>
      <c r="CA2796" s="6"/>
      <c r="CB2796" s="6"/>
      <c r="CC2796" s="6"/>
      <c r="CD2796" s="6"/>
      <c r="CE2796" s="6"/>
      <c r="CF2796" s="6"/>
      <c r="CG2796" s="6"/>
      <c r="CH2796" s="6"/>
      <c r="CI2796" s="6"/>
      <c r="CJ2796" s="6"/>
      <c r="CK2796" s="6"/>
      <c r="CL2796" s="6"/>
      <c r="CM2796" s="6"/>
      <c r="CN2796" s="6"/>
      <c r="CO2796" s="6"/>
      <c r="CP2796" s="6"/>
      <c r="CQ2796" s="6"/>
      <c r="CR2796" s="6"/>
      <c r="CS2796" s="6"/>
      <c r="CT2796" s="6"/>
      <c r="CU2796" s="6"/>
      <c r="CV2796" s="6"/>
      <c r="CW2796" s="6"/>
      <c r="CX2796" s="6"/>
      <c r="CY2796" s="6"/>
      <c r="CZ2796" s="6"/>
      <c r="DA2796" s="6"/>
      <c r="DB2796" s="6"/>
      <c r="DC2796" s="6"/>
      <c r="DD2796" s="6"/>
    </row>
    <row r="2797" spans="1:108" ht="12.75" hidden="1" customHeight="1" outlineLevel="5">
      <c r="A2797" s="104" t="s">
        <v>254</v>
      </c>
      <c r="B2797" s="28">
        <f t="shared" si="159"/>
        <v>0</v>
      </c>
      <c r="C2797" s="11"/>
      <c r="D2797" s="18" t="str">
        <f>"&lt;" &amp; A2797 &amp; "&gt;" &amp; TEXT(B2797,0) &amp; "&lt;/" &amp; A2797 &amp; "&gt;"</f>
        <v>&lt;Nozzle_Type&gt;0&lt;/Nozzle_Type&gt;</v>
      </c>
      <c r="F2797" s="6"/>
      <c r="G2797" s="6"/>
      <c r="H2797" s="6"/>
      <c r="I2797" s="6"/>
      <c r="J2797" s="6"/>
      <c r="K2797" s="6"/>
      <c r="L2797" s="6"/>
      <c r="M2797" s="6"/>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c r="BU2797" s="6"/>
      <c r="BV2797" s="6"/>
      <c r="BW2797" s="6"/>
      <c r="BX2797" s="6"/>
      <c r="BY2797" s="6"/>
      <c r="BZ2797" s="6"/>
      <c r="CA2797" s="6"/>
      <c r="CB2797" s="6"/>
      <c r="CC2797" s="6"/>
      <c r="CD2797" s="6"/>
      <c r="CE2797" s="6"/>
      <c r="CF2797" s="6"/>
      <c r="CG2797" s="6"/>
      <c r="CH2797" s="6"/>
      <c r="CI2797" s="6"/>
      <c r="CJ2797" s="6"/>
      <c r="CK2797" s="6"/>
      <c r="CL2797" s="6"/>
      <c r="CM2797" s="6"/>
      <c r="CN2797" s="6"/>
      <c r="CO2797" s="6"/>
      <c r="CP2797" s="6"/>
      <c r="CQ2797" s="6"/>
      <c r="CR2797" s="6"/>
      <c r="CS2797" s="6"/>
      <c r="CT2797" s="6"/>
      <c r="CU2797" s="6"/>
      <c r="CV2797" s="6"/>
      <c r="CW2797" s="6"/>
      <c r="CX2797" s="6"/>
      <c r="CY2797" s="6"/>
      <c r="CZ2797" s="6"/>
      <c r="DA2797" s="6"/>
      <c r="DB2797" s="6"/>
      <c r="DC2797" s="6"/>
      <c r="DD2797" s="6"/>
    </row>
    <row r="2798" spans="1:108" ht="12.75" hidden="1" customHeight="1" outlineLevel="5">
      <c r="A2798" s="104" t="s">
        <v>255</v>
      </c>
      <c r="B2798" s="94">
        <f>IF(n_e=4,B1732,((B1732*B1707) + c_r.V)/B2773)</f>
        <v>8.6850069709734399</v>
      </c>
      <c r="C2798" s="11"/>
      <c r="D2798" s="18" t="str">
        <f>"&lt;" &amp; A2798 &amp; "&gt;" &amp; TEXT(B2798,"0.000000") &amp; "&lt;/" &amp; A2798 &amp; "&gt;"</f>
        <v>&lt;Nozzle_Length&gt;8.685007&lt;/Nozzle_Length&gt;</v>
      </c>
      <c r="F2798" s="6"/>
      <c r="G2798" s="6"/>
      <c r="H2798" s="6"/>
      <c r="I2798" s="6"/>
      <c r="J2798" s="6"/>
      <c r="K2798" s="6"/>
      <c r="L2798" s="6"/>
      <c r="M2798" s="6"/>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c r="BU2798" s="6"/>
      <c r="BV2798" s="6"/>
      <c r="BW2798" s="6"/>
      <c r="BX2798" s="6"/>
      <c r="BY2798" s="6"/>
      <c r="BZ2798" s="6"/>
      <c r="CA2798" s="6"/>
      <c r="CB2798" s="6"/>
      <c r="CC2798" s="6"/>
      <c r="CD2798" s="6"/>
      <c r="CE2798" s="6"/>
      <c r="CF2798" s="6"/>
      <c r="CG2798" s="6"/>
      <c r="CH2798" s="6"/>
      <c r="CI2798" s="6"/>
      <c r="CJ2798" s="6"/>
      <c r="CK2798" s="6"/>
      <c r="CL2798" s="6"/>
      <c r="CM2798" s="6"/>
      <c r="CN2798" s="6"/>
      <c r="CO2798" s="6"/>
      <c r="CP2798" s="6"/>
      <c r="CQ2798" s="6"/>
      <c r="CR2798" s="6"/>
      <c r="CS2798" s="6"/>
      <c r="CT2798" s="6"/>
      <c r="CU2798" s="6"/>
      <c r="CV2798" s="6"/>
      <c r="CW2798" s="6"/>
      <c r="CX2798" s="6"/>
      <c r="CY2798" s="6"/>
      <c r="CZ2798" s="6"/>
      <c r="DA2798" s="6"/>
      <c r="DB2798" s="6"/>
      <c r="DC2798" s="6"/>
      <c r="DD2798" s="6"/>
    </row>
    <row r="2799" spans="1:108" ht="12.75" hidden="1" customHeight="1" outlineLevel="5">
      <c r="A2799" s="104" t="s">
        <v>256</v>
      </c>
      <c r="B2799" s="28">
        <f t="shared" ref="B2799:B2806" si="161">B2266</f>
        <v>1.2</v>
      </c>
      <c r="C2799" s="11"/>
      <c r="D2799" s="18" t="str">
        <f>"&lt;" &amp; A2799 &amp; "&gt;" &amp; TEXT(B2799,"0.000000") &amp; "&lt;/" &amp; A2799 &amp; "&gt;"</f>
        <v>&lt;Exit_Area_Ratio&gt;1.200000&lt;/Exit_Area_Ratio&gt;</v>
      </c>
      <c r="F2799" s="6"/>
      <c r="G2799" s="6"/>
      <c r="H2799" s="6"/>
      <c r="I2799" s="6"/>
      <c r="J2799" s="6"/>
      <c r="K2799" s="6"/>
      <c r="L2799" s="6"/>
      <c r="M2799" s="6"/>
      <c r="N2799" s="6"/>
      <c r="O2799" s="6"/>
      <c r="P2799" s="6"/>
      <c r="Q2799" s="6"/>
      <c r="R2799" s="6"/>
      <c r="S2799" s="6"/>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c r="BU2799" s="6"/>
      <c r="BV2799" s="6"/>
      <c r="BW2799" s="6"/>
      <c r="BX2799" s="6"/>
      <c r="BY2799" s="6"/>
      <c r="BZ2799" s="6"/>
      <c r="CA2799" s="6"/>
      <c r="CB2799" s="6"/>
      <c r="CC2799" s="6"/>
      <c r="CD2799" s="6"/>
      <c r="CE2799" s="6"/>
      <c r="CF2799" s="6"/>
      <c r="CG2799" s="6"/>
      <c r="CH2799" s="6"/>
      <c r="CI2799" s="6"/>
      <c r="CJ2799" s="6"/>
      <c r="CK2799" s="6"/>
      <c r="CL2799" s="6"/>
      <c r="CM2799" s="6"/>
      <c r="CN2799" s="6"/>
      <c r="CO2799" s="6"/>
      <c r="CP2799" s="6"/>
      <c r="CQ2799" s="6"/>
      <c r="CR2799" s="6"/>
      <c r="CS2799" s="6"/>
      <c r="CT2799" s="6"/>
      <c r="CU2799" s="6"/>
      <c r="CV2799" s="6"/>
      <c r="CW2799" s="6"/>
      <c r="CX2799" s="6"/>
      <c r="CY2799" s="6"/>
      <c r="CZ2799" s="6"/>
      <c r="DA2799" s="6"/>
      <c r="DB2799" s="6"/>
      <c r="DC2799" s="6"/>
      <c r="DD2799" s="6"/>
    </row>
    <row r="2800" spans="1:108" ht="12.75" hidden="1" customHeight="1" outlineLevel="5">
      <c r="A2800" s="104" t="s">
        <v>257</v>
      </c>
      <c r="B2800" s="28">
        <f t="shared" si="161"/>
        <v>1</v>
      </c>
      <c r="C2800" s="11"/>
      <c r="D2800" s="18" t="str">
        <f>"&lt;" &amp; A2800 &amp; "&gt;" &amp; TEXT(B2800,"0.000000") &amp; "&lt;/" &amp; A2800 &amp; "&gt;"</f>
        <v>&lt;Nozzle_Height_Width_Ratio&gt;1.000000&lt;/Nozzle_Height_Width_Ratio&gt;</v>
      </c>
      <c r="F2800" s="6"/>
      <c r="G2800" s="6"/>
      <c r="H2800" s="6"/>
      <c r="I2800" s="6"/>
      <c r="J2800" s="6"/>
      <c r="K2800" s="6"/>
      <c r="L2800" s="6"/>
      <c r="M2800" s="6"/>
      <c r="N2800" s="6"/>
      <c r="O2800" s="6"/>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c r="BU2800" s="6"/>
      <c r="BV2800" s="6"/>
      <c r="BW2800" s="6"/>
      <c r="BX2800" s="6"/>
      <c r="BY2800" s="6"/>
      <c r="BZ2800" s="6"/>
      <c r="CA2800" s="6"/>
      <c r="CB2800" s="6"/>
      <c r="CC2800" s="6"/>
      <c r="CD2800" s="6"/>
      <c r="CE2800" s="6"/>
      <c r="CF2800" s="6"/>
      <c r="CG2800" s="6"/>
      <c r="CH2800" s="6"/>
      <c r="CI2800" s="6"/>
      <c r="CJ2800" s="6"/>
      <c r="CK2800" s="6"/>
      <c r="CL2800" s="6"/>
      <c r="CM2800" s="6"/>
      <c r="CN2800" s="6"/>
      <c r="CO2800" s="6"/>
      <c r="CP2800" s="6"/>
      <c r="CQ2800" s="6"/>
      <c r="CR2800" s="6"/>
      <c r="CS2800" s="6"/>
      <c r="CT2800" s="6"/>
      <c r="CU2800" s="6"/>
      <c r="CV2800" s="6"/>
      <c r="CW2800" s="6"/>
      <c r="CX2800" s="6"/>
      <c r="CY2800" s="6"/>
      <c r="CZ2800" s="6"/>
      <c r="DA2800" s="6"/>
      <c r="DB2800" s="6"/>
      <c r="DC2800" s="6"/>
      <c r="DD2800" s="6"/>
    </row>
    <row r="2801" spans="1:108" ht="12.75" hidden="1" customHeight="1" outlineLevel="5">
      <c r="A2801" s="104" t="s">
        <v>258</v>
      </c>
      <c r="B2801" s="28">
        <f t="shared" si="161"/>
        <v>1.5</v>
      </c>
      <c r="C2801" s="11"/>
      <c r="D2801" s="18" t="str">
        <f>"&lt;" &amp; A2801 &amp; "&gt;" &amp; TEXT(B2801,"0.000000") &amp; "&lt;/" &amp; A2801 &amp; "&gt;"</f>
        <v>&lt;Exit_Throat_Ratio&gt;1.500000&lt;/Exit_Throat_Ratio&gt;</v>
      </c>
      <c r="F2801" s="6"/>
      <c r="G2801" s="6"/>
      <c r="H2801" s="6"/>
      <c r="I2801" s="6"/>
      <c r="J2801" s="6"/>
      <c r="K2801" s="6"/>
      <c r="L2801" s="6"/>
      <c r="M2801" s="6"/>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c r="BU2801" s="6"/>
      <c r="BV2801" s="6"/>
      <c r="BW2801" s="6"/>
      <c r="BX2801" s="6"/>
      <c r="BY2801" s="6"/>
      <c r="BZ2801" s="6"/>
      <c r="CA2801" s="6"/>
      <c r="CB2801" s="6"/>
      <c r="CC2801" s="6"/>
      <c r="CD2801" s="6"/>
      <c r="CE2801" s="6"/>
      <c r="CF2801" s="6"/>
      <c r="CG2801" s="6"/>
      <c r="CH2801" s="6"/>
      <c r="CI2801" s="6"/>
      <c r="CJ2801" s="6"/>
      <c r="CK2801" s="6"/>
      <c r="CL2801" s="6"/>
      <c r="CM2801" s="6"/>
      <c r="CN2801" s="6"/>
      <c r="CO2801" s="6"/>
      <c r="CP2801" s="6"/>
      <c r="CQ2801" s="6"/>
      <c r="CR2801" s="6"/>
      <c r="CS2801" s="6"/>
      <c r="CT2801" s="6"/>
      <c r="CU2801" s="6"/>
      <c r="CV2801" s="6"/>
      <c r="CW2801" s="6"/>
      <c r="CX2801" s="6"/>
      <c r="CY2801" s="6"/>
      <c r="CZ2801" s="6"/>
      <c r="DA2801" s="6"/>
      <c r="DB2801" s="6"/>
      <c r="DC2801" s="6"/>
      <c r="DD2801" s="6"/>
    </row>
    <row r="2802" spans="1:108" ht="12.75" hidden="1" customHeight="1" outlineLevel="5">
      <c r="A2802" s="104" t="s">
        <v>259</v>
      </c>
      <c r="B2802" s="28">
        <f t="shared" si="161"/>
        <v>1</v>
      </c>
      <c r="C2802" s="11"/>
      <c r="D2802" s="18" t="str">
        <f>"&lt;" &amp; A2802 &amp; "&gt;" &amp; TEXT(B2802,"0.000000") &amp; "&lt;/" &amp; A2802 &amp; "&gt;"</f>
        <v>&lt;Dive_Flap_Ratio&gt;1.000000&lt;/Dive_Flap_Ratio&gt;</v>
      </c>
      <c r="F2802" s="6"/>
      <c r="G2802" s="6"/>
      <c r="H2802" s="6"/>
      <c r="I2802" s="6"/>
      <c r="J2802" s="6"/>
      <c r="K2802" s="6"/>
      <c r="L2802" s="6"/>
      <c r="M2802" s="6"/>
      <c r="N2802" s="6"/>
      <c r="O2802" s="6"/>
      <c r="P2802" s="6"/>
      <c r="Q2802" s="6"/>
      <c r="R2802" s="6"/>
      <c r="S2802" s="6"/>
      <c r="T2802" s="6"/>
      <c r="U2802" s="6"/>
      <c r="V2802" s="6"/>
      <c r="W2802" s="6"/>
      <c r="X2802" s="6"/>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c r="BU2802" s="6"/>
      <c r="BV2802" s="6"/>
      <c r="BW2802" s="6"/>
      <c r="BX2802" s="6"/>
      <c r="BY2802" s="6"/>
      <c r="BZ2802" s="6"/>
      <c r="CA2802" s="6"/>
      <c r="CB2802" s="6"/>
      <c r="CC2802" s="6"/>
      <c r="CD2802" s="6"/>
      <c r="CE2802" s="6"/>
      <c r="CF2802" s="6"/>
      <c r="CG2802" s="6"/>
      <c r="CH2802" s="6"/>
      <c r="CI2802" s="6"/>
      <c r="CJ2802" s="6"/>
      <c r="CK2802" s="6"/>
      <c r="CL2802" s="6"/>
      <c r="CM2802" s="6"/>
      <c r="CN2802" s="6"/>
      <c r="CO2802" s="6"/>
      <c r="CP2802" s="6"/>
      <c r="CQ2802" s="6"/>
      <c r="CR2802" s="6"/>
      <c r="CS2802" s="6"/>
      <c r="CT2802" s="6"/>
      <c r="CU2802" s="6"/>
      <c r="CV2802" s="6"/>
      <c r="CW2802" s="6"/>
      <c r="CX2802" s="6"/>
      <c r="CY2802" s="6"/>
      <c r="CZ2802" s="6"/>
      <c r="DA2802" s="6"/>
      <c r="DB2802" s="6"/>
      <c r="DC2802" s="6"/>
      <c r="DD2802" s="6"/>
    </row>
    <row r="2803" spans="1:108" ht="12.75" hidden="1" customHeight="1" outlineLevel="5">
      <c r="A2803" s="104" t="s">
        <v>260</v>
      </c>
      <c r="B2803" s="28">
        <f t="shared" si="161"/>
        <v>0</v>
      </c>
      <c r="C2803" s="11"/>
      <c r="D2803" s="18" t="str">
        <f>"&lt;" &amp; A2803 &amp; "&gt;" &amp; TEXT(B2803,0) &amp; "&lt;/" &amp; A2803 &amp; "&gt;"</f>
        <v>&lt;Nozzle_Duct_On_Off&gt;0&lt;/Nozzle_Duct_On_Off&gt;</v>
      </c>
      <c r="F2803" s="6"/>
      <c r="G2803" s="6"/>
      <c r="H2803" s="6"/>
      <c r="I2803" s="6"/>
      <c r="J2803" s="6"/>
      <c r="K2803" s="6"/>
      <c r="L2803" s="6"/>
      <c r="M2803" s="6"/>
      <c r="N2803" s="6"/>
      <c r="O2803" s="6"/>
      <c r="P2803" s="6"/>
      <c r="Q2803" s="6"/>
      <c r="R2803" s="6"/>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c r="BU2803" s="6"/>
      <c r="BV2803" s="6"/>
      <c r="BW2803" s="6"/>
      <c r="BX2803" s="6"/>
      <c r="BY2803" s="6"/>
      <c r="BZ2803" s="6"/>
      <c r="CA2803" s="6"/>
      <c r="CB2803" s="6"/>
      <c r="CC2803" s="6"/>
      <c r="CD2803" s="6"/>
      <c r="CE2803" s="6"/>
      <c r="CF2803" s="6"/>
      <c r="CG2803" s="6"/>
      <c r="CH2803" s="6"/>
      <c r="CI2803" s="6"/>
      <c r="CJ2803" s="6"/>
      <c r="CK2803" s="6"/>
      <c r="CL2803" s="6"/>
      <c r="CM2803" s="6"/>
      <c r="CN2803" s="6"/>
      <c r="CO2803" s="6"/>
      <c r="CP2803" s="6"/>
      <c r="CQ2803" s="6"/>
      <c r="CR2803" s="6"/>
      <c r="CS2803" s="6"/>
      <c r="CT2803" s="6"/>
      <c r="CU2803" s="6"/>
      <c r="CV2803" s="6"/>
      <c r="CW2803" s="6"/>
      <c r="CX2803" s="6"/>
      <c r="CY2803" s="6"/>
      <c r="CZ2803" s="6"/>
      <c r="DA2803" s="6"/>
      <c r="DB2803" s="6"/>
      <c r="DC2803" s="6"/>
      <c r="DD2803" s="6"/>
    </row>
    <row r="2804" spans="1:108" ht="12.75" hidden="1" customHeight="1" outlineLevel="5">
      <c r="A2804" s="104" t="s">
        <v>261</v>
      </c>
      <c r="B2804" s="28">
        <f t="shared" si="161"/>
        <v>1</v>
      </c>
      <c r="C2804" s="11"/>
      <c r="D2804" s="18" t="str">
        <f>"&lt;" &amp; A2804 &amp; "&gt;" &amp; TEXT(B2804,"0.000000") &amp; "&lt;/" &amp; A2804 &amp; "&gt;"</f>
        <v>&lt;Nozzle_Duct_X_Offset&gt;1.000000&lt;/Nozzle_Duct_X_Offset&gt;</v>
      </c>
      <c r="F2804" s="6"/>
      <c r="G2804" s="6"/>
      <c r="H2804" s="6"/>
      <c r="I2804" s="6"/>
      <c r="J2804" s="6"/>
      <c r="K2804" s="6"/>
      <c r="L2804" s="6"/>
      <c r="M2804" s="6"/>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c r="BU2804" s="6"/>
      <c r="BV2804" s="6"/>
      <c r="BW2804" s="6"/>
      <c r="BX2804" s="6"/>
      <c r="BY2804" s="6"/>
      <c r="BZ2804" s="6"/>
      <c r="CA2804" s="6"/>
      <c r="CB2804" s="6"/>
      <c r="CC2804" s="6"/>
      <c r="CD2804" s="6"/>
      <c r="CE2804" s="6"/>
      <c r="CF2804" s="6"/>
      <c r="CG2804" s="6"/>
      <c r="CH2804" s="6"/>
      <c r="CI2804" s="6"/>
      <c r="CJ2804" s="6"/>
      <c r="CK2804" s="6"/>
      <c r="CL2804" s="6"/>
      <c r="CM2804" s="6"/>
      <c r="CN2804" s="6"/>
      <c r="CO2804" s="6"/>
      <c r="CP2804" s="6"/>
      <c r="CQ2804" s="6"/>
      <c r="CR2804" s="6"/>
      <c r="CS2804" s="6"/>
      <c r="CT2804" s="6"/>
      <c r="CU2804" s="6"/>
      <c r="CV2804" s="6"/>
      <c r="CW2804" s="6"/>
      <c r="CX2804" s="6"/>
      <c r="CY2804" s="6"/>
      <c r="CZ2804" s="6"/>
      <c r="DA2804" s="6"/>
      <c r="DB2804" s="6"/>
      <c r="DC2804" s="6"/>
      <c r="DD2804" s="6"/>
    </row>
    <row r="2805" spans="1:108" ht="12.75" hidden="1" customHeight="1" outlineLevel="5">
      <c r="A2805" s="104" t="s">
        <v>262</v>
      </c>
      <c r="B2805" s="28">
        <f t="shared" si="161"/>
        <v>0</v>
      </c>
      <c r="C2805" s="11"/>
      <c r="D2805" s="18" t="str">
        <f>"&lt;" &amp; A2805 &amp; "&gt;" &amp; TEXT(B2805,"0.000000") &amp; "&lt;/" &amp; A2805 &amp; "&gt;"</f>
        <v>&lt;Nozzle_Duct_Y_Offset&gt;0.000000&lt;/Nozzle_Duct_Y_Offset&gt;</v>
      </c>
      <c r="F2805" s="6"/>
      <c r="G2805" s="6"/>
      <c r="H2805" s="6"/>
      <c r="I2805" s="6"/>
      <c r="J2805" s="6"/>
      <c r="K2805" s="6"/>
      <c r="L2805" s="6"/>
      <c r="M2805" s="6"/>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c r="BU2805" s="6"/>
      <c r="BV2805" s="6"/>
      <c r="BW2805" s="6"/>
      <c r="BX2805" s="6"/>
      <c r="BY2805" s="6"/>
      <c r="BZ2805" s="6"/>
      <c r="CA2805" s="6"/>
      <c r="CB2805" s="6"/>
      <c r="CC2805" s="6"/>
      <c r="CD2805" s="6"/>
      <c r="CE2805" s="6"/>
      <c r="CF2805" s="6"/>
      <c r="CG2805" s="6"/>
      <c r="CH2805" s="6"/>
      <c r="CI2805" s="6"/>
      <c r="CJ2805" s="6"/>
      <c r="CK2805" s="6"/>
      <c r="CL2805" s="6"/>
      <c r="CM2805" s="6"/>
      <c r="CN2805" s="6"/>
      <c r="CO2805" s="6"/>
      <c r="CP2805" s="6"/>
      <c r="CQ2805" s="6"/>
      <c r="CR2805" s="6"/>
      <c r="CS2805" s="6"/>
      <c r="CT2805" s="6"/>
      <c r="CU2805" s="6"/>
      <c r="CV2805" s="6"/>
      <c r="CW2805" s="6"/>
      <c r="CX2805" s="6"/>
      <c r="CY2805" s="6"/>
      <c r="CZ2805" s="6"/>
      <c r="DA2805" s="6"/>
      <c r="DB2805" s="6"/>
      <c r="DC2805" s="6"/>
      <c r="DD2805" s="6"/>
    </row>
    <row r="2806" spans="1:108" ht="12.75" hidden="1" customHeight="1" outlineLevel="5">
      <c r="A2806" s="104" t="s">
        <v>263</v>
      </c>
      <c r="B2806" s="28">
        <f t="shared" si="161"/>
        <v>0</v>
      </c>
      <c r="C2806" s="11"/>
      <c r="D2806" s="18" t="str">
        <f>"&lt;" &amp; A2806 &amp; "&gt;" &amp; TEXT(B2806,"0.000000") &amp; "&lt;/" &amp; A2806 &amp; "&gt;"</f>
        <v>&lt;Nozzle_Duct_Shape_Factor&gt;0.000000&lt;/Nozzle_Duct_Shape_Factor&gt;</v>
      </c>
      <c r="F2806" s="6"/>
      <c r="G2806" s="6"/>
      <c r="H2806" s="6"/>
      <c r="I2806" s="6"/>
      <c r="J2806" s="6"/>
      <c r="K2806" s="6"/>
      <c r="L2806" s="6"/>
      <c r="M2806" s="6"/>
      <c r="N2806" s="6"/>
      <c r="O2806" s="6"/>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c r="BU2806" s="6"/>
      <c r="BV2806" s="6"/>
      <c r="BW2806" s="6"/>
      <c r="BX2806" s="6"/>
      <c r="BY2806" s="6"/>
      <c r="BZ2806" s="6"/>
      <c r="CA2806" s="6"/>
      <c r="CB2806" s="6"/>
      <c r="CC2806" s="6"/>
      <c r="CD2806" s="6"/>
      <c r="CE2806" s="6"/>
      <c r="CF2806" s="6"/>
      <c r="CG2806" s="6"/>
      <c r="CH2806" s="6"/>
      <c r="CI2806" s="6"/>
      <c r="CJ2806" s="6"/>
      <c r="CK2806" s="6"/>
      <c r="CL2806" s="6"/>
      <c r="CM2806" s="6"/>
      <c r="CN2806" s="6"/>
      <c r="CO2806" s="6"/>
      <c r="CP2806" s="6"/>
      <c r="CQ2806" s="6"/>
      <c r="CR2806" s="6"/>
      <c r="CS2806" s="6"/>
      <c r="CT2806" s="6"/>
      <c r="CU2806" s="6"/>
      <c r="CV2806" s="6"/>
      <c r="CW2806" s="6"/>
      <c r="CX2806" s="6"/>
      <c r="CY2806" s="6"/>
      <c r="CZ2806" s="6"/>
      <c r="DA2806" s="6"/>
      <c r="DB2806" s="6"/>
      <c r="DC2806" s="6"/>
      <c r="DD2806" s="6"/>
    </row>
    <row r="2807" spans="1:108" ht="12.75" hidden="1" customHeight="1" outlineLevel="5">
      <c r="A2807" s="104" t="s">
        <v>264</v>
      </c>
      <c r="B2807" s="100"/>
      <c r="C2807" s="11"/>
      <c r="D2807" s="6" t="str">
        <f>"&lt;" &amp; A2807 &amp; "&gt;"</f>
        <v>&lt;/Engine_Parms&gt;</v>
      </c>
      <c r="F2807" s="6"/>
      <c r="G2807" s="6"/>
      <c r="H2807" s="6"/>
      <c r="I2807" s="6"/>
      <c r="J2807" s="6"/>
      <c r="K2807" s="6"/>
      <c r="L2807" s="6"/>
      <c r="M2807" s="6"/>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c r="BU2807" s="6"/>
      <c r="BV2807" s="6"/>
      <c r="BW2807" s="6"/>
      <c r="BX2807" s="6"/>
      <c r="BY2807" s="6"/>
      <c r="BZ2807" s="6"/>
      <c r="CA2807" s="6"/>
      <c r="CB2807" s="6"/>
      <c r="CC2807" s="6"/>
      <c r="CD2807" s="6"/>
      <c r="CE2807" s="6"/>
      <c r="CF2807" s="6"/>
      <c r="CG2807" s="6"/>
      <c r="CH2807" s="6"/>
      <c r="CI2807" s="6"/>
      <c r="CJ2807" s="6"/>
      <c r="CK2807" s="6"/>
      <c r="CL2807" s="6"/>
      <c r="CM2807" s="6"/>
      <c r="CN2807" s="6"/>
      <c r="CO2807" s="6"/>
      <c r="CP2807" s="6"/>
      <c r="CQ2807" s="6"/>
      <c r="CR2807" s="6"/>
      <c r="CS2807" s="6"/>
      <c r="CT2807" s="6"/>
      <c r="CU2807" s="6"/>
      <c r="CV2807" s="6"/>
      <c r="CW2807" s="6"/>
      <c r="CX2807" s="6"/>
      <c r="CY2807" s="6"/>
      <c r="CZ2807" s="6"/>
      <c r="DA2807" s="6"/>
      <c r="DB2807" s="6"/>
      <c r="DC2807" s="6"/>
      <c r="DD2807" s="6"/>
    </row>
    <row r="2808" spans="1:108" ht="12.75" hidden="1" customHeight="1" outlineLevel="4">
      <c r="A2808" s="104" t="s">
        <v>138</v>
      </c>
      <c r="B2808" s="100"/>
      <c r="C2808" s="11" t="str">
        <f>IF(OR(C2423="Yes",C2276="No"),"No","Yes")</f>
        <v>No</v>
      </c>
      <c r="D2808" s="133" t="str">
        <f>IF(C2808="Yes",("&lt;"&amp;A2808&amp;"&gt;"),("&lt;"&amp;A2808&amp;"--&gt;"))</f>
        <v>&lt;/Component--&gt;</v>
      </c>
      <c r="F2808" s="6"/>
      <c r="G2808" s="6"/>
      <c r="H2808" s="6"/>
      <c r="I2808" s="6"/>
      <c r="J2808" s="6"/>
      <c r="K2808" s="6"/>
      <c r="L2808" s="6"/>
      <c r="M2808" s="6"/>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c r="BU2808" s="6"/>
      <c r="BV2808" s="6"/>
      <c r="BW2808" s="6"/>
      <c r="BX2808" s="6"/>
      <c r="BY2808" s="6"/>
      <c r="BZ2808" s="6"/>
      <c r="CA2808" s="6"/>
      <c r="CB2808" s="6"/>
      <c r="CC2808" s="6"/>
      <c r="CD2808" s="6"/>
      <c r="CE2808" s="6"/>
      <c r="CF2808" s="6"/>
      <c r="CG2808" s="6"/>
      <c r="CH2808" s="6"/>
      <c r="CI2808" s="6"/>
      <c r="CJ2808" s="6"/>
      <c r="CK2808" s="6"/>
      <c r="CL2808" s="6"/>
      <c r="CM2808" s="6"/>
      <c r="CN2808" s="6"/>
      <c r="CO2808" s="6"/>
      <c r="CP2808" s="6"/>
      <c r="CQ2808" s="6"/>
      <c r="CR2808" s="6"/>
      <c r="CS2808" s="6"/>
      <c r="CT2808" s="6"/>
      <c r="CU2808" s="6"/>
      <c r="CV2808" s="6"/>
      <c r="CW2808" s="6"/>
      <c r="CX2808" s="6"/>
      <c r="CY2808" s="6"/>
      <c r="CZ2808" s="6"/>
      <c r="DA2808" s="6"/>
      <c r="DB2808" s="6"/>
      <c r="DC2808" s="6"/>
      <c r="DD2808" s="6"/>
    </row>
    <row r="2809" spans="1:108" s="24" customFormat="1" outlineLevel="2" collapsed="1">
      <c r="A2809" s="104" t="s">
        <v>40</v>
      </c>
      <c r="B2809" s="110" t="str">
        <f>B2812</f>
        <v>Engine 1</v>
      </c>
      <c r="C2809" s="27" t="str">
        <f>IF(Input!$D$27&gt;=4,"Yes","No")</f>
        <v>No</v>
      </c>
      <c r="D2809" s="6" t="str">
        <f>IF(C2809="Yes",("&lt;"&amp;A2809&amp;"&gt;"),("&lt;!--"&amp;A2809&amp;"&gt;"))</f>
        <v>&lt;!--Component&gt;</v>
      </c>
      <c r="E2809"/>
      <c r="F2809" s="6"/>
      <c r="G2809" s="6"/>
      <c r="H2809" s="6"/>
      <c r="I2809" s="6"/>
      <c r="J2809" s="6"/>
      <c r="K2809" s="6"/>
      <c r="L2809" s="6"/>
      <c r="M2809" s="6"/>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c r="BU2809" s="6"/>
      <c r="BV2809" s="6"/>
      <c r="BW2809" s="6"/>
      <c r="BX2809" s="6"/>
      <c r="BY2809" s="6"/>
      <c r="BZ2809" s="6"/>
      <c r="CA2809" s="6"/>
      <c r="CB2809" s="6"/>
      <c r="CC2809" s="6"/>
      <c r="CD2809" s="6"/>
      <c r="CE2809" s="6"/>
      <c r="CF2809" s="6"/>
      <c r="CG2809" s="6"/>
      <c r="CH2809" s="6"/>
      <c r="CI2809" s="6"/>
      <c r="CJ2809" s="6"/>
      <c r="CK2809" s="6"/>
      <c r="CL2809" s="6"/>
      <c r="CM2809" s="6"/>
      <c r="CN2809" s="6"/>
      <c r="CO2809" s="6"/>
      <c r="CP2809" s="6"/>
      <c r="CQ2809" s="6"/>
      <c r="CR2809" s="6"/>
      <c r="CS2809" s="6"/>
      <c r="CT2809" s="6"/>
      <c r="CU2809" s="6"/>
      <c r="CV2809" s="6"/>
      <c r="CW2809" s="6"/>
      <c r="CX2809" s="6"/>
      <c r="CY2809" s="6"/>
      <c r="CZ2809" s="6"/>
      <c r="DA2809" s="6"/>
      <c r="DB2809" s="6"/>
      <c r="DC2809" s="6"/>
      <c r="DD2809" s="6"/>
    </row>
    <row r="2810" spans="1:108" ht="12.75" hidden="1" customHeight="1" outlineLevel="3" collapsed="1">
      <c r="A2810" s="104" t="s">
        <v>14</v>
      </c>
      <c r="B2810" s="100" t="s">
        <v>220</v>
      </c>
      <c r="C2810" s="11"/>
      <c r="D2810" s="18" t="str">
        <f>"&lt;" &amp; A2810 &amp; "&gt;" &amp; TEXT(B2810,0) &amp; "&lt;/" &amp; A2810 &amp; "&gt;"</f>
        <v>&lt;Type&gt;Blank&lt;/Type&gt;</v>
      </c>
      <c r="F2810" s="6"/>
      <c r="G2810" s="6"/>
      <c r="H2810" s="6"/>
      <c r="I2810" s="6"/>
      <c r="J2810" s="6"/>
      <c r="K2810" s="6"/>
      <c r="L2810" s="6"/>
      <c r="M2810" s="6"/>
      <c r="N2810" s="6"/>
      <c r="O2810" s="6"/>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c r="BU2810" s="6"/>
      <c r="BV2810" s="6"/>
      <c r="BW2810" s="6"/>
      <c r="BX2810" s="6"/>
      <c r="BY2810" s="6"/>
      <c r="BZ2810" s="6"/>
      <c r="CA2810" s="6"/>
      <c r="CB2810" s="6"/>
      <c r="CC2810" s="6"/>
      <c r="CD2810" s="6"/>
      <c r="CE2810" s="6"/>
      <c r="CF2810" s="6"/>
      <c r="CG2810" s="6"/>
      <c r="CH2810" s="6"/>
      <c r="CI2810" s="6"/>
      <c r="CJ2810" s="6"/>
      <c r="CK2810" s="6"/>
      <c r="CL2810" s="6"/>
      <c r="CM2810" s="6"/>
      <c r="CN2810" s="6"/>
      <c r="CO2810" s="6"/>
      <c r="CP2810" s="6"/>
      <c r="CQ2810" s="6"/>
      <c r="CR2810" s="6"/>
      <c r="CS2810" s="6"/>
      <c r="CT2810" s="6"/>
      <c r="CU2810" s="6"/>
      <c r="CV2810" s="6"/>
      <c r="CW2810" s="6"/>
      <c r="CX2810" s="6"/>
      <c r="CY2810" s="6"/>
      <c r="CZ2810" s="6"/>
      <c r="DA2810" s="6"/>
      <c r="DB2810" s="6"/>
      <c r="DC2810" s="6"/>
      <c r="DD2810" s="6"/>
    </row>
    <row r="2811" spans="1:108" ht="12.75" hidden="1" customHeight="1" outlineLevel="4" collapsed="1">
      <c r="A2811" s="104" t="s">
        <v>42</v>
      </c>
      <c r="B2811" s="100"/>
      <c r="C2811" s="11"/>
      <c r="D2811" s="6" t="str">
        <f>"&lt;" &amp; A2811 &amp; "&gt;"</f>
        <v>&lt;General_Parms&gt;</v>
      </c>
      <c r="F2811" s="6"/>
      <c r="G2811" s="6"/>
      <c r="H2811" s="6"/>
      <c r="I2811" s="6"/>
      <c r="J2811" s="6"/>
      <c r="K2811" s="6"/>
      <c r="L2811" s="6"/>
      <c r="M2811" s="6"/>
      <c r="N2811" s="6"/>
      <c r="O2811" s="6"/>
      <c r="P2811" s="6"/>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c r="BU2811" s="6"/>
      <c r="BV2811" s="6"/>
      <c r="BW2811" s="6"/>
      <c r="BX2811" s="6"/>
      <c r="BY2811" s="6"/>
      <c r="BZ2811" s="6"/>
      <c r="CA2811" s="6"/>
      <c r="CB2811" s="6"/>
      <c r="CC2811" s="6"/>
      <c r="CD2811" s="6"/>
      <c r="CE2811" s="6"/>
      <c r="CF2811" s="6"/>
      <c r="CG2811" s="6"/>
      <c r="CH2811" s="6"/>
      <c r="CI2811" s="6"/>
      <c r="CJ2811" s="6"/>
      <c r="CK2811" s="6"/>
      <c r="CL2811" s="6"/>
      <c r="CM2811" s="6"/>
      <c r="CN2811" s="6"/>
      <c r="CO2811" s="6"/>
      <c r="CP2811" s="6"/>
      <c r="CQ2811" s="6"/>
      <c r="CR2811" s="6"/>
      <c r="CS2811" s="6"/>
      <c r="CT2811" s="6"/>
      <c r="CU2811" s="6"/>
      <c r="CV2811" s="6"/>
      <c r="CW2811" s="6"/>
      <c r="CX2811" s="6"/>
      <c r="CY2811" s="6"/>
      <c r="CZ2811" s="6"/>
      <c r="DA2811" s="6"/>
      <c r="DB2811" s="6"/>
      <c r="DC2811" s="6"/>
      <c r="DD2811" s="6"/>
    </row>
    <row r="2812" spans="1:108" ht="12.75" hidden="1" customHeight="1" outlineLevel="5">
      <c r="A2812" s="104" t="s">
        <v>1</v>
      </c>
      <c r="B2812" s="118" t="str">
        <f>"Engine 1"</f>
        <v>Engine 1</v>
      </c>
      <c r="C2812" s="11"/>
      <c r="D2812" s="18" t="str">
        <f>"&lt;" &amp; A2812 &amp; "&gt;" &amp; TEXT(B2812,0) &amp; "&lt;/" &amp; A2812 &amp; "&gt;"</f>
        <v>&lt;Name&gt;Engine 1&lt;/Name&gt;</v>
      </c>
      <c r="F2812" s="6"/>
      <c r="G2812" s="6"/>
      <c r="H2812" s="6"/>
      <c r="I2812" s="6"/>
      <c r="J2812" s="6"/>
      <c r="K2812" s="6"/>
      <c r="L2812" s="6"/>
      <c r="M2812" s="6"/>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c r="BU2812" s="6"/>
      <c r="BV2812" s="6"/>
      <c r="BW2812" s="6"/>
      <c r="BX2812" s="6"/>
      <c r="BY2812" s="6"/>
      <c r="BZ2812" s="6"/>
      <c r="CA2812" s="6"/>
      <c r="CB2812" s="6"/>
      <c r="CC2812" s="6"/>
      <c r="CD2812" s="6"/>
      <c r="CE2812" s="6"/>
      <c r="CF2812" s="6"/>
      <c r="CG2812" s="6"/>
      <c r="CH2812" s="6"/>
      <c r="CI2812" s="6"/>
      <c r="CJ2812" s="6"/>
      <c r="CK2812" s="6"/>
      <c r="CL2812" s="6"/>
      <c r="CM2812" s="6"/>
      <c r="CN2812" s="6"/>
      <c r="CO2812" s="6"/>
      <c r="CP2812" s="6"/>
      <c r="CQ2812" s="6"/>
      <c r="CR2812" s="6"/>
      <c r="CS2812" s="6"/>
      <c r="CT2812" s="6"/>
      <c r="CU2812" s="6"/>
      <c r="CV2812" s="6"/>
      <c r="CW2812" s="6"/>
      <c r="CX2812" s="6"/>
      <c r="CY2812" s="6"/>
      <c r="CZ2812" s="6"/>
      <c r="DA2812" s="6"/>
      <c r="DB2812" s="6"/>
      <c r="DC2812" s="6"/>
      <c r="DD2812" s="6"/>
    </row>
    <row r="2813" spans="1:108" ht="12.75" hidden="1" customHeight="1" outlineLevel="5">
      <c r="A2813" s="104" t="s">
        <v>43</v>
      </c>
      <c r="B2813" s="28">
        <v>0</v>
      </c>
      <c r="C2813" s="11"/>
      <c r="D2813" s="18" t="str">
        <f>"&lt;" &amp; A2813 &amp; "&gt;" &amp; TEXT(B2813,"0.000000") &amp; "&lt;/" &amp; A2813 &amp; "&gt;"</f>
        <v>&lt;ColorR&gt;0.000000&lt;/ColorR&gt;</v>
      </c>
      <c r="F2813" s="6"/>
      <c r="G2813" s="6"/>
      <c r="H2813" s="6"/>
      <c r="I2813" s="6"/>
      <c r="J2813" s="6"/>
      <c r="K2813" s="6"/>
      <c r="L2813" s="6"/>
      <c r="M2813" s="6"/>
      <c r="N2813" s="6"/>
      <c r="O2813" s="6"/>
      <c r="P2813" s="6"/>
      <c r="Q2813" s="6"/>
      <c r="R2813" s="6"/>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c r="BU2813" s="6"/>
      <c r="BV2813" s="6"/>
      <c r="BW2813" s="6"/>
      <c r="BX2813" s="6"/>
      <c r="BY2813" s="6"/>
      <c r="BZ2813" s="6"/>
      <c r="CA2813" s="6"/>
      <c r="CB2813" s="6"/>
      <c r="CC2813" s="6"/>
      <c r="CD2813" s="6"/>
      <c r="CE2813" s="6"/>
      <c r="CF2813" s="6"/>
      <c r="CG2813" s="6"/>
      <c r="CH2813" s="6"/>
      <c r="CI2813" s="6"/>
      <c r="CJ2813" s="6"/>
      <c r="CK2813" s="6"/>
      <c r="CL2813" s="6"/>
      <c r="CM2813" s="6"/>
      <c r="CN2813" s="6"/>
      <c r="CO2813" s="6"/>
      <c r="CP2813" s="6"/>
      <c r="CQ2813" s="6"/>
      <c r="CR2813" s="6"/>
      <c r="CS2813" s="6"/>
      <c r="CT2813" s="6"/>
      <c r="CU2813" s="6"/>
      <c r="CV2813" s="6"/>
      <c r="CW2813" s="6"/>
      <c r="CX2813" s="6"/>
      <c r="CY2813" s="6"/>
      <c r="CZ2813" s="6"/>
      <c r="DA2813" s="6"/>
      <c r="DB2813" s="6"/>
      <c r="DC2813" s="6"/>
      <c r="DD2813" s="6"/>
    </row>
    <row r="2814" spans="1:108" ht="12.75" hidden="1" customHeight="1" outlineLevel="5">
      <c r="A2814" s="104" t="s">
        <v>44</v>
      </c>
      <c r="B2814" s="28">
        <v>0</v>
      </c>
      <c r="C2814" s="11"/>
      <c r="D2814" s="18" t="str">
        <f>"&lt;" &amp; A2814 &amp; "&gt;" &amp; TEXT(B2814,"0.000000") &amp; "&lt;/" &amp; A2814 &amp; "&gt;"</f>
        <v>&lt;ColorG&gt;0.000000&lt;/ColorG&gt;</v>
      </c>
      <c r="F2814" s="6"/>
      <c r="G2814" s="6"/>
      <c r="H2814" s="6"/>
      <c r="I2814" s="6"/>
      <c r="J2814" s="6"/>
      <c r="K2814" s="6"/>
      <c r="L2814" s="6"/>
      <c r="M2814" s="6"/>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c r="BU2814" s="6"/>
      <c r="BV2814" s="6"/>
      <c r="BW2814" s="6"/>
      <c r="BX2814" s="6"/>
      <c r="BY2814" s="6"/>
      <c r="BZ2814" s="6"/>
      <c r="CA2814" s="6"/>
      <c r="CB2814" s="6"/>
      <c r="CC2814" s="6"/>
      <c r="CD2814" s="6"/>
      <c r="CE2814" s="6"/>
      <c r="CF2814" s="6"/>
      <c r="CG2814" s="6"/>
      <c r="CH2814" s="6"/>
      <c r="CI2814" s="6"/>
      <c r="CJ2814" s="6"/>
      <c r="CK2814" s="6"/>
      <c r="CL2814" s="6"/>
      <c r="CM2814" s="6"/>
      <c r="CN2814" s="6"/>
      <c r="CO2814" s="6"/>
      <c r="CP2814" s="6"/>
      <c r="CQ2814" s="6"/>
      <c r="CR2814" s="6"/>
      <c r="CS2814" s="6"/>
      <c r="CT2814" s="6"/>
      <c r="CU2814" s="6"/>
      <c r="CV2814" s="6"/>
      <c r="CW2814" s="6"/>
      <c r="CX2814" s="6"/>
      <c r="CY2814" s="6"/>
      <c r="CZ2814" s="6"/>
      <c r="DA2814" s="6"/>
      <c r="DB2814" s="6"/>
      <c r="DC2814" s="6"/>
      <c r="DD2814" s="6"/>
    </row>
    <row r="2815" spans="1:108" ht="12.75" hidden="1" customHeight="1" outlineLevel="5">
      <c r="A2815" s="104" t="s">
        <v>45</v>
      </c>
      <c r="B2815" s="28">
        <v>255</v>
      </c>
      <c r="C2815" s="11"/>
      <c r="D2815" s="18" t="str">
        <f>"&lt;" &amp; A2815 &amp; "&gt;" &amp; TEXT(B2815,"0.000000") &amp; "&lt;/" &amp; A2815 &amp; "&gt;"</f>
        <v>&lt;ColorB&gt;255.000000&lt;/ColorB&gt;</v>
      </c>
      <c r="F2815" s="6"/>
      <c r="G2815" s="6"/>
      <c r="H2815" s="6"/>
      <c r="I2815" s="6"/>
      <c r="J2815" s="6"/>
      <c r="K2815" s="6"/>
      <c r="L2815" s="6"/>
      <c r="M2815" s="6"/>
      <c r="N2815" s="6"/>
      <c r="O2815" s="6"/>
      <c r="P2815" s="6"/>
      <c r="Q2815" s="6"/>
      <c r="R2815" s="6"/>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c r="BU2815" s="6"/>
      <c r="BV2815" s="6"/>
      <c r="BW2815" s="6"/>
      <c r="BX2815" s="6"/>
      <c r="BY2815" s="6"/>
      <c r="BZ2815" s="6"/>
      <c r="CA2815" s="6"/>
      <c r="CB2815" s="6"/>
      <c r="CC2815" s="6"/>
      <c r="CD2815" s="6"/>
      <c r="CE2815" s="6"/>
      <c r="CF2815" s="6"/>
      <c r="CG2815" s="6"/>
      <c r="CH2815" s="6"/>
      <c r="CI2815" s="6"/>
      <c r="CJ2815" s="6"/>
      <c r="CK2815" s="6"/>
      <c r="CL2815" s="6"/>
      <c r="CM2815" s="6"/>
      <c r="CN2815" s="6"/>
      <c r="CO2815" s="6"/>
      <c r="CP2815" s="6"/>
      <c r="CQ2815" s="6"/>
      <c r="CR2815" s="6"/>
      <c r="CS2815" s="6"/>
      <c r="CT2815" s="6"/>
      <c r="CU2815" s="6"/>
      <c r="CV2815" s="6"/>
      <c r="CW2815" s="6"/>
      <c r="CX2815" s="6"/>
      <c r="CY2815" s="6"/>
      <c r="CZ2815" s="6"/>
      <c r="DA2815" s="6"/>
      <c r="DB2815" s="6"/>
      <c r="DC2815" s="6"/>
      <c r="DD2815" s="6"/>
    </row>
    <row r="2816" spans="1:108" ht="12.75" hidden="1" customHeight="1" outlineLevel="5">
      <c r="A2816" s="104" t="s">
        <v>46</v>
      </c>
      <c r="B2816" s="28">
        <v>0</v>
      </c>
      <c r="C2816" s="11"/>
      <c r="D2816" s="18" t="str">
        <f t="shared" ref="D2816:D2825" si="162">"&lt;" &amp; A2816 &amp; "&gt;" &amp; TEXT(B2816,0) &amp; "&lt;/" &amp; A2816 &amp; "&gt;"</f>
        <v>&lt;Symmetry&gt;0&lt;/Symmetry&gt;</v>
      </c>
      <c r="F2816" s="6"/>
      <c r="G2816" s="6"/>
      <c r="H2816" s="6"/>
      <c r="I2816" s="6"/>
      <c r="J2816" s="6"/>
      <c r="K2816" s="6"/>
      <c r="L2816" s="6"/>
      <c r="M2816" s="6"/>
      <c r="N2816" s="6"/>
      <c r="O2816" s="6"/>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c r="BU2816" s="6"/>
      <c r="BV2816" s="6"/>
      <c r="BW2816" s="6"/>
      <c r="BX2816" s="6"/>
      <c r="BY2816" s="6"/>
      <c r="BZ2816" s="6"/>
      <c r="CA2816" s="6"/>
      <c r="CB2816" s="6"/>
      <c r="CC2816" s="6"/>
      <c r="CD2816" s="6"/>
      <c r="CE2816" s="6"/>
      <c r="CF2816" s="6"/>
      <c r="CG2816" s="6"/>
      <c r="CH2816" s="6"/>
      <c r="CI2816" s="6"/>
      <c r="CJ2816" s="6"/>
      <c r="CK2816" s="6"/>
      <c r="CL2816" s="6"/>
      <c r="CM2816" s="6"/>
      <c r="CN2816" s="6"/>
      <c r="CO2816" s="6"/>
      <c r="CP2816" s="6"/>
      <c r="CQ2816" s="6"/>
      <c r="CR2816" s="6"/>
      <c r="CS2816" s="6"/>
      <c r="CT2816" s="6"/>
      <c r="CU2816" s="6"/>
      <c r="CV2816" s="6"/>
      <c r="CW2816" s="6"/>
      <c r="CX2816" s="6"/>
      <c r="CY2816" s="6"/>
      <c r="CZ2816" s="6"/>
      <c r="DA2816" s="6"/>
      <c r="DB2816" s="6"/>
      <c r="DC2816" s="6"/>
      <c r="DD2816" s="6"/>
    </row>
    <row r="2817" spans="1:108" ht="12.75" hidden="1" customHeight="1" outlineLevel="5">
      <c r="A2817" s="104" t="s">
        <v>47</v>
      </c>
      <c r="B2817" s="28">
        <v>0</v>
      </c>
      <c r="C2817" s="11"/>
      <c r="D2817" s="18" t="str">
        <f t="shared" si="162"/>
        <v>&lt;RelXFormFlag&gt;0&lt;/RelXFormFlag&gt;</v>
      </c>
      <c r="F2817" s="6"/>
      <c r="G2817" s="6"/>
      <c r="H2817" s="6"/>
      <c r="I2817" s="6"/>
      <c r="J2817" s="6"/>
      <c r="K2817" s="6"/>
      <c r="L2817" s="6"/>
      <c r="M2817" s="6"/>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c r="BU2817" s="6"/>
      <c r="BV2817" s="6"/>
      <c r="BW2817" s="6"/>
      <c r="BX2817" s="6"/>
      <c r="BY2817" s="6"/>
      <c r="BZ2817" s="6"/>
      <c r="CA2817" s="6"/>
      <c r="CB2817" s="6"/>
      <c r="CC2817" s="6"/>
      <c r="CD2817" s="6"/>
      <c r="CE2817" s="6"/>
      <c r="CF2817" s="6"/>
      <c r="CG2817" s="6"/>
      <c r="CH2817" s="6"/>
      <c r="CI2817" s="6"/>
      <c r="CJ2817" s="6"/>
      <c r="CK2817" s="6"/>
      <c r="CL2817" s="6"/>
      <c r="CM2817" s="6"/>
      <c r="CN2817" s="6"/>
      <c r="CO2817" s="6"/>
      <c r="CP2817" s="6"/>
      <c r="CQ2817" s="6"/>
      <c r="CR2817" s="6"/>
      <c r="CS2817" s="6"/>
      <c r="CT2817" s="6"/>
      <c r="CU2817" s="6"/>
      <c r="CV2817" s="6"/>
      <c r="CW2817" s="6"/>
      <c r="CX2817" s="6"/>
      <c r="CY2817" s="6"/>
      <c r="CZ2817" s="6"/>
      <c r="DA2817" s="6"/>
      <c r="DB2817" s="6"/>
      <c r="DC2817" s="6"/>
      <c r="DD2817" s="6"/>
    </row>
    <row r="2818" spans="1:108" ht="12.75" hidden="1" customHeight="1" outlineLevel="5">
      <c r="A2818" s="104" t="s">
        <v>48</v>
      </c>
      <c r="B2818" s="28">
        <v>0</v>
      </c>
      <c r="C2818" s="11"/>
      <c r="D2818" s="18" t="str">
        <f t="shared" si="162"/>
        <v>&lt;MaterialID&gt;0&lt;/MaterialID&gt;</v>
      </c>
      <c r="F2818" s="6"/>
      <c r="G2818" s="6"/>
      <c r="H2818" s="6"/>
      <c r="I2818" s="6"/>
      <c r="J2818" s="6"/>
      <c r="K2818" s="6"/>
      <c r="L2818" s="6"/>
      <c r="M2818" s="6"/>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c r="BU2818" s="6"/>
      <c r="BV2818" s="6"/>
      <c r="BW2818" s="6"/>
      <c r="BX2818" s="6"/>
      <c r="BY2818" s="6"/>
      <c r="BZ2818" s="6"/>
      <c r="CA2818" s="6"/>
      <c r="CB2818" s="6"/>
      <c r="CC2818" s="6"/>
      <c r="CD2818" s="6"/>
      <c r="CE2818" s="6"/>
      <c r="CF2818" s="6"/>
      <c r="CG2818" s="6"/>
      <c r="CH2818" s="6"/>
      <c r="CI2818" s="6"/>
      <c r="CJ2818" s="6"/>
      <c r="CK2818" s="6"/>
      <c r="CL2818" s="6"/>
      <c r="CM2818" s="6"/>
      <c r="CN2818" s="6"/>
      <c r="CO2818" s="6"/>
      <c r="CP2818" s="6"/>
      <c r="CQ2818" s="6"/>
      <c r="CR2818" s="6"/>
      <c r="CS2818" s="6"/>
      <c r="CT2818" s="6"/>
      <c r="CU2818" s="6"/>
      <c r="CV2818" s="6"/>
      <c r="CW2818" s="6"/>
      <c r="CX2818" s="6"/>
      <c r="CY2818" s="6"/>
      <c r="CZ2818" s="6"/>
      <c r="DA2818" s="6"/>
      <c r="DB2818" s="6"/>
      <c r="DC2818" s="6"/>
      <c r="DD2818" s="6"/>
    </row>
    <row r="2819" spans="1:108" ht="12.75" hidden="1" customHeight="1" outlineLevel="5">
      <c r="A2819" s="104" t="s">
        <v>49</v>
      </c>
      <c r="B2819" s="28">
        <v>1</v>
      </c>
      <c r="C2819" s="11"/>
      <c r="D2819" s="18" t="str">
        <f t="shared" si="162"/>
        <v>&lt;OutputFlag&gt;1&lt;/OutputFlag&gt;</v>
      </c>
      <c r="F2819" s="6"/>
      <c r="G2819" s="6"/>
      <c r="H2819" s="6"/>
      <c r="I2819" s="6"/>
      <c r="J2819" s="6"/>
      <c r="K2819" s="6"/>
      <c r="L2819" s="6"/>
      <c r="M2819" s="6"/>
      <c r="N2819" s="6"/>
      <c r="O2819" s="6"/>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c r="BU2819" s="6"/>
      <c r="BV2819" s="6"/>
      <c r="BW2819" s="6"/>
      <c r="BX2819" s="6"/>
      <c r="BY2819" s="6"/>
      <c r="BZ2819" s="6"/>
      <c r="CA2819" s="6"/>
      <c r="CB2819" s="6"/>
      <c r="CC2819" s="6"/>
      <c r="CD2819" s="6"/>
      <c r="CE2819" s="6"/>
      <c r="CF2819" s="6"/>
      <c r="CG2819" s="6"/>
      <c r="CH2819" s="6"/>
      <c r="CI2819" s="6"/>
      <c r="CJ2819" s="6"/>
      <c r="CK2819" s="6"/>
      <c r="CL2819" s="6"/>
      <c r="CM2819" s="6"/>
      <c r="CN2819" s="6"/>
      <c r="CO2819" s="6"/>
      <c r="CP2819" s="6"/>
      <c r="CQ2819" s="6"/>
      <c r="CR2819" s="6"/>
      <c r="CS2819" s="6"/>
      <c r="CT2819" s="6"/>
      <c r="CU2819" s="6"/>
      <c r="CV2819" s="6"/>
      <c r="CW2819" s="6"/>
      <c r="CX2819" s="6"/>
      <c r="CY2819" s="6"/>
      <c r="CZ2819" s="6"/>
      <c r="DA2819" s="6"/>
      <c r="DB2819" s="6"/>
      <c r="DC2819" s="6"/>
      <c r="DD2819" s="6"/>
    </row>
    <row r="2820" spans="1:108" ht="12.75" hidden="1" customHeight="1" outlineLevel="5">
      <c r="A2820" s="104" t="s">
        <v>50</v>
      </c>
      <c r="B2820" s="28">
        <v>0</v>
      </c>
      <c r="C2820" s="11"/>
      <c r="D2820" s="18" t="str">
        <f t="shared" si="162"/>
        <v>&lt;OutputNameID&gt;0&lt;/OutputNameID&gt;</v>
      </c>
      <c r="F2820" s="6"/>
      <c r="G2820" s="6"/>
      <c r="H2820" s="6"/>
      <c r="I2820" s="6"/>
      <c r="J2820" s="6"/>
      <c r="K2820" s="6"/>
      <c r="L2820" s="6"/>
      <c r="M2820" s="6"/>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c r="BU2820" s="6"/>
      <c r="BV2820" s="6"/>
      <c r="BW2820" s="6"/>
      <c r="BX2820" s="6"/>
      <c r="BY2820" s="6"/>
      <c r="BZ2820" s="6"/>
      <c r="CA2820" s="6"/>
      <c r="CB2820" s="6"/>
      <c r="CC2820" s="6"/>
      <c r="CD2820" s="6"/>
      <c r="CE2820" s="6"/>
      <c r="CF2820" s="6"/>
      <c r="CG2820" s="6"/>
      <c r="CH2820" s="6"/>
      <c r="CI2820" s="6"/>
      <c r="CJ2820" s="6"/>
      <c r="CK2820" s="6"/>
      <c r="CL2820" s="6"/>
      <c r="CM2820" s="6"/>
      <c r="CN2820" s="6"/>
      <c r="CO2820" s="6"/>
      <c r="CP2820" s="6"/>
      <c r="CQ2820" s="6"/>
      <c r="CR2820" s="6"/>
      <c r="CS2820" s="6"/>
      <c r="CT2820" s="6"/>
      <c r="CU2820" s="6"/>
      <c r="CV2820" s="6"/>
      <c r="CW2820" s="6"/>
      <c r="CX2820" s="6"/>
      <c r="CY2820" s="6"/>
      <c r="CZ2820" s="6"/>
      <c r="DA2820" s="6"/>
      <c r="DB2820" s="6"/>
      <c r="DC2820" s="6"/>
      <c r="DD2820" s="6"/>
    </row>
    <row r="2821" spans="1:108" ht="12.75" hidden="1" customHeight="1" outlineLevel="5">
      <c r="A2821" s="104" t="s">
        <v>51</v>
      </c>
      <c r="B2821" s="28">
        <v>1</v>
      </c>
      <c r="C2821" s="11"/>
      <c r="D2821" s="18" t="str">
        <f t="shared" si="162"/>
        <v>&lt;DisplayChildrenFlag&gt;1&lt;/DisplayChildrenFlag&gt;</v>
      </c>
      <c r="F2821" s="6"/>
      <c r="G2821" s="6"/>
      <c r="H2821" s="6"/>
      <c r="I2821" s="6"/>
      <c r="J2821" s="6"/>
      <c r="K2821" s="6"/>
      <c r="L2821" s="6"/>
      <c r="M2821" s="6"/>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c r="BU2821" s="6"/>
      <c r="BV2821" s="6"/>
      <c r="BW2821" s="6"/>
      <c r="BX2821" s="6"/>
      <c r="BY2821" s="6"/>
      <c r="BZ2821" s="6"/>
      <c r="CA2821" s="6"/>
      <c r="CB2821" s="6"/>
      <c r="CC2821" s="6"/>
      <c r="CD2821" s="6"/>
      <c r="CE2821" s="6"/>
      <c r="CF2821" s="6"/>
      <c r="CG2821" s="6"/>
      <c r="CH2821" s="6"/>
      <c r="CI2821" s="6"/>
      <c r="CJ2821" s="6"/>
      <c r="CK2821" s="6"/>
      <c r="CL2821" s="6"/>
      <c r="CM2821" s="6"/>
      <c r="CN2821" s="6"/>
      <c r="CO2821" s="6"/>
      <c r="CP2821" s="6"/>
      <c r="CQ2821" s="6"/>
      <c r="CR2821" s="6"/>
      <c r="CS2821" s="6"/>
      <c r="CT2821" s="6"/>
      <c r="CU2821" s="6"/>
      <c r="CV2821" s="6"/>
      <c r="CW2821" s="6"/>
      <c r="CX2821" s="6"/>
      <c r="CY2821" s="6"/>
      <c r="CZ2821" s="6"/>
      <c r="DA2821" s="6"/>
      <c r="DB2821" s="6"/>
      <c r="DC2821" s="6"/>
      <c r="DD2821" s="6"/>
    </row>
    <row r="2822" spans="1:108" ht="12.75" hidden="1" customHeight="1" outlineLevel="5">
      <c r="A2822" s="104" t="s">
        <v>52</v>
      </c>
      <c r="B2822" s="28">
        <v>21</v>
      </c>
      <c r="C2822" s="11"/>
      <c r="D2822" s="18" t="str">
        <f t="shared" si="162"/>
        <v>&lt;NumPnts&gt;21&lt;/NumPnts&gt;</v>
      </c>
      <c r="F2822" s="6"/>
      <c r="G2822" s="6"/>
      <c r="H2822" s="6"/>
      <c r="I2822" s="6"/>
      <c r="J2822" s="6"/>
      <c r="K2822" s="6"/>
      <c r="L2822" s="6"/>
      <c r="M2822" s="6"/>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c r="BU2822" s="6"/>
      <c r="BV2822" s="6"/>
      <c r="BW2822" s="6"/>
      <c r="BX2822" s="6"/>
      <c r="BY2822" s="6"/>
      <c r="BZ2822" s="6"/>
      <c r="CA2822" s="6"/>
      <c r="CB2822" s="6"/>
      <c r="CC2822" s="6"/>
      <c r="CD2822" s="6"/>
      <c r="CE2822" s="6"/>
      <c r="CF2822" s="6"/>
      <c r="CG2822" s="6"/>
      <c r="CH2822" s="6"/>
      <c r="CI2822" s="6"/>
      <c r="CJ2822" s="6"/>
      <c r="CK2822" s="6"/>
      <c r="CL2822" s="6"/>
      <c r="CM2822" s="6"/>
      <c r="CN2822" s="6"/>
      <c r="CO2822" s="6"/>
      <c r="CP2822" s="6"/>
      <c r="CQ2822" s="6"/>
      <c r="CR2822" s="6"/>
      <c r="CS2822" s="6"/>
      <c r="CT2822" s="6"/>
      <c r="CU2822" s="6"/>
      <c r="CV2822" s="6"/>
      <c r="CW2822" s="6"/>
      <c r="CX2822" s="6"/>
      <c r="CY2822" s="6"/>
      <c r="CZ2822" s="6"/>
      <c r="DA2822" s="6"/>
      <c r="DB2822" s="6"/>
      <c r="DC2822" s="6"/>
      <c r="DD2822" s="6"/>
    </row>
    <row r="2823" spans="1:108" ht="12.75" hidden="1" customHeight="1" outlineLevel="5">
      <c r="A2823" s="104" t="s">
        <v>53</v>
      </c>
      <c r="B2823" s="28">
        <v>11</v>
      </c>
      <c r="C2823" s="11"/>
      <c r="D2823" s="18" t="str">
        <f t="shared" si="162"/>
        <v>&lt;NumXsecs&gt;11&lt;/NumXsecs&gt;</v>
      </c>
      <c r="F2823" s="6"/>
      <c r="G2823" s="6"/>
      <c r="H2823" s="6"/>
      <c r="I2823" s="6"/>
      <c r="J2823" s="6"/>
      <c r="K2823" s="6"/>
      <c r="L2823" s="6"/>
      <c r="M2823" s="6"/>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c r="BU2823" s="6"/>
      <c r="BV2823" s="6"/>
      <c r="BW2823" s="6"/>
      <c r="BX2823" s="6"/>
      <c r="BY2823" s="6"/>
      <c r="BZ2823" s="6"/>
      <c r="CA2823" s="6"/>
      <c r="CB2823" s="6"/>
      <c r="CC2823" s="6"/>
      <c r="CD2823" s="6"/>
      <c r="CE2823" s="6"/>
      <c r="CF2823" s="6"/>
      <c r="CG2823" s="6"/>
      <c r="CH2823" s="6"/>
      <c r="CI2823" s="6"/>
      <c r="CJ2823" s="6"/>
      <c r="CK2823" s="6"/>
      <c r="CL2823" s="6"/>
      <c r="CM2823" s="6"/>
      <c r="CN2823" s="6"/>
      <c r="CO2823" s="6"/>
      <c r="CP2823" s="6"/>
      <c r="CQ2823" s="6"/>
      <c r="CR2823" s="6"/>
      <c r="CS2823" s="6"/>
      <c r="CT2823" s="6"/>
      <c r="CU2823" s="6"/>
      <c r="CV2823" s="6"/>
      <c r="CW2823" s="6"/>
      <c r="CX2823" s="6"/>
      <c r="CY2823" s="6"/>
      <c r="CZ2823" s="6"/>
      <c r="DA2823" s="6"/>
      <c r="DB2823" s="6"/>
      <c r="DC2823" s="6"/>
      <c r="DD2823" s="6"/>
    </row>
    <row r="2824" spans="1:108" ht="12.75" hidden="1" customHeight="1" outlineLevel="5">
      <c r="A2824" s="104" t="s">
        <v>54</v>
      </c>
      <c r="B2824" s="28">
        <v>0</v>
      </c>
      <c r="C2824" s="11"/>
      <c r="D2824" s="18" t="str">
        <f t="shared" si="162"/>
        <v>&lt;MassPrior&gt;0&lt;/MassPrior&gt;</v>
      </c>
      <c r="F2824" s="6"/>
      <c r="G2824" s="6"/>
      <c r="H2824" s="6"/>
      <c r="I2824" s="6"/>
      <c r="J2824" s="6"/>
      <c r="K2824" s="6"/>
      <c r="L2824" s="6"/>
      <c r="M2824" s="6"/>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c r="BU2824" s="6"/>
      <c r="BV2824" s="6"/>
      <c r="BW2824" s="6"/>
      <c r="BX2824" s="6"/>
      <c r="BY2824" s="6"/>
      <c r="BZ2824" s="6"/>
      <c r="CA2824" s="6"/>
      <c r="CB2824" s="6"/>
      <c r="CC2824" s="6"/>
      <c r="CD2824" s="6"/>
      <c r="CE2824" s="6"/>
      <c r="CF2824" s="6"/>
      <c r="CG2824" s="6"/>
      <c r="CH2824" s="6"/>
      <c r="CI2824" s="6"/>
      <c r="CJ2824" s="6"/>
      <c r="CK2824" s="6"/>
      <c r="CL2824" s="6"/>
      <c r="CM2824" s="6"/>
      <c r="CN2824" s="6"/>
      <c r="CO2824" s="6"/>
      <c r="CP2824" s="6"/>
      <c r="CQ2824" s="6"/>
      <c r="CR2824" s="6"/>
      <c r="CS2824" s="6"/>
      <c r="CT2824" s="6"/>
      <c r="CU2824" s="6"/>
      <c r="CV2824" s="6"/>
      <c r="CW2824" s="6"/>
      <c r="CX2824" s="6"/>
      <c r="CY2824" s="6"/>
      <c r="CZ2824" s="6"/>
      <c r="DA2824" s="6"/>
      <c r="DB2824" s="6"/>
      <c r="DC2824" s="6"/>
      <c r="DD2824" s="6"/>
    </row>
    <row r="2825" spans="1:108" ht="12.75" hidden="1" customHeight="1" outlineLevel="5">
      <c r="A2825" s="104" t="s">
        <v>55</v>
      </c>
      <c r="B2825" s="28">
        <v>0</v>
      </c>
      <c r="C2825" s="11"/>
      <c r="D2825" s="18" t="str">
        <f t="shared" si="162"/>
        <v>&lt;ShellFlag&gt;0&lt;/ShellFlag&gt;</v>
      </c>
      <c r="F2825" s="6"/>
      <c r="G2825" s="6"/>
      <c r="H2825" s="6"/>
      <c r="I2825" s="6"/>
      <c r="J2825" s="6"/>
      <c r="K2825" s="6"/>
      <c r="L2825" s="6"/>
      <c r="M2825" s="6"/>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c r="BU2825" s="6"/>
      <c r="BV2825" s="6"/>
      <c r="BW2825" s="6"/>
      <c r="BX2825" s="6"/>
      <c r="BY2825" s="6"/>
      <c r="BZ2825" s="6"/>
      <c r="CA2825" s="6"/>
      <c r="CB2825" s="6"/>
      <c r="CC2825" s="6"/>
      <c r="CD2825" s="6"/>
      <c r="CE2825" s="6"/>
      <c r="CF2825" s="6"/>
      <c r="CG2825" s="6"/>
      <c r="CH2825" s="6"/>
      <c r="CI2825" s="6"/>
      <c r="CJ2825" s="6"/>
      <c r="CK2825" s="6"/>
      <c r="CL2825" s="6"/>
      <c r="CM2825" s="6"/>
      <c r="CN2825" s="6"/>
      <c r="CO2825" s="6"/>
      <c r="CP2825" s="6"/>
      <c r="CQ2825" s="6"/>
      <c r="CR2825" s="6"/>
      <c r="CS2825" s="6"/>
      <c r="CT2825" s="6"/>
      <c r="CU2825" s="6"/>
      <c r="CV2825" s="6"/>
      <c r="CW2825" s="6"/>
      <c r="CX2825" s="6"/>
      <c r="CY2825" s="6"/>
      <c r="CZ2825" s="6"/>
      <c r="DA2825" s="6"/>
      <c r="DB2825" s="6"/>
      <c r="DC2825" s="6"/>
      <c r="DD2825" s="6"/>
    </row>
    <row r="2826" spans="1:108" ht="12.75" hidden="1" customHeight="1" outlineLevel="5">
      <c r="A2826" s="104" t="s">
        <v>56</v>
      </c>
      <c r="B2826" s="40" t="str">
        <f>IF(Type_e="Jet",pos_e.j4.x,pos_e.p4.x)</f>
        <v>N/A</v>
      </c>
      <c r="C2826" s="11"/>
      <c r="D2826" s="18" t="str">
        <f t="shared" ref="D2826:D2840" si="163">"&lt;" &amp; A2826 &amp; "&gt;" &amp; TEXT(B2826,"0.000000") &amp; "&lt;/" &amp; A2826 &amp; "&gt;"</f>
        <v>&lt;Tran_X&gt;N/A&lt;/Tran_X&gt;</v>
      </c>
      <c r="F2826" s="6"/>
      <c r="G2826" s="6"/>
      <c r="H2826" s="6"/>
      <c r="I2826" s="6"/>
      <c r="J2826" s="6"/>
      <c r="K2826" s="6"/>
      <c r="L2826" s="6"/>
      <c r="M2826" s="6"/>
      <c r="N2826" s="6"/>
      <c r="O2826" s="6"/>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c r="BU2826" s="6"/>
      <c r="BV2826" s="6"/>
      <c r="BW2826" s="6"/>
      <c r="BX2826" s="6"/>
      <c r="BY2826" s="6"/>
      <c r="BZ2826" s="6"/>
      <c r="CA2826" s="6"/>
      <c r="CB2826" s="6"/>
      <c r="CC2826" s="6"/>
      <c r="CD2826" s="6"/>
      <c r="CE2826" s="6"/>
      <c r="CF2826" s="6"/>
      <c r="CG2826" s="6"/>
      <c r="CH2826" s="6"/>
      <c r="CI2826" s="6"/>
      <c r="CJ2826" s="6"/>
      <c r="CK2826" s="6"/>
      <c r="CL2826" s="6"/>
      <c r="CM2826" s="6"/>
      <c r="CN2826" s="6"/>
      <c r="CO2826" s="6"/>
      <c r="CP2826" s="6"/>
      <c r="CQ2826" s="6"/>
      <c r="CR2826" s="6"/>
      <c r="CS2826" s="6"/>
      <c r="CT2826" s="6"/>
      <c r="CU2826" s="6"/>
      <c r="CV2826" s="6"/>
      <c r="CW2826" s="6"/>
      <c r="CX2826" s="6"/>
      <c r="CY2826" s="6"/>
      <c r="CZ2826" s="6"/>
      <c r="DA2826" s="6"/>
      <c r="DB2826" s="6"/>
      <c r="DC2826" s="6"/>
      <c r="DD2826" s="6"/>
    </row>
    <row r="2827" spans="1:108" ht="12.75" hidden="1" customHeight="1" outlineLevel="5">
      <c r="A2827" s="104" t="s">
        <v>57</v>
      </c>
      <c r="B2827" s="40" t="str">
        <f>IF(Type_e="Jet",pos_e.j4.y,pos_e.p4.y)</f>
        <v>N/A</v>
      </c>
      <c r="C2827" s="11"/>
      <c r="D2827" s="18" t="str">
        <f t="shared" si="163"/>
        <v>&lt;Tran_Y&gt;N/A&lt;/Tran_Y&gt;</v>
      </c>
      <c r="F2827" s="6"/>
      <c r="G2827" s="6"/>
      <c r="H2827" s="6"/>
      <c r="I2827" s="6"/>
      <c r="J2827" s="6"/>
      <c r="K2827" s="6"/>
      <c r="L2827" s="6"/>
      <c r="M2827" s="6"/>
      <c r="N2827" s="6"/>
      <c r="O2827" s="6"/>
      <c r="P2827" s="6"/>
      <c r="Q2827" s="6"/>
      <c r="R2827" s="6"/>
      <c r="S2827" s="6"/>
      <c r="T2827" s="6"/>
      <c r="U2827" s="6"/>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c r="BU2827" s="6"/>
      <c r="BV2827" s="6"/>
      <c r="BW2827" s="6"/>
      <c r="BX2827" s="6"/>
      <c r="BY2827" s="6"/>
      <c r="BZ2827" s="6"/>
      <c r="CA2827" s="6"/>
      <c r="CB2827" s="6"/>
      <c r="CC2827" s="6"/>
      <c r="CD2827" s="6"/>
      <c r="CE2827" s="6"/>
      <c r="CF2827" s="6"/>
      <c r="CG2827" s="6"/>
      <c r="CH2827" s="6"/>
      <c r="CI2827" s="6"/>
      <c r="CJ2827" s="6"/>
      <c r="CK2827" s="6"/>
      <c r="CL2827" s="6"/>
      <c r="CM2827" s="6"/>
      <c r="CN2827" s="6"/>
      <c r="CO2827" s="6"/>
      <c r="CP2827" s="6"/>
      <c r="CQ2827" s="6"/>
      <c r="CR2827" s="6"/>
      <c r="CS2827" s="6"/>
      <c r="CT2827" s="6"/>
      <c r="CU2827" s="6"/>
      <c r="CV2827" s="6"/>
      <c r="CW2827" s="6"/>
      <c r="CX2827" s="6"/>
      <c r="CY2827" s="6"/>
      <c r="CZ2827" s="6"/>
      <c r="DA2827" s="6"/>
      <c r="DB2827" s="6"/>
      <c r="DC2827" s="6"/>
      <c r="DD2827" s="6"/>
    </row>
    <row r="2828" spans="1:108" ht="12.75" hidden="1" customHeight="1" outlineLevel="5">
      <c r="A2828" s="104" t="s">
        <v>58</v>
      </c>
      <c r="B2828" s="40" t="str">
        <f>IF(Type_e="Jet",pos_e.j4.z,pos_e.p4.z)</f>
        <v>N/A</v>
      </c>
      <c r="C2828" s="11"/>
      <c r="D2828" s="18" t="str">
        <f t="shared" si="163"/>
        <v>&lt;Tran_Z&gt;N/A&lt;/Tran_Z&gt;</v>
      </c>
      <c r="F2828" s="6"/>
      <c r="G2828" s="6"/>
      <c r="H2828" s="6"/>
      <c r="I2828" s="6"/>
      <c r="J2828" s="6"/>
      <c r="K2828" s="6"/>
      <c r="L2828" s="6"/>
      <c r="M2828" s="6"/>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c r="BU2828" s="6"/>
      <c r="BV2828" s="6"/>
      <c r="BW2828" s="6"/>
      <c r="BX2828" s="6"/>
      <c r="BY2828" s="6"/>
      <c r="BZ2828" s="6"/>
      <c r="CA2828" s="6"/>
      <c r="CB2828" s="6"/>
      <c r="CC2828" s="6"/>
      <c r="CD2828" s="6"/>
      <c r="CE2828" s="6"/>
      <c r="CF2828" s="6"/>
      <c r="CG2828" s="6"/>
      <c r="CH2828" s="6"/>
      <c r="CI2828" s="6"/>
      <c r="CJ2828" s="6"/>
      <c r="CK2828" s="6"/>
      <c r="CL2828" s="6"/>
      <c r="CM2828" s="6"/>
      <c r="CN2828" s="6"/>
      <c r="CO2828" s="6"/>
      <c r="CP2828" s="6"/>
      <c r="CQ2828" s="6"/>
      <c r="CR2828" s="6"/>
      <c r="CS2828" s="6"/>
      <c r="CT2828" s="6"/>
      <c r="CU2828" s="6"/>
      <c r="CV2828" s="6"/>
      <c r="CW2828" s="6"/>
      <c r="CX2828" s="6"/>
      <c r="CY2828" s="6"/>
      <c r="CZ2828" s="6"/>
      <c r="DA2828" s="6"/>
      <c r="DB2828" s="6"/>
      <c r="DC2828" s="6"/>
      <c r="DD2828" s="6"/>
    </row>
    <row r="2829" spans="1:108" ht="12.75" hidden="1" customHeight="1" outlineLevel="5">
      <c r="A2829" s="104" t="s">
        <v>59</v>
      </c>
      <c r="B2829" s="28">
        <v>0</v>
      </c>
      <c r="C2829" s="11"/>
      <c r="D2829" s="18" t="str">
        <f t="shared" si="163"/>
        <v>&lt;TranRel_X&gt;0.000000&lt;/TranRel_X&gt;</v>
      </c>
      <c r="F2829" s="6"/>
      <c r="G2829" s="6"/>
      <c r="H2829" s="6"/>
      <c r="I2829" s="6"/>
      <c r="J2829" s="6"/>
      <c r="K2829" s="6"/>
      <c r="L2829" s="6"/>
      <c r="M2829" s="6"/>
      <c r="N2829" s="6"/>
      <c r="O2829" s="6"/>
      <c r="P2829" s="6"/>
      <c r="Q2829" s="6"/>
      <c r="R2829" s="6"/>
      <c r="S2829" s="6"/>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c r="BU2829" s="6"/>
      <c r="BV2829" s="6"/>
      <c r="BW2829" s="6"/>
      <c r="BX2829" s="6"/>
      <c r="BY2829" s="6"/>
      <c r="BZ2829" s="6"/>
      <c r="CA2829" s="6"/>
      <c r="CB2829" s="6"/>
      <c r="CC2829" s="6"/>
      <c r="CD2829" s="6"/>
      <c r="CE2829" s="6"/>
      <c r="CF2829" s="6"/>
      <c r="CG2829" s="6"/>
      <c r="CH2829" s="6"/>
      <c r="CI2829" s="6"/>
      <c r="CJ2829" s="6"/>
      <c r="CK2829" s="6"/>
      <c r="CL2829" s="6"/>
      <c r="CM2829" s="6"/>
      <c r="CN2829" s="6"/>
      <c r="CO2829" s="6"/>
      <c r="CP2829" s="6"/>
      <c r="CQ2829" s="6"/>
      <c r="CR2829" s="6"/>
      <c r="CS2829" s="6"/>
      <c r="CT2829" s="6"/>
      <c r="CU2829" s="6"/>
      <c r="CV2829" s="6"/>
      <c r="CW2829" s="6"/>
      <c r="CX2829" s="6"/>
      <c r="CY2829" s="6"/>
      <c r="CZ2829" s="6"/>
      <c r="DA2829" s="6"/>
      <c r="DB2829" s="6"/>
      <c r="DC2829" s="6"/>
      <c r="DD2829" s="6"/>
    </row>
    <row r="2830" spans="1:108" ht="12.75" hidden="1" customHeight="1" outlineLevel="5">
      <c r="A2830" s="104" t="s">
        <v>60</v>
      </c>
      <c r="B2830" s="28">
        <v>0</v>
      </c>
      <c r="C2830" s="11"/>
      <c r="D2830" s="18" t="str">
        <f t="shared" si="163"/>
        <v>&lt;TranRel_Y&gt;0.000000&lt;/TranRel_Y&gt;</v>
      </c>
      <c r="F2830" s="6"/>
      <c r="G2830" s="6"/>
      <c r="H2830" s="6"/>
      <c r="I2830" s="6"/>
      <c r="J2830" s="6"/>
      <c r="K2830" s="6"/>
      <c r="L2830" s="6"/>
      <c r="M2830" s="6"/>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c r="BU2830" s="6"/>
      <c r="BV2830" s="6"/>
      <c r="BW2830" s="6"/>
      <c r="BX2830" s="6"/>
      <c r="BY2830" s="6"/>
      <c r="BZ2830" s="6"/>
      <c r="CA2830" s="6"/>
      <c r="CB2830" s="6"/>
      <c r="CC2830" s="6"/>
      <c r="CD2830" s="6"/>
      <c r="CE2830" s="6"/>
      <c r="CF2830" s="6"/>
      <c r="CG2830" s="6"/>
      <c r="CH2830" s="6"/>
      <c r="CI2830" s="6"/>
      <c r="CJ2830" s="6"/>
      <c r="CK2830" s="6"/>
      <c r="CL2830" s="6"/>
      <c r="CM2830" s="6"/>
      <c r="CN2830" s="6"/>
      <c r="CO2830" s="6"/>
      <c r="CP2830" s="6"/>
      <c r="CQ2830" s="6"/>
      <c r="CR2830" s="6"/>
      <c r="CS2830" s="6"/>
      <c r="CT2830" s="6"/>
      <c r="CU2830" s="6"/>
      <c r="CV2830" s="6"/>
      <c r="CW2830" s="6"/>
      <c r="CX2830" s="6"/>
      <c r="CY2830" s="6"/>
      <c r="CZ2830" s="6"/>
      <c r="DA2830" s="6"/>
      <c r="DB2830" s="6"/>
      <c r="DC2830" s="6"/>
      <c r="DD2830" s="6"/>
    </row>
    <row r="2831" spans="1:108" ht="12.75" hidden="1" customHeight="1" outlineLevel="5">
      <c r="A2831" s="104" t="s">
        <v>61</v>
      </c>
      <c r="B2831" s="28">
        <v>0</v>
      </c>
      <c r="C2831" s="11"/>
      <c r="D2831" s="18" t="str">
        <f t="shared" si="163"/>
        <v>&lt;TranRel_Z&gt;0.000000&lt;/TranRel_Z&gt;</v>
      </c>
      <c r="F2831" s="6"/>
      <c r="G2831" s="6"/>
      <c r="H2831" s="6"/>
      <c r="I2831" s="6"/>
      <c r="J2831" s="6"/>
      <c r="K2831" s="6"/>
      <c r="L2831" s="6"/>
      <c r="M2831" s="6"/>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c r="BU2831" s="6"/>
      <c r="BV2831" s="6"/>
      <c r="BW2831" s="6"/>
      <c r="BX2831" s="6"/>
      <c r="BY2831" s="6"/>
      <c r="BZ2831" s="6"/>
      <c r="CA2831" s="6"/>
      <c r="CB2831" s="6"/>
      <c r="CC2831" s="6"/>
      <c r="CD2831" s="6"/>
      <c r="CE2831" s="6"/>
      <c r="CF2831" s="6"/>
      <c r="CG2831" s="6"/>
      <c r="CH2831" s="6"/>
      <c r="CI2831" s="6"/>
      <c r="CJ2831" s="6"/>
      <c r="CK2831" s="6"/>
      <c r="CL2831" s="6"/>
      <c r="CM2831" s="6"/>
      <c r="CN2831" s="6"/>
      <c r="CO2831" s="6"/>
      <c r="CP2831" s="6"/>
      <c r="CQ2831" s="6"/>
      <c r="CR2831" s="6"/>
      <c r="CS2831" s="6"/>
      <c r="CT2831" s="6"/>
      <c r="CU2831" s="6"/>
      <c r="CV2831" s="6"/>
      <c r="CW2831" s="6"/>
      <c r="CX2831" s="6"/>
      <c r="CY2831" s="6"/>
      <c r="CZ2831" s="6"/>
      <c r="DA2831" s="6"/>
      <c r="DB2831" s="6"/>
      <c r="DC2831" s="6"/>
      <c r="DD2831" s="6"/>
    </row>
    <row r="2832" spans="1:108" ht="12.75" hidden="1" customHeight="1" outlineLevel="5">
      <c r="A2832" s="104" t="s">
        <v>62</v>
      </c>
      <c r="B2832" s="28">
        <v>0</v>
      </c>
      <c r="C2832" s="11"/>
      <c r="D2832" s="18" t="str">
        <f t="shared" si="163"/>
        <v>&lt;Rot_X&gt;0.000000&lt;/Rot_X&gt;</v>
      </c>
      <c r="F2832" s="6"/>
      <c r="G2832" s="6"/>
      <c r="H2832" s="6"/>
      <c r="I2832" s="6"/>
      <c r="J2832" s="6"/>
      <c r="K2832" s="6"/>
      <c r="L2832" s="6"/>
      <c r="M2832" s="6"/>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c r="BU2832" s="6"/>
      <c r="BV2832" s="6"/>
      <c r="BW2832" s="6"/>
      <c r="BX2832" s="6"/>
      <c r="BY2832" s="6"/>
      <c r="BZ2832" s="6"/>
      <c r="CA2832" s="6"/>
      <c r="CB2832" s="6"/>
      <c r="CC2832" s="6"/>
      <c r="CD2832" s="6"/>
      <c r="CE2832" s="6"/>
      <c r="CF2832" s="6"/>
      <c r="CG2832" s="6"/>
      <c r="CH2832" s="6"/>
      <c r="CI2832" s="6"/>
      <c r="CJ2832" s="6"/>
      <c r="CK2832" s="6"/>
      <c r="CL2832" s="6"/>
      <c r="CM2832" s="6"/>
      <c r="CN2832" s="6"/>
      <c r="CO2832" s="6"/>
      <c r="CP2832" s="6"/>
      <c r="CQ2832" s="6"/>
      <c r="CR2832" s="6"/>
      <c r="CS2832" s="6"/>
      <c r="CT2832" s="6"/>
      <c r="CU2832" s="6"/>
      <c r="CV2832" s="6"/>
      <c r="CW2832" s="6"/>
      <c r="CX2832" s="6"/>
      <c r="CY2832" s="6"/>
      <c r="CZ2832" s="6"/>
      <c r="DA2832" s="6"/>
      <c r="DB2832" s="6"/>
      <c r="DC2832" s="6"/>
      <c r="DD2832" s="6"/>
    </row>
    <row r="2833" spans="1:108" ht="12.75" hidden="1" customHeight="1" outlineLevel="5">
      <c r="A2833" s="104" t="s">
        <v>63</v>
      </c>
      <c r="B2833" s="28">
        <v>0</v>
      </c>
      <c r="C2833" s="11"/>
      <c r="D2833" s="18" t="str">
        <f t="shared" si="163"/>
        <v>&lt;Rot_Y&gt;0.000000&lt;/Rot_Y&gt;</v>
      </c>
      <c r="F2833" s="6"/>
      <c r="G2833" s="6"/>
      <c r="H2833" s="6"/>
      <c r="I2833" s="6"/>
      <c r="J2833" s="6"/>
      <c r="K2833" s="6"/>
      <c r="L2833" s="6"/>
      <c r="M2833" s="6"/>
      <c r="N2833" s="6"/>
      <c r="O2833" s="6"/>
      <c r="P2833" s="6"/>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c r="BU2833" s="6"/>
      <c r="BV2833" s="6"/>
      <c r="BW2833" s="6"/>
      <c r="BX2833" s="6"/>
      <c r="BY2833" s="6"/>
      <c r="BZ2833" s="6"/>
      <c r="CA2833" s="6"/>
      <c r="CB2833" s="6"/>
      <c r="CC2833" s="6"/>
      <c r="CD2833" s="6"/>
      <c r="CE2833" s="6"/>
      <c r="CF2833" s="6"/>
      <c r="CG2833" s="6"/>
      <c r="CH2833" s="6"/>
      <c r="CI2833" s="6"/>
      <c r="CJ2833" s="6"/>
      <c r="CK2833" s="6"/>
      <c r="CL2833" s="6"/>
      <c r="CM2833" s="6"/>
      <c r="CN2833" s="6"/>
      <c r="CO2833" s="6"/>
      <c r="CP2833" s="6"/>
      <c r="CQ2833" s="6"/>
      <c r="CR2833" s="6"/>
      <c r="CS2833" s="6"/>
      <c r="CT2833" s="6"/>
      <c r="CU2833" s="6"/>
      <c r="CV2833" s="6"/>
      <c r="CW2833" s="6"/>
      <c r="CX2833" s="6"/>
      <c r="CY2833" s="6"/>
      <c r="CZ2833" s="6"/>
      <c r="DA2833" s="6"/>
      <c r="DB2833" s="6"/>
      <c r="DC2833" s="6"/>
      <c r="DD2833" s="6"/>
    </row>
    <row r="2834" spans="1:108" ht="12.75" hidden="1" customHeight="1" outlineLevel="5">
      <c r="A2834" s="104" t="s">
        <v>64</v>
      </c>
      <c r="B2834" s="28">
        <v>0</v>
      </c>
      <c r="C2834" s="11"/>
      <c r="D2834" s="18" t="str">
        <f t="shared" si="163"/>
        <v>&lt;Rot_Z&gt;0.000000&lt;/Rot_Z&gt;</v>
      </c>
      <c r="F2834" s="6"/>
      <c r="G2834" s="6"/>
      <c r="H2834" s="6"/>
      <c r="I2834" s="6"/>
      <c r="J2834" s="6"/>
      <c r="K2834" s="6"/>
      <c r="L2834" s="6"/>
      <c r="M2834" s="6"/>
      <c r="N2834" s="6"/>
      <c r="O2834" s="6"/>
      <c r="P2834" s="6"/>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c r="BU2834" s="6"/>
      <c r="BV2834" s="6"/>
      <c r="BW2834" s="6"/>
      <c r="BX2834" s="6"/>
      <c r="BY2834" s="6"/>
      <c r="BZ2834" s="6"/>
      <c r="CA2834" s="6"/>
      <c r="CB2834" s="6"/>
      <c r="CC2834" s="6"/>
      <c r="CD2834" s="6"/>
      <c r="CE2834" s="6"/>
      <c r="CF2834" s="6"/>
      <c r="CG2834" s="6"/>
      <c r="CH2834" s="6"/>
      <c r="CI2834" s="6"/>
      <c r="CJ2834" s="6"/>
      <c r="CK2834" s="6"/>
      <c r="CL2834" s="6"/>
      <c r="CM2834" s="6"/>
      <c r="CN2834" s="6"/>
      <c r="CO2834" s="6"/>
      <c r="CP2834" s="6"/>
      <c r="CQ2834" s="6"/>
      <c r="CR2834" s="6"/>
      <c r="CS2834" s="6"/>
      <c r="CT2834" s="6"/>
      <c r="CU2834" s="6"/>
      <c r="CV2834" s="6"/>
      <c r="CW2834" s="6"/>
      <c r="CX2834" s="6"/>
      <c r="CY2834" s="6"/>
      <c r="CZ2834" s="6"/>
      <c r="DA2834" s="6"/>
      <c r="DB2834" s="6"/>
      <c r="DC2834" s="6"/>
      <c r="DD2834" s="6"/>
    </row>
    <row r="2835" spans="1:108" ht="12.75" hidden="1" customHeight="1" outlineLevel="5">
      <c r="A2835" s="104" t="s">
        <v>65</v>
      </c>
      <c r="B2835" s="28">
        <v>0</v>
      </c>
      <c r="C2835" s="11"/>
      <c r="D2835" s="18" t="str">
        <f t="shared" si="163"/>
        <v>&lt;RotRel_X&gt;0.000000&lt;/RotRel_X&gt;</v>
      </c>
      <c r="F2835" s="6"/>
      <c r="G2835" s="6"/>
      <c r="H2835" s="6"/>
      <c r="I2835" s="6"/>
      <c r="J2835" s="6"/>
      <c r="K2835" s="6"/>
      <c r="L2835" s="6"/>
      <c r="M2835" s="6"/>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c r="BU2835" s="6"/>
      <c r="BV2835" s="6"/>
      <c r="BW2835" s="6"/>
      <c r="BX2835" s="6"/>
      <c r="BY2835" s="6"/>
      <c r="BZ2835" s="6"/>
      <c r="CA2835" s="6"/>
      <c r="CB2835" s="6"/>
      <c r="CC2835" s="6"/>
      <c r="CD2835" s="6"/>
      <c r="CE2835" s="6"/>
      <c r="CF2835" s="6"/>
      <c r="CG2835" s="6"/>
      <c r="CH2835" s="6"/>
      <c r="CI2835" s="6"/>
      <c r="CJ2835" s="6"/>
      <c r="CK2835" s="6"/>
      <c r="CL2835" s="6"/>
      <c r="CM2835" s="6"/>
      <c r="CN2835" s="6"/>
      <c r="CO2835" s="6"/>
      <c r="CP2835" s="6"/>
      <c r="CQ2835" s="6"/>
      <c r="CR2835" s="6"/>
      <c r="CS2835" s="6"/>
      <c r="CT2835" s="6"/>
      <c r="CU2835" s="6"/>
      <c r="CV2835" s="6"/>
      <c r="CW2835" s="6"/>
      <c r="CX2835" s="6"/>
      <c r="CY2835" s="6"/>
      <c r="CZ2835" s="6"/>
      <c r="DA2835" s="6"/>
      <c r="DB2835" s="6"/>
      <c r="DC2835" s="6"/>
      <c r="DD2835" s="6"/>
    </row>
    <row r="2836" spans="1:108" ht="12.75" hidden="1" customHeight="1" outlineLevel="5">
      <c r="A2836" s="104" t="s">
        <v>66</v>
      </c>
      <c r="B2836" s="28">
        <v>0</v>
      </c>
      <c r="C2836" s="11"/>
      <c r="D2836" s="18" t="str">
        <f t="shared" si="163"/>
        <v>&lt;RotRel_Y&gt;0.000000&lt;/RotRel_Y&gt;</v>
      </c>
      <c r="F2836" s="6"/>
      <c r="G2836" s="6"/>
      <c r="H2836" s="6"/>
      <c r="I2836" s="6"/>
      <c r="J2836" s="6"/>
      <c r="K2836" s="6"/>
      <c r="L2836" s="6"/>
      <c r="M2836" s="6"/>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c r="BU2836" s="6"/>
      <c r="BV2836" s="6"/>
      <c r="BW2836" s="6"/>
      <c r="BX2836" s="6"/>
      <c r="BY2836" s="6"/>
      <c r="BZ2836" s="6"/>
      <c r="CA2836" s="6"/>
      <c r="CB2836" s="6"/>
      <c r="CC2836" s="6"/>
      <c r="CD2836" s="6"/>
      <c r="CE2836" s="6"/>
      <c r="CF2836" s="6"/>
      <c r="CG2836" s="6"/>
      <c r="CH2836" s="6"/>
      <c r="CI2836" s="6"/>
      <c r="CJ2836" s="6"/>
      <c r="CK2836" s="6"/>
      <c r="CL2836" s="6"/>
      <c r="CM2836" s="6"/>
      <c r="CN2836" s="6"/>
      <c r="CO2836" s="6"/>
      <c r="CP2836" s="6"/>
      <c r="CQ2836" s="6"/>
      <c r="CR2836" s="6"/>
      <c r="CS2836" s="6"/>
      <c r="CT2836" s="6"/>
      <c r="CU2836" s="6"/>
      <c r="CV2836" s="6"/>
      <c r="CW2836" s="6"/>
      <c r="CX2836" s="6"/>
      <c r="CY2836" s="6"/>
      <c r="CZ2836" s="6"/>
      <c r="DA2836" s="6"/>
      <c r="DB2836" s="6"/>
      <c r="DC2836" s="6"/>
      <c r="DD2836" s="6"/>
    </row>
    <row r="2837" spans="1:108" ht="12.75" hidden="1" customHeight="1" outlineLevel="5">
      <c r="A2837" s="104" t="s">
        <v>67</v>
      </c>
      <c r="B2837" s="28">
        <v>0</v>
      </c>
      <c r="C2837" s="11"/>
      <c r="D2837" s="18" t="str">
        <f t="shared" si="163"/>
        <v>&lt;RotRel_Z&gt;0.000000&lt;/RotRel_Z&gt;</v>
      </c>
      <c r="F2837" s="6"/>
      <c r="G2837" s="6"/>
      <c r="H2837" s="6"/>
      <c r="I2837" s="6"/>
      <c r="J2837" s="6"/>
      <c r="K2837" s="6"/>
      <c r="L2837" s="6"/>
      <c r="M2837" s="6"/>
      <c r="N2837" s="6"/>
      <c r="O2837" s="6"/>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c r="BU2837" s="6"/>
      <c r="BV2837" s="6"/>
      <c r="BW2837" s="6"/>
      <c r="BX2837" s="6"/>
      <c r="BY2837" s="6"/>
      <c r="BZ2837" s="6"/>
      <c r="CA2837" s="6"/>
      <c r="CB2837" s="6"/>
      <c r="CC2837" s="6"/>
      <c r="CD2837" s="6"/>
      <c r="CE2837" s="6"/>
      <c r="CF2837" s="6"/>
      <c r="CG2837" s="6"/>
      <c r="CH2837" s="6"/>
      <c r="CI2837" s="6"/>
      <c r="CJ2837" s="6"/>
      <c r="CK2837" s="6"/>
      <c r="CL2837" s="6"/>
      <c r="CM2837" s="6"/>
      <c r="CN2837" s="6"/>
      <c r="CO2837" s="6"/>
      <c r="CP2837" s="6"/>
      <c r="CQ2837" s="6"/>
      <c r="CR2837" s="6"/>
      <c r="CS2837" s="6"/>
      <c r="CT2837" s="6"/>
      <c r="CU2837" s="6"/>
      <c r="CV2837" s="6"/>
      <c r="CW2837" s="6"/>
      <c r="CX2837" s="6"/>
      <c r="CY2837" s="6"/>
      <c r="CZ2837" s="6"/>
      <c r="DA2837" s="6"/>
      <c r="DB2837" s="6"/>
      <c r="DC2837" s="6"/>
      <c r="DD2837" s="6"/>
    </row>
    <row r="2838" spans="1:108" ht="12.75" hidden="1" customHeight="1" outlineLevel="5">
      <c r="A2838" s="104" t="s">
        <v>68</v>
      </c>
      <c r="B2838" s="28">
        <v>0</v>
      </c>
      <c r="C2838" s="11"/>
      <c r="D2838" s="18" t="str">
        <f t="shared" si="163"/>
        <v>&lt;Origin&gt;0.000000&lt;/Origin&gt;</v>
      </c>
      <c r="F2838" s="6"/>
      <c r="G2838" s="6"/>
      <c r="H2838" s="6"/>
      <c r="I2838" s="6"/>
      <c r="J2838" s="6"/>
      <c r="K2838" s="6"/>
      <c r="L2838" s="6"/>
      <c r="M2838" s="6"/>
      <c r="N2838" s="6"/>
      <c r="O2838" s="6"/>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c r="BU2838" s="6"/>
      <c r="BV2838" s="6"/>
      <c r="BW2838" s="6"/>
      <c r="BX2838" s="6"/>
      <c r="BY2838" s="6"/>
      <c r="BZ2838" s="6"/>
      <c r="CA2838" s="6"/>
      <c r="CB2838" s="6"/>
      <c r="CC2838" s="6"/>
      <c r="CD2838" s="6"/>
      <c r="CE2838" s="6"/>
      <c r="CF2838" s="6"/>
      <c r="CG2838" s="6"/>
      <c r="CH2838" s="6"/>
      <c r="CI2838" s="6"/>
      <c r="CJ2838" s="6"/>
      <c r="CK2838" s="6"/>
      <c r="CL2838" s="6"/>
      <c r="CM2838" s="6"/>
      <c r="CN2838" s="6"/>
      <c r="CO2838" s="6"/>
      <c r="CP2838" s="6"/>
      <c r="CQ2838" s="6"/>
      <c r="CR2838" s="6"/>
      <c r="CS2838" s="6"/>
      <c r="CT2838" s="6"/>
      <c r="CU2838" s="6"/>
      <c r="CV2838" s="6"/>
      <c r="CW2838" s="6"/>
      <c r="CX2838" s="6"/>
      <c r="CY2838" s="6"/>
      <c r="CZ2838" s="6"/>
      <c r="DA2838" s="6"/>
      <c r="DB2838" s="6"/>
      <c r="DC2838" s="6"/>
      <c r="DD2838" s="6"/>
    </row>
    <row r="2839" spans="1:108" ht="12.75" hidden="1" customHeight="1" outlineLevel="5">
      <c r="A2839" s="104" t="s">
        <v>69</v>
      </c>
      <c r="B2839" s="28">
        <v>1</v>
      </c>
      <c r="C2839" s="11"/>
      <c r="D2839" s="18" t="str">
        <f t="shared" si="163"/>
        <v>&lt;Density&gt;1.000000&lt;/Density&gt;</v>
      </c>
      <c r="F2839" s="6"/>
      <c r="G2839" s="6"/>
      <c r="H2839" s="6"/>
      <c r="I2839" s="6"/>
      <c r="J2839" s="6"/>
      <c r="K2839" s="6"/>
      <c r="L2839" s="6"/>
      <c r="M2839" s="6"/>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c r="BU2839" s="6"/>
      <c r="BV2839" s="6"/>
      <c r="BW2839" s="6"/>
      <c r="BX2839" s="6"/>
      <c r="BY2839" s="6"/>
      <c r="BZ2839" s="6"/>
      <c r="CA2839" s="6"/>
      <c r="CB2839" s="6"/>
      <c r="CC2839" s="6"/>
      <c r="CD2839" s="6"/>
      <c r="CE2839" s="6"/>
      <c r="CF2839" s="6"/>
      <c r="CG2839" s="6"/>
      <c r="CH2839" s="6"/>
      <c r="CI2839" s="6"/>
      <c r="CJ2839" s="6"/>
      <c r="CK2839" s="6"/>
      <c r="CL2839" s="6"/>
      <c r="CM2839" s="6"/>
      <c r="CN2839" s="6"/>
      <c r="CO2839" s="6"/>
      <c r="CP2839" s="6"/>
      <c r="CQ2839" s="6"/>
      <c r="CR2839" s="6"/>
      <c r="CS2839" s="6"/>
      <c r="CT2839" s="6"/>
      <c r="CU2839" s="6"/>
      <c r="CV2839" s="6"/>
      <c r="CW2839" s="6"/>
      <c r="CX2839" s="6"/>
      <c r="CY2839" s="6"/>
      <c r="CZ2839" s="6"/>
      <c r="DA2839" s="6"/>
      <c r="DB2839" s="6"/>
      <c r="DC2839" s="6"/>
      <c r="DD2839" s="6"/>
    </row>
    <row r="2840" spans="1:108" ht="12.75" hidden="1" customHeight="1" outlineLevel="5">
      <c r="A2840" s="104" t="s">
        <v>70</v>
      </c>
      <c r="B2840" s="28">
        <v>1</v>
      </c>
      <c r="C2840" s="11"/>
      <c r="D2840" s="18" t="str">
        <f t="shared" si="163"/>
        <v>&lt;ShellMassArea&gt;1.000000&lt;/ShellMassArea&gt;</v>
      </c>
      <c r="F2840" s="6"/>
      <c r="G2840" s="6"/>
      <c r="H2840" s="6"/>
      <c r="I2840" s="6"/>
      <c r="J2840" s="6"/>
      <c r="K2840" s="6"/>
      <c r="L2840" s="6"/>
      <c r="M2840" s="6"/>
      <c r="N2840" s="6"/>
      <c r="O2840" s="6"/>
      <c r="P2840" s="6"/>
      <c r="Q2840" s="6"/>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c r="BU2840" s="6"/>
      <c r="BV2840" s="6"/>
      <c r="BW2840" s="6"/>
      <c r="BX2840" s="6"/>
      <c r="BY2840" s="6"/>
      <c r="BZ2840" s="6"/>
      <c r="CA2840" s="6"/>
      <c r="CB2840" s="6"/>
      <c r="CC2840" s="6"/>
      <c r="CD2840" s="6"/>
      <c r="CE2840" s="6"/>
      <c r="CF2840" s="6"/>
      <c r="CG2840" s="6"/>
      <c r="CH2840" s="6"/>
      <c r="CI2840" s="6"/>
      <c r="CJ2840" s="6"/>
      <c r="CK2840" s="6"/>
      <c r="CL2840" s="6"/>
      <c r="CM2840" s="6"/>
      <c r="CN2840" s="6"/>
      <c r="CO2840" s="6"/>
      <c r="CP2840" s="6"/>
      <c r="CQ2840" s="6"/>
      <c r="CR2840" s="6"/>
      <c r="CS2840" s="6"/>
      <c r="CT2840" s="6"/>
      <c r="CU2840" s="6"/>
      <c r="CV2840" s="6"/>
      <c r="CW2840" s="6"/>
      <c r="CX2840" s="6"/>
      <c r="CY2840" s="6"/>
      <c r="CZ2840" s="6"/>
      <c r="DA2840" s="6"/>
      <c r="DB2840" s="6"/>
      <c r="DC2840" s="6"/>
      <c r="DD2840" s="6"/>
    </row>
    <row r="2841" spans="1:108" ht="12.75" hidden="1" customHeight="1" outlineLevel="5">
      <c r="A2841" s="104" t="s">
        <v>71</v>
      </c>
      <c r="B2841" s="28">
        <v>0</v>
      </c>
      <c r="C2841" s="11"/>
      <c r="D2841" s="18" t="str">
        <f>"&lt;" &amp; A2841 &amp; "&gt;" &amp; TEXT(B2841,0) &amp; "&lt;/" &amp; A2841 &amp; "&gt;"</f>
        <v>&lt;RefFlag&gt;0&lt;/RefFlag&gt;</v>
      </c>
      <c r="F2841" s="6"/>
      <c r="G2841" s="6"/>
      <c r="H2841" s="6"/>
      <c r="I2841" s="6"/>
      <c r="J2841" s="6"/>
      <c r="K2841" s="6"/>
      <c r="L2841" s="6"/>
      <c r="M2841" s="6"/>
      <c r="N2841" s="6"/>
      <c r="O2841" s="6"/>
      <c r="P2841" s="6"/>
      <c r="Q2841" s="6"/>
      <c r="R2841" s="6"/>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c r="BU2841" s="6"/>
      <c r="BV2841" s="6"/>
      <c r="BW2841" s="6"/>
      <c r="BX2841" s="6"/>
      <c r="BY2841" s="6"/>
      <c r="BZ2841" s="6"/>
      <c r="CA2841" s="6"/>
      <c r="CB2841" s="6"/>
      <c r="CC2841" s="6"/>
      <c r="CD2841" s="6"/>
      <c r="CE2841" s="6"/>
      <c r="CF2841" s="6"/>
      <c r="CG2841" s="6"/>
      <c r="CH2841" s="6"/>
      <c r="CI2841" s="6"/>
      <c r="CJ2841" s="6"/>
      <c r="CK2841" s="6"/>
      <c r="CL2841" s="6"/>
      <c r="CM2841" s="6"/>
      <c r="CN2841" s="6"/>
      <c r="CO2841" s="6"/>
      <c r="CP2841" s="6"/>
      <c r="CQ2841" s="6"/>
      <c r="CR2841" s="6"/>
      <c r="CS2841" s="6"/>
      <c r="CT2841" s="6"/>
      <c r="CU2841" s="6"/>
      <c r="CV2841" s="6"/>
      <c r="CW2841" s="6"/>
      <c r="CX2841" s="6"/>
      <c r="CY2841" s="6"/>
      <c r="CZ2841" s="6"/>
      <c r="DA2841" s="6"/>
      <c r="DB2841" s="6"/>
      <c r="DC2841" s="6"/>
      <c r="DD2841" s="6"/>
    </row>
    <row r="2842" spans="1:108" ht="12.75" hidden="1" customHeight="1" outlineLevel="5">
      <c r="A2842" s="104" t="s">
        <v>72</v>
      </c>
      <c r="B2842" s="28">
        <v>100</v>
      </c>
      <c r="C2842" s="11"/>
      <c r="D2842" s="18" t="str">
        <f>"&lt;" &amp; A2842 &amp; "&gt;" &amp; TEXT(B2842,"0.000000") &amp; "&lt;/" &amp; A2842 &amp; "&gt;"</f>
        <v>&lt;RefArea&gt;100.000000&lt;/RefArea&gt;</v>
      </c>
      <c r="F2842" s="6"/>
      <c r="G2842" s="6"/>
      <c r="H2842" s="6"/>
      <c r="I2842" s="6"/>
      <c r="J2842" s="6"/>
      <c r="K2842" s="6"/>
      <c r="L2842" s="6"/>
      <c r="M2842" s="6"/>
      <c r="N2842" s="6"/>
      <c r="O2842" s="6"/>
      <c r="P2842" s="6"/>
      <c r="Q2842" s="6"/>
      <c r="R2842" s="6"/>
      <c r="S2842" s="6"/>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c r="BU2842" s="6"/>
      <c r="BV2842" s="6"/>
      <c r="BW2842" s="6"/>
      <c r="BX2842" s="6"/>
      <c r="BY2842" s="6"/>
      <c r="BZ2842" s="6"/>
      <c r="CA2842" s="6"/>
      <c r="CB2842" s="6"/>
      <c r="CC2842" s="6"/>
      <c r="CD2842" s="6"/>
      <c r="CE2842" s="6"/>
      <c r="CF2842" s="6"/>
      <c r="CG2842" s="6"/>
      <c r="CH2842" s="6"/>
      <c r="CI2842" s="6"/>
      <c r="CJ2842" s="6"/>
      <c r="CK2842" s="6"/>
      <c r="CL2842" s="6"/>
      <c r="CM2842" s="6"/>
      <c r="CN2842" s="6"/>
      <c r="CO2842" s="6"/>
      <c r="CP2842" s="6"/>
      <c r="CQ2842" s="6"/>
      <c r="CR2842" s="6"/>
      <c r="CS2842" s="6"/>
      <c r="CT2842" s="6"/>
      <c r="CU2842" s="6"/>
      <c r="CV2842" s="6"/>
      <c r="CW2842" s="6"/>
      <c r="CX2842" s="6"/>
      <c r="CY2842" s="6"/>
      <c r="CZ2842" s="6"/>
      <c r="DA2842" s="6"/>
      <c r="DB2842" s="6"/>
      <c r="DC2842" s="6"/>
      <c r="DD2842" s="6"/>
    </row>
    <row r="2843" spans="1:108" ht="12.75" hidden="1" customHeight="1" outlineLevel="5">
      <c r="A2843" s="104" t="s">
        <v>73</v>
      </c>
      <c r="B2843" s="28">
        <v>10</v>
      </c>
      <c r="C2843" s="11"/>
      <c r="D2843" s="18" t="str">
        <f>"&lt;" &amp; A2843 &amp; "&gt;" &amp; TEXT(B2843,"0.000000") &amp; "&lt;/" &amp; A2843 &amp; "&gt;"</f>
        <v>&lt;RefSpan&gt;10.000000&lt;/RefSpan&gt;</v>
      </c>
      <c r="F2843" s="6"/>
      <c r="G2843" s="6"/>
      <c r="H2843" s="6"/>
      <c r="I2843" s="6"/>
      <c r="J2843" s="6"/>
      <c r="K2843" s="6"/>
      <c r="L2843" s="6"/>
      <c r="M2843" s="6"/>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c r="BU2843" s="6"/>
      <c r="BV2843" s="6"/>
      <c r="BW2843" s="6"/>
      <c r="BX2843" s="6"/>
      <c r="BY2843" s="6"/>
      <c r="BZ2843" s="6"/>
      <c r="CA2843" s="6"/>
      <c r="CB2843" s="6"/>
      <c r="CC2843" s="6"/>
      <c r="CD2843" s="6"/>
      <c r="CE2843" s="6"/>
      <c r="CF2843" s="6"/>
      <c r="CG2843" s="6"/>
      <c r="CH2843" s="6"/>
      <c r="CI2843" s="6"/>
      <c r="CJ2843" s="6"/>
      <c r="CK2843" s="6"/>
      <c r="CL2843" s="6"/>
      <c r="CM2843" s="6"/>
      <c r="CN2843" s="6"/>
      <c r="CO2843" s="6"/>
      <c r="CP2843" s="6"/>
      <c r="CQ2843" s="6"/>
      <c r="CR2843" s="6"/>
      <c r="CS2843" s="6"/>
      <c r="CT2843" s="6"/>
      <c r="CU2843" s="6"/>
      <c r="CV2843" s="6"/>
      <c r="CW2843" s="6"/>
      <c r="CX2843" s="6"/>
      <c r="CY2843" s="6"/>
      <c r="CZ2843" s="6"/>
      <c r="DA2843" s="6"/>
      <c r="DB2843" s="6"/>
      <c r="DC2843" s="6"/>
      <c r="DD2843" s="6"/>
    </row>
    <row r="2844" spans="1:108" ht="12.75" hidden="1" customHeight="1" outlineLevel="5">
      <c r="A2844" s="104" t="s">
        <v>74</v>
      </c>
      <c r="B2844" s="28">
        <v>1</v>
      </c>
      <c r="C2844" s="11"/>
      <c r="D2844" s="18" t="str">
        <f>"&lt;" &amp; A2844 &amp; "&gt;" &amp; TEXT(B2844,"0.000000") &amp; "&lt;/" &amp; A2844 &amp; "&gt;"</f>
        <v>&lt;RefCbar&gt;1.000000&lt;/RefCbar&gt;</v>
      </c>
      <c r="F2844" s="6"/>
      <c r="G2844" s="6"/>
      <c r="H2844" s="6"/>
      <c r="I2844" s="6"/>
      <c r="J2844" s="6"/>
      <c r="K2844" s="6"/>
      <c r="L2844" s="6"/>
      <c r="M2844" s="6"/>
      <c r="N2844" s="6"/>
      <c r="O2844" s="6"/>
      <c r="P2844" s="6"/>
      <c r="Q2844" s="6"/>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c r="BU2844" s="6"/>
      <c r="BV2844" s="6"/>
      <c r="BW2844" s="6"/>
      <c r="BX2844" s="6"/>
      <c r="BY2844" s="6"/>
      <c r="BZ2844" s="6"/>
      <c r="CA2844" s="6"/>
      <c r="CB2844" s="6"/>
      <c r="CC2844" s="6"/>
      <c r="CD2844" s="6"/>
      <c r="CE2844" s="6"/>
      <c r="CF2844" s="6"/>
      <c r="CG2844" s="6"/>
      <c r="CH2844" s="6"/>
      <c r="CI2844" s="6"/>
      <c r="CJ2844" s="6"/>
      <c r="CK2844" s="6"/>
      <c r="CL2844" s="6"/>
      <c r="CM2844" s="6"/>
      <c r="CN2844" s="6"/>
      <c r="CO2844" s="6"/>
      <c r="CP2844" s="6"/>
      <c r="CQ2844" s="6"/>
      <c r="CR2844" s="6"/>
      <c r="CS2844" s="6"/>
      <c r="CT2844" s="6"/>
      <c r="CU2844" s="6"/>
      <c r="CV2844" s="6"/>
      <c r="CW2844" s="6"/>
      <c r="CX2844" s="6"/>
      <c r="CY2844" s="6"/>
      <c r="CZ2844" s="6"/>
      <c r="DA2844" s="6"/>
      <c r="DB2844" s="6"/>
      <c r="DC2844" s="6"/>
      <c r="DD2844" s="6"/>
    </row>
    <row r="2845" spans="1:108" ht="12.75" hidden="1" customHeight="1" outlineLevel="5">
      <c r="A2845" s="104" t="s">
        <v>75</v>
      </c>
      <c r="B2845" s="28">
        <v>1</v>
      </c>
      <c r="C2845" s="11"/>
      <c r="D2845" s="18" t="str">
        <f>"&lt;" &amp; A2845 &amp; "&gt;" &amp; TEXT(B2845,0) &amp; "&lt;/" &amp; A2845 &amp; "&gt;"</f>
        <v>&lt;AutoRefAreaFlag&gt;1&lt;/AutoRefAreaFlag&gt;</v>
      </c>
      <c r="F2845" s="6"/>
      <c r="G2845" s="6"/>
      <c r="H2845" s="6"/>
      <c r="I2845" s="6"/>
      <c r="J2845" s="6"/>
      <c r="K2845" s="6"/>
      <c r="L2845" s="6"/>
      <c r="M2845" s="6"/>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c r="BU2845" s="6"/>
      <c r="BV2845" s="6"/>
      <c r="BW2845" s="6"/>
      <c r="BX2845" s="6"/>
      <c r="BY2845" s="6"/>
      <c r="BZ2845" s="6"/>
      <c r="CA2845" s="6"/>
      <c r="CB2845" s="6"/>
      <c r="CC2845" s="6"/>
      <c r="CD2845" s="6"/>
      <c r="CE2845" s="6"/>
      <c r="CF2845" s="6"/>
      <c r="CG2845" s="6"/>
      <c r="CH2845" s="6"/>
      <c r="CI2845" s="6"/>
      <c r="CJ2845" s="6"/>
      <c r="CK2845" s="6"/>
      <c r="CL2845" s="6"/>
      <c r="CM2845" s="6"/>
      <c r="CN2845" s="6"/>
      <c r="CO2845" s="6"/>
      <c r="CP2845" s="6"/>
      <c r="CQ2845" s="6"/>
      <c r="CR2845" s="6"/>
      <c r="CS2845" s="6"/>
      <c r="CT2845" s="6"/>
      <c r="CU2845" s="6"/>
      <c r="CV2845" s="6"/>
      <c r="CW2845" s="6"/>
      <c r="CX2845" s="6"/>
      <c r="CY2845" s="6"/>
      <c r="CZ2845" s="6"/>
      <c r="DA2845" s="6"/>
      <c r="DB2845" s="6"/>
      <c r="DC2845" s="6"/>
      <c r="DD2845" s="6"/>
    </row>
    <row r="2846" spans="1:108" ht="12.75" hidden="1" customHeight="1" outlineLevel="5">
      <c r="A2846" s="104" t="s">
        <v>76</v>
      </c>
      <c r="B2846" s="28">
        <v>1</v>
      </c>
      <c r="C2846" s="11"/>
      <c r="D2846" s="18" t="str">
        <f>"&lt;" &amp; A2846 &amp; "&gt;" &amp; TEXT(B2846,0) &amp; "&lt;/" &amp; A2846 &amp; "&gt;"</f>
        <v>&lt;AutoRefSpanFlag&gt;1&lt;/AutoRefSpanFlag&gt;</v>
      </c>
      <c r="F2846" s="6"/>
      <c r="G2846" s="6"/>
      <c r="H2846" s="6"/>
      <c r="I2846" s="6"/>
      <c r="J2846" s="6"/>
      <c r="K2846" s="6"/>
      <c r="L2846" s="6"/>
      <c r="M2846" s="6"/>
      <c r="N2846" s="6"/>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c r="BU2846" s="6"/>
      <c r="BV2846" s="6"/>
      <c r="BW2846" s="6"/>
      <c r="BX2846" s="6"/>
      <c r="BY2846" s="6"/>
      <c r="BZ2846" s="6"/>
      <c r="CA2846" s="6"/>
      <c r="CB2846" s="6"/>
      <c r="CC2846" s="6"/>
      <c r="CD2846" s="6"/>
      <c r="CE2846" s="6"/>
      <c r="CF2846" s="6"/>
      <c r="CG2846" s="6"/>
      <c r="CH2846" s="6"/>
      <c r="CI2846" s="6"/>
      <c r="CJ2846" s="6"/>
      <c r="CK2846" s="6"/>
      <c r="CL2846" s="6"/>
      <c r="CM2846" s="6"/>
      <c r="CN2846" s="6"/>
      <c r="CO2846" s="6"/>
      <c r="CP2846" s="6"/>
      <c r="CQ2846" s="6"/>
      <c r="CR2846" s="6"/>
      <c r="CS2846" s="6"/>
      <c r="CT2846" s="6"/>
      <c r="CU2846" s="6"/>
      <c r="CV2846" s="6"/>
      <c r="CW2846" s="6"/>
      <c r="CX2846" s="6"/>
      <c r="CY2846" s="6"/>
      <c r="CZ2846" s="6"/>
      <c r="DA2846" s="6"/>
      <c r="DB2846" s="6"/>
      <c r="DC2846" s="6"/>
      <c r="DD2846" s="6"/>
    </row>
    <row r="2847" spans="1:108" ht="12.75" hidden="1" customHeight="1" outlineLevel="5">
      <c r="A2847" s="104" t="s">
        <v>77</v>
      </c>
      <c r="B2847" s="28">
        <v>1</v>
      </c>
      <c r="C2847" s="11"/>
      <c r="D2847" s="18" t="str">
        <f>"&lt;" &amp; A2847 &amp; "&gt;" &amp; TEXT(B2847,0) &amp; "&lt;/" &amp; A2847 &amp; "&gt;"</f>
        <v>&lt;AutoRefCbarFlag&gt;1&lt;/AutoRefCbarFlag&gt;</v>
      </c>
      <c r="F2847" s="6"/>
      <c r="G2847" s="6"/>
      <c r="H2847" s="6"/>
      <c r="I2847" s="6"/>
      <c r="J2847" s="6"/>
      <c r="K2847" s="6"/>
      <c r="L2847" s="6"/>
      <c r="M2847" s="6"/>
      <c r="N2847" s="6"/>
      <c r="O2847" s="6"/>
      <c r="P2847" s="6"/>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c r="BU2847" s="6"/>
      <c r="BV2847" s="6"/>
      <c r="BW2847" s="6"/>
      <c r="BX2847" s="6"/>
      <c r="BY2847" s="6"/>
      <c r="BZ2847" s="6"/>
      <c r="CA2847" s="6"/>
      <c r="CB2847" s="6"/>
      <c r="CC2847" s="6"/>
      <c r="CD2847" s="6"/>
      <c r="CE2847" s="6"/>
      <c r="CF2847" s="6"/>
      <c r="CG2847" s="6"/>
      <c r="CH2847" s="6"/>
      <c r="CI2847" s="6"/>
      <c r="CJ2847" s="6"/>
      <c r="CK2847" s="6"/>
      <c r="CL2847" s="6"/>
      <c r="CM2847" s="6"/>
      <c r="CN2847" s="6"/>
      <c r="CO2847" s="6"/>
      <c r="CP2847" s="6"/>
      <c r="CQ2847" s="6"/>
      <c r="CR2847" s="6"/>
      <c r="CS2847" s="6"/>
      <c r="CT2847" s="6"/>
      <c r="CU2847" s="6"/>
      <c r="CV2847" s="6"/>
      <c r="CW2847" s="6"/>
      <c r="CX2847" s="6"/>
      <c r="CY2847" s="6"/>
      <c r="CZ2847" s="6"/>
      <c r="DA2847" s="6"/>
      <c r="DB2847" s="6"/>
      <c r="DC2847" s="6"/>
      <c r="DD2847" s="6"/>
    </row>
    <row r="2848" spans="1:108" ht="12.75" hidden="1" customHeight="1" outlineLevel="5">
      <c r="A2848" s="104" t="s">
        <v>78</v>
      </c>
      <c r="B2848" s="28">
        <v>0</v>
      </c>
      <c r="C2848" s="11"/>
      <c r="D2848" s="18" t="str">
        <f>"&lt;" &amp; A2848 &amp; "&gt;" &amp; TEXT(B2848,"0.000000") &amp; "&lt;/" &amp; A2848 &amp; "&gt;"</f>
        <v>&lt;AeroCenter_X&gt;0.000000&lt;/AeroCenter_X&gt;</v>
      </c>
      <c r="F2848" s="6"/>
      <c r="G2848" s="6"/>
      <c r="H2848" s="6"/>
      <c r="I2848" s="6"/>
      <c r="J2848" s="6"/>
      <c r="K2848" s="6"/>
      <c r="L2848" s="6"/>
      <c r="M2848" s="6"/>
      <c r="N2848" s="6"/>
      <c r="O2848" s="6"/>
      <c r="P2848" s="6"/>
      <c r="Q2848" s="6"/>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c r="BU2848" s="6"/>
      <c r="BV2848" s="6"/>
      <c r="BW2848" s="6"/>
      <c r="BX2848" s="6"/>
      <c r="BY2848" s="6"/>
      <c r="BZ2848" s="6"/>
      <c r="CA2848" s="6"/>
      <c r="CB2848" s="6"/>
      <c r="CC2848" s="6"/>
      <c r="CD2848" s="6"/>
      <c r="CE2848" s="6"/>
      <c r="CF2848" s="6"/>
      <c r="CG2848" s="6"/>
      <c r="CH2848" s="6"/>
      <c r="CI2848" s="6"/>
      <c r="CJ2848" s="6"/>
      <c r="CK2848" s="6"/>
      <c r="CL2848" s="6"/>
      <c r="CM2848" s="6"/>
      <c r="CN2848" s="6"/>
      <c r="CO2848" s="6"/>
      <c r="CP2848" s="6"/>
      <c r="CQ2848" s="6"/>
      <c r="CR2848" s="6"/>
      <c r="CS2848" s="6"/>
      <c r="CT2848" s="6"/>
      <c r="CU2848" s="6"/>
      <c r="CV2848" s="6"/>
      <c r="CW2848" s="6"/>
      <c r="CX2848" s="6"/>
      <c r="CY2848" s="6"/>
      <c r="CZ2848" s="6"/>
      <c r="DA2848" s="6"/>
      <c r="DB2848" s="6"/>
      <c r="DC2848" s="6"/>
      <c r="DD2848" s="6"/>
    </row>
    <row r="2849" spans="1:108" ht="12.75" hidden="1" customHeight="1" outlineLevel="5">
      <c r="A2849" s="104" t="s">
        <v>79</v>
      </c>
      <c r="B2849" s="28">
        <v>0</v>
      </c>
      <c r="C2849" s="11"/>
      <c r="D2849" s="18" t="str">
        <f>"&lt;" &amp; A2849 &amp; "&gt;" &amp; TEXT(B2849,"0.000000") &amp; "&lt;/" &amp; A2849 &amp; "&gt;"</f>
        <v>&lt;AeroCenter_Y&gt;0.000000&lt;/AeroCenter_Y&gt;</v>
      </c>
      <c r="F2849" s="6"/>
      <c r="G2849" s="6"/>
      <c r="H2849" s="6"/>
      <c r="I2849" s="6"/>
      <c r="J2849" s="6"/>
      <c r="K2849" s="6"/>
      <c r="L2849" s="6"/>
      <c r="M2849" s="6"/>
      <c r="N2849" s="6"/>
      <c r="O2849" s="6"/>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c r="BU2849" s="6"/>
      <c r="BV2849" s="6"/>
      <c r="BW2849" s="6"/>
      <c r="BX2849" s="6"/>
      <c r="BY2849" s="6"/>
      <c r="BZ2849" s="6"/>
      <c r="CA2849" s="6"/>
      <c r="CB2849" s="6"/>
      <c r="CC2849" s="6"/>
      <c r="CD2849" s="6"/>
      <c r="CE2849" s="6"/>
      <c r="CF2849" s="6"/>
      <c r="CG2849" s="6"/>
      <c r="CH2849" s="6"/>
      <c r="CI2849" s="6"/>
      <c r="CJ2849" s="6"/>
      <c r="CK2849" s="6"/>
      <c r="CL2849" s="6"/>
      <c r="CM2849" s="6"/>
      <c r="CN2849" s="6"/>
      <c r="CO2849" s="6"/>
      <c r="CP2849" s="6"/>
      <c r="CQ2849" s="6"/>
      <c r="CR2849" s="6"/>
      <c r="CS2849" s="6"/>
      <c r="CT2849" s="6"/>
      <c r="CU2849" s="6"/>
      <c r="CV2849" s="6"/>
      <c r="CW2849" s="6"/>
      <c r="CX2849" s="6"/>
      <c r="CY2849" s="6"/>
      <c r="CZ2849" s="6"/>
      <c r="DA2849" s="6"/>
      <c r="DB2849" s="6"/>
      <c r="DC2849" s="6"/>
      <c r="DD2849" s="6"/>
    </row>
    <row r="2850" spans="1:108" ht="12.75" hidden="1" customHeight="1" outlineLevel="5">
      <c r="A2850" s="104" t="s">
        <v>80</v>
      </c>
      <c r="B2850" s="28">
        <v>0</v>
      </c>
      <c r="C2850" s="11"/>
      <c r="D2850" s="18" t="str">
        <f>"&lt;" &amp; A2850 &amp; "&gt;" &amp; TEXT(B2850,"0.000000") &amp; "&lt;/" &amp; A2850 &amp; "&gt;"</f>
        <v>&lt;AeroCenter_Z&gt;0.000000&lt;/AeroCenter_Z&gt;</v>
      </c>
      <c r="F2850" s="6"/>
      <c r="G2850" s="6"/>
      <c r="H2850" s="6"/>
      <c r="I2850" s="6"/>
      <c r="J2850" s="6"/>
      <c r="K2850" s="6"/>
      <c r="L2850" s="6"/>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c r="BU2850" s="6"/>
      <c r="BV2850" s="6"/>
      <c r="BW2850" s="6"/>
      <c r="BX2850" s="6"/>
      <c r="BY2850" s="6"/>
      <c r="BZ2850" s="6"/>
      <c r="CA2850" s="6"/>
      <c r="CB2850" s="6"/>
      <c r="CC2850" s="6"/>
      <c r="CD2850" s="6"/>
      <c r="CE2850" s="6"/>
      <c r="CF2850" s="6"/>
      <c r="CG2850" s="6"/>
      <c r="CH2850" s="6"/>
      <c r="CI2850" s="6"/>
      <c r="CJ2850" s="6"/>
      <c r="CK2850" s="6"/>
      <c r="CL2850" s="6"/>
      <c r="CM2850" s="6"/>
      <c r="CN2850" s="6"/>
      <c r="CO2850" s="6"/>
      <c r="CP2850" s="6"/>
      <c r="CQ2850" s="6"/>
      <c r="CR2850" s="6"/>
      <c r="CS2850" s="6"/>
      <c r="CT2850" s="6"/>
      <c r="CU2850" s="6"/>
      <c r="CV2850" s="6"/>
      <c r="CW2850" s="6"/>
      <c r="CX2850" s="6"/>
      <c r="CY2850" s="6"/>
      <c r="CZ2850" s="6"/>
      <c r="DA2850" s="6"/>
      <c r="DB2850" s="6"/>
      <c r="DC2850" s="6"/>
      <c r="DD2850" s="6"/>
    </row>
    <row r="2851" spans="1:108" ht="12.75" hidden="1" customHeight="1" outlineLevel="5">
      <c r="A2851" s="104" t="s">
        <v>81</v>
      </c>
      <c r="B2851" s="28">
        <v>1</v>
      </c>
      <c r="C2851" s="11"/>
      <c r="D2851" s="18" t="str">
        <f>"&lt;" &amp; A2851 &amp; "&gt;" &amp; TEXT(B2851,0) &amp; "&lt;/" &amp; A2851 &amp; "&gt;"</f>
        <v>&lt;AutoAeroCenterFlag&gt;1&lt;/AutoAeroCenterFlag&gt;</v>
      </c>
      <c r="F2851" s="6"/>
      <c r="G2851" s="6"/>
      <c r="H2851" s="6"/>
      <c r="I2851" s="6"/>
      <c r="J2851" s="6"/>
      <c r="K2851" s="6"/>
      <c r="L2851" s="6"/>
      <c r="M2851" s="6"/>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c r="BU2851" s="6"/>
      <c r="BV2851" s="6"/>
      <c r="BW2851" s="6"/>
      <c r="BX2851" s="6"/>
      <c r="BY2851" s="6"/>
      <c r="BZ2851" s="6"/>
      <c r="CA2851" s="6"/>
      <c r="CB2851" s="6"/>
      <c r="CC2851" s="6"/>
      <c r="CD2851" s="6"/>
      <c r="CE2851" s="6"/>
      <c r="CF2851" s="6"/>
      <c r="CG2851" s="6"/>
      <c r="CH2851" s="6"/>
      <c r="CI2851" s="6"/>
      <c r="CJ2851" s="6"/>
      <c r="CK2851" s="6"/>
      <c r="CL2851" s="6"/>
      <c r="CM2851" s="6"/>
      <c r="CN2851" s="6"/>
      <c r="CO2851" s="6"/>
      <c r="CP2851" s="6"/>
      <c r="CQ2851" s="6"/>
      <c r="CR2851" s="6"/>
      <c r="CS2851" s="6"/>
      <c r="CT2851" s="6"/>
      <c r="CU2851" s="6"/>
      <c r="CV2851" s="6"/>
      <c r="CW2851" s="6"/>
      <c r="CX2851" s="6"/>
      <c r="CY2851" s="6"/>
      <c r="CZ2851" s="6"/>
      <c r="DA2851" s="6"/>
      <c r="DB2851" s="6"/>
      <c r="DC2851" s="6"/>
      <c r="DD2851" s="6"/>
    </row>
    <row r="2852" spans="1:108" ht="12.75" hidden="1" customHeight="1" outlineLevel="5">
      <c r="A2852" s="104" t="s">
        <v>82</v>
      </c>
      <c r="B2852" s="28">
        <v>0</v>
      </c>
      <c r="C2852" s="11"/>
      <c r="D2852" s="18" t="str">
        <f>"&lt;" &amp; A2852 &amp; "&gt;" &amp; TEXT(B2852,0) &amp; "&lt;/" &amp; A2852 &amp; "&gt;"</f>
        <v>&lt;WakeActiveFlag&gt;0&lt;/WakeActiveFlag&gt;</v>
      </c>
      <c r="F2852" s="6"/>
      <c r="G2852" s="6"/>
      <c r="H2852" s="6"/>
      <c r="I2852" s="6"/>
      <c r="J2852" s="6"/>
      <c r="K2852" s="6"/>
      <c r="L2852" s="6"/>
      <c r="M2852" s="6"/>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c r="BU2852" s="6"/>
      <c r="BV2852" s="6"/>
      <c r="BW2852" s="6"/>
      <c r="BX2852" s="6"/>
      <c r="BY2852" s="6"/>
      <c r="BZ2852" s="6"/>
      <c r="CA2852" s="6"/>
      <c r="CB2852" s="6"/>
      <c r="CC2852" s="6"/>
      <c r="CD2852" s="6"/>
      <c r="CE2852" s="6"/>
      <c r="CF2852" s="6"/>
      <c r="CG2852" s="6"/>
      <c r="CH2852" s="6"/>
      <c r="CI2852" s="6"/>
      <c r="CJ2852" s="6"/>
      <c r="CK2852" s="6"/>
      <c r="CL2852" s="6"/>
      <c r="CM2852" s="6"/>
      <c r="CN2852" s="6"/>
      <c r="CO2852" s="6"/>
      <c r="CP2852" s="6"/>
      <c r="CQ2852" s="6"/>
      <c r="CR2852" s="6"/>
      <c r="CS2852" s="6"/>
      <c r="CT2852" s="6"/>
      <c r="CU2852" s="6"/>
      <c r="CV2852" s="6"/>
      <c r="CW2852" s="6"/>
      <c r="CX2852" s="6"/>
      <c r="CY2852" s="6"/>
      <c r="CZ2852" s="6"/>
      <c r="DA2852" s="6"/>
      <c r="DB2852" s="6"/>
      <c r="DC2852" s="6"/>
      <c r="DD2852" s="6"/>
    </row>
    <row r="2853" spans="1:108" ht="12.75" hidden="1" customHeight="1" outlineLevel="5">
      <c r="A2853" s="104" t="s">
        <v>83</v>
      </c>
      <c r="B2853" s="28">
        <v>0</v>
      </c>
      <c r="C2853" s="11"/>
      <c r="D2853" s="18" t="str">
        <f>"&lt;" &amp; A2853 &amp; "&gt;" &amp; TEXT(B2853,0) &amp; "&lt;/" &amp; A2853 &amp; "&gt;"</f>
        <v>&lt;PosAttachFlag&gt;0&lt;/PosAttachFlag&gt;</v>
      </c>
      <c r="F2853" s="6"/>
      <c r="G2853" s="6"/>
      <c r="H2853" s="6"/>
      <c r="I2853" s="6"/>
      <c r="J2853" s="6"/>
      <c r="K2853" s="6"/>
      <c r="L2853" s="6"/>
      <c r="M2853" s="6"/>
      <c r="N2853" s="6"/>
      <c r="O2853" s="6"/>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c r="BU2853" s="6"/>
      <c r="BV2853" s="6"/>
      <c r="BW2853" s="6"/>
      <c r="BX2853" s="6"/>
      <c r="BY2853" s="6"/>
      <c r="BZ2853" s="6"/>
      <c r="CA2853" s="6"/>
      <c r="CB2853" s="6"/>
      <c r="CC2853" s="6"/>
      <c r="CD2853" s="6"/>
      <c r="CE2853" s="6"/>
      <c r="CF2853" s="6"/>
      <c r="CG2853" s="6"/>
      <c r="CH2853" s="6"/>
      <c r="CI2853" s="6"/>
      <c r="CJ2853" s="6"/>
      <c r="CK2853" s="6"/>
      <c r="CL2853" s="6"/>
      <c r="CM2853" s="6"/>
      <c r="CN2853" s="6"/>
      <c r="CO2853" s="6"/>
      <c r="CP2853" s="6"/>
      <c r="CQ2853" s="6"/>
      <c r="CR2853" s="6"/>
      <c r="CS2853" s="6"/>
      <c r="CT2853" s="6"/>
      <c r="CU2853" s="6"/>
      <c r="CV2853" s="6"/>
      <c r="CW2853" s="6"/>
      <c r="CX2853" s="6"/>
      <c r="CY2853" s="6"/>
      <c r="CZ2853" s="6"/>
      <c r="DA2853" s="6"/>
      <c r="DB2853" s="6"/>
      <c r="DC2853" s="6"/>
      <c r="DD2853" s="6"/>
    </row>
    <row r="2854" spans="1:108" ht="12.75" hidden="1" customHeight="1" outlineLevel="5">
      <c r="A2854" s="104" t="s">
        <v>84</v>
      </c>
      <c r="B2854" s="28">
        <v>0</v>
      </c>
      <c r="C2854" s="11"/>
      <c r="D2854" s="18" t="str">
        <f>"&lt;" &amp; A2854 &amp; "&gt;" &amp; TEXT(B2854,"0.000000") &amp; "&lt;/" &amp; A2854 &amp; "&gt;"</f>
        <v>&lt;U_Attach&gt;0.000000&lt;/U_Attach&gt;</v>
      </c>
      <c r="F2854" s="6"/>
      <c r="G2854" s="6"/>
      <c r="H2854" s="6"/>
      <c r="I2854" s="6"/>
      <c r="J2854" s="6"/>
      <c r="K2854" s="6"/>
      <c r="L2854" s="6"/>
      <c r="M2854" s="6"/>
      <c r="N2854" s="6"/>
      <c r="O2854" s="6"/>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c r="BU2854" s="6"/>
      <c r="BV2854" s="6"/>
      <c r="BW2854" s="6"/>
      <c r="BX2854" s="6"/>
      <c r="BY2854" s="6"/>
      <c r="BZ2854" s="6"/>
      <c r="CA2854" s="6"/>
      <c r="CB2854" s="6"/>
      <c r="CC2854" s="6"/>
      <c r="CD2854" s="6"/>
      <c r="CE2854" s="6"/>
      <c r="CF2854" s="6"/>
      <c r="CG2854" s="6"/>
      <c r="CH2854" s="6"/>
      <c r="CI2854" s="6"/>
      <c r="CJ2854" s="6"/>
      <c r="CK2854" s="6"/>
      <c r="CL2854" s="6"/>
      <c r="CM2854" s="6"/>
      <c r="CN2854" s="6"/>
      <c r="CO2854" s="6"/>
      <c r="CP2854" s="6"/>
      <c r="CQ2854" s="6"/>
      <c r="CR2854" s="6"/>
      <c r="CS2854" s="6"/>
      <c r="CT2854" s="6"/>
      <c r="CU2854" s="6"/>
      <c r="CV2854" s="6"/>
      <c r="CW2854" s="6"/>
      <c r="CX2854" s="6"/>
      <c r="CY2854" s="6"/>
      <c r="CZ2854" s="6"/>
      <c r="DA2854" s="6"/>
      <c r="DB2854" s="6"/>
      <c r="DC2854" s="6"/>
      <c r="DD2854" s="6"/>
    </row>
    <row r="2855" spans="1:108" ht="12.75" hidden="1" customHeight="1" outlineLevel="5">
      <c r="A2855" s="104" t="s">
        <v>85</v>
      </c>
      <c r="B2855" s="28">
        <v>0</v>
      </c>
      <c r="C2855" s="11"/>
      <c r="D2855" s="18" t="str">
        <f>"&lt;" &amp; A2855 &amp; "&gt;" &amp; TEXT(B2855,"0.000000") &amp; "&lt;/" &amp; A2855 &amp; "&gt;"</f>
        <v>&lt;V_Attach&gt;0.000000&lt;/V_Attach&gt;</v>
      </c>
      <c r="F2855" s="6"/>
      <c r="G2855" s="6"/>
      <c r="H2855" s="6"/>
      <c r="I2855" s="6"/>
      <c r="J2855" s="6"/>
      <c r="K2855" s="6"/>
      <c r="L2855" s="6"/>
      <c r="M2855" s="6"/>
      <c r="N2855" s="6"/>
      <c r="O2855" s="6"/>
      <c r="P2855" s="6"/>
      <c r="Q2855" s="6"/>
      <c r="R2855" s="6"/>
      <c r="S2855" s="6"/>
      <c r="T2855" s="6"/>
      <c r="U2855" s="6"/>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c r="BU2855" s="6"/>
      <c r="BV2855" s="6"/>
      <c r="BW2855" s="6"/>
      <c r="BX2855" s="6"/>
      <c r="BY2855" s="6"/>
      <c r="BZ2855" s="6"/>
      <c r="CA2855" s="6"/>
      <c r="CB2855" s="6"/>
      <c r="CC2855" s="6"/>
      <c r="CD2855" s="6"/>
      <c r="CE2855" s="6"/>
      <c r="CF2855" s="6"/>
      <c r="CG2855" s="6"/>
      <c r="CH2855" s="6"/>
      <c r="CI2855" s="6"/>
      <c r="CJ2855" s="6"/>
      <c r="CK2855" s="6"/>
      <c r="CL2855" s="6"/>
      <c r="CM2855" s="6"/>
      <c r="CN2855" s="6"/>
      <c r="CO2855" s="6"/>
      <c r="CP2855" s="6"/>
      <c r="CQ2855" s="6"/>
      <c r="CR2855" s="6"/>
      <c r="CS2855" s="6"/>
      <c r="CT2855" s="6"/>
      <c r="CU2855" s="6"/>
      <c r="CV2855" s="6"/>
      <c r="CW2855" s="6"/>
      <c r="CX2855" s="6"/>
      <c r="CY2855" s="6"/>
      <c r="CZ2855" s="6"/>
      <c r="DA2855" s="6"/>
      <c r="DB2855" s="6"/>
      <c r="DC2855" s="6"/>
      <c r="DD2855" s="6"/>
    </row>
    <row r="2856" spans="1:108" ht="12.75" hidden="1" customHeight="1" outlineLevel="5">
      <c r="A2856" s="104" t="s">
        <v>86</v>
      </c>
      <c r="B2856" s="28">
        <v>149518280</v>
      </c>
      <c r="C2856" s="11"/>
      <c r="D2856" s="18" t="str">
        <f t="shared" ref="D2856:D2861" si="164">"&lt;" &amp; A2856 &amp; "&gt;" &amp; TEXT(B2856,0) &amp; "&lt;/" &amp; A2856 &amp; "&gt;"</f>
        <v>&lt;PtrID&gt;149518280&lt;/PtrID&gt;</v>
      </c>
      <c r="F2856" s="6"/>
      <c r="G2856" s="6"/>
      <c r="H2856" s="6"/>
      <c r="I2856" s="6"/>
      <c r="J2856" s="6"/>
      <c r="K2856" s="6"/>
      <c r="L2856" s="6"/>
      <c r="M2856" s="6"/>
      <c r="N2856" s="6"/>
      <c r="O2856" s="6"/>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c r="BU2856" s="6"/>
      <c r="BV2856" s="6"/>
      <c r="BW2856" s="6"/>
      <c r="BX2856" s="6"/>
      <c r="BY2856" s="6"/>
      <c r="BZ2856" s="6"/>
      <c r="CA2856" s="6"/>
      <c r="CB2856" s="6"/>
      <c r="CC2856" s="6"/>
      <c r="CD2856" s="6"/>
      <c r="CE2856" s="6"/>
      <c r="CF2856" s="6"/>
      <c r="CG2856" s="6"/>
      <c r="CH2856" s="6"/>
      <c r="CI2856" s="6"/>
      <c r="CJ2856" s="6"/>
      <c r="CK2856" s="6"/>
      <c r="CL2856" s="6"/>
      <c r="CM2856" s="6"/>
      <c r="CN2856" s="6"/>
      <c r="CO2856" s="6"/>
      <c r="CP2856" s="6"/>
      <c r="CQ2856" s="6"/>
      <c r="CR2856" s="6"/>
      <c r="CS2856" s="6"/>
      <c r="CT2856" s="6"/>
      <c r="CU2856" s="6"/>
      <c r="CV2856" s="6"/>
      <c r="CW2856" s="6"/>
      <c r="CX2856" s="6"/>
      <c r="CY2856" s="6"/>
      <c r="CZ2856" s="6"/>
      <c r="DA2856" s="6"/>
      <c r="DB2856" s="6"/>
      <c r="DC2856" s="6"/>
      <c r="DD2856" s="6"/>
    </row>
    <row r="2857" spans="1:108" ht="12.75" hidden="1" customHeight="1" outlineLevel="5">
      <c r="A2857" s="104" t="s">
        <v>87</v>
      </c>
      <c r="B2857" s="28">
        <v>0</v>
      </c>
      <c r="C2857" s="11"/>
      <c r="D2857" s="18" t="str">
        <f t="shared" si="164"/>
        <v>&lt;Parent_PtrID&gt;0&lt;/Parent_PtrID&gt;</v>
      </c>
      <c r="F2857" s="6"/>
      <c r="G2857" s="6"/>
      <c r="H2857" s="6"/>
      <c r="I2857" s="6"/>
      <c r="J2857" s="6"/>
      <c r="K2857" s="6"/>
      <c r="L2857" s="6"/>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c r="BU2857" s="6"/>
      <c r="BV2857" s="6"/>
      <c r="BW2857" s="6"/>
      <c r="BX2857" s="6"/>
      <c r="BY2857" s="6"/>
      <c r="BZ2857" s="6"/>
      <c r="CA2857" s="6"/>
      <c r="CB2857" s="6"/>
      <c r="CC2857" s="6"/>
      <c r="CD2857" s="6"/>
      <c r="CE2857" s="6"/>
      <c r="CF2857" s="6"/>
      <c r="CG2857" s="6"/>
      <c r="CH2857" s="6"/>
      <c r="CI2857" s="6"/>
      <c r="CJ2857" s="6"/>
      <c r="CK2857" s="6"/>
      <c r="CL2857" s="6"/>
      <c r="CM2857" s="6"/>
      <c r="CN2857" s="6"/>
      <c r="CO2857" s="6"/>
      <c r="CP2857" s="6"/>
      <c r="CQ2857" s="6"/>
      <c r="CR2857" s="6"/>
      <c r="CS2857" s="6"/>
      <c r="CT2857" s="6"/>
      <c r="CU2857" s="6"/>
      <c r="CV2857" s="6"/>
      <c r="CW2857" s="6"/>
      <c r="CX2857" s="6"/>
      <c r="CY2857" s="6"/>
      <c r="CZ2857" s="6"/>
      <c r="DA2857" s="6"/>
      <c r="DB2857" s="6"/>
      <c r="DC2857" s="6"/>
      <c r="DD2857" s="6"/>
    </row>
    <row r="2858" spans="1:108" ht="12.75" hidden="1" customHeight="1" outlineLevel="5">
      <c r="A2858" s="104" t="s">
        <v>221</v>
      </c>
      <c r="B2858" s="28">
        <v>149520864</v>
      </c>
      <c r="C2858" s="11"/>
      <c r="D2858" s="18" t="str">
        <f t="shared" si="164"/>
        <v>&lt;Children_PtrID&gt;149520864&lt;/Children_PtrID&gt;</v>
      </c>
      <c r="F2858" s="6"/>
      <c r="G2858" s="6"/>
      <c r="H2858" s="6"/>
      <c r="I2858" s="6"/>
      <c r="J2858" s="6"/>
      <c r="K2858" s="6"/>
      <c r="L2858" s="6"/>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c r="BU2858" s="6"/>
      <c r="BV2858" s="6"/>
      <c r="BW2858" s="6"/>
      <c r="BX2858" s="6"/>
      <c r="BY2858" s="6"/>
      <c r="BZ2858" s="6"/>
      <c r="CA2858" s="6"/>
      <c r="CB2858" s="6"/>
      <c r="CC2858" s="6"/>
      <c r="CD2858" s="6"/>
      <c r="CE2858" s="6"/>
      <c r="CF2858" s="6"/>
      <c r="CG2858" s="6"/>
      <c r="CH2858" s="6"/>
      <c r="CI2858" s="6"/>
      <c r="CJ2858" s="6"/>
      <c r="CK2858" s="6"/>
      <c r="CL2858" s="6"/>
      <c r="CM2858" s="6"/>
      <c r="CN2858" s="6"/>
      <c r="CO2858" s="6"/>
      <c r="CP2858" s="6"/>
      <c r="CQ2858" s="6"/>
      <c r="CR2858" s="6"/>
      <c r="CS2858" s="6"/>
      <c r="CT2858" s="6"/>
      <c r="CU2858" s="6"/>
      <c r="CV2858" s="6"/>
      <c r="CW2858" s="6"/>
      <c r="CX2858" s="6"/>
      <c r="CY2858" s="6"/>
      <c r="CZ2858" s="6"/>
      <c r="DA2858" s="6"/>
      <c r="DB2858" s="6"/>
      <c r="DC2858" s="6"/>
      <c r="DD2858" s="6"/>
    </row>
    <row r="2859" spans="1:108" ht="12.75" hidden="1" customHeight="1" outlineLevel="5">
      <c r="A2859" s="104" t="s">
        <v>221</v>
      </c>
      <c r="B2859" s="28">
        <v>149750024</v>
      </c>
      <c r="C2859" s="11"/>
      <c r="D2859" s="18" t="str">
        <f t="shared" si="164"/>
        <v>&lt;Children_PtrID&gt;149750024&lt;/Children_PtrID&gt;</v>
      </c>
      <c r="F2859" s="6"/>
      <c r="G2859" s="6"/>
      <c r="H2859" s="6"/>
      <c r="I2859" s="6"/>
      <c r="J2859" s="6"/>
      <c r="K2859" s="6"/>
      <c r="L2859" s="6"/>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c r="BU2859" s="6"/>
      <c r="BV2859" s="6"/>
      <c r="BW2859" s="6"/>
      <c r="BX2859" s="6"/>
      <c r="BY2859" s="6"/>
      <c r="BZ2859" s="6"/>
      <c r="CA2859" s="6"/>
      <c r="CB2859" s="6"/>
      <c r="CC2859" s="6"/>
      <c r="CD2859" s="6"/>
      <c r="CE2859" s="6"/>
      <c r="CF2859" s="6"/>
      <c r="CG2859" s="6"/>
      <c r="CH2859" s="6"/>
      <c r="CI2859" s="6"/>
      <c r="CJ2859" s="6"/>
      <c r="CK2859" s="6"/>
      <c r="CL2859" s="6"/>
      <c r="CM2859" s="6"/>
      <c r="CN2859" s="6"/>
      <c r="CO2859" s="6"/>
      <c r="CP2859" s="6"/>
      <c r="CQ2859" s="6"/>
      <c r="CR2859" s="6"/>
      <c r="CS2859" s="6"/>
      <c r="CT2859" s="6"/>
      <c r="CU2859" s="6"/>
      <c r="CV2859" s="6"/>
      <c r="CW2859" s="6"/>
      <c r="CX2859" s="6"/>
      <c r="CY2859" s="6"/>
      <c r="CZ2859" s="6"/>
      <c r="DA2859" s="6"/>
      <c r="DB2859" s="6"/>
      <c r="DC2859" s="6"/>
      <c r="DD2859" s="6"/>
    </row>
    <row r="2860" spans="1:108" ht="12.75" hidden="1" customHeight="1" outlineLevel="5">
      <c r="A2860" s="104" t="s">
        <v>221</v>
      </c>
      <c r="B2860" s="28">
        <v>148458299</v>
      </c>
      <c r="C2860" s="11"/>
      <c r="D2860" s="18" t="str">
        <f t="shared" si="164"/>
        <v>&lt;Children_PtrID&gt;148458299&lt;/Children_PtrID&gt;</v>
      </c>
      <c r="F2860" s="6"/>
      <c r="G2860" s="6"/>
      <c r="H2860" s="6"/>
      <c r="I2860" s="6"/>
      <c r="J2860" s="6"/>
      <c r="K2860" s="6"/>
      <c r="L2860" s="6"/>
      <c r="M2860" s="6"/>
      <c r="N2860" s="6"/>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c r="BU2860" s="6"/>
      <c r="BV2860" s="6"/>
      <c r="BW2860" s="6"/>
      <c r="BX2860" s="6"/>
      <c r="BY2860" s="6"/>
      <c r="BZ2860" s="6"/>
      <c r="CA2860" s="6"/>
      <c r="CB2860" s="6"/>
      <c r="CC2860" s="6"/>
      <c r="CD2860" s="6"/>
      <c r="CE2860" s="6"/>
      <c r="CF2860" s="6"/>
      <c r="CG2860" s="6"/>
      <c r="CH2860" s="6"/>
      <c r="CI2860" s="6"/>
      <c r="CJ2860" s="6"/>
      <c r="CK2860" s="6"/>
      <c r="CL2860" s="6"/>
      <c r="CM2860" s="6"/>
      <c r="CN2860" s="6"/>
      <c r="CO2860" s="6"/>
      <c r="CP2860" s="6"/>
      <c r="CQ2860" s="6"/>
      <c r="CR2860" s="6"/>
      <c r="CS2860" s="6"/>
      <c r="CT2860" s="6"/>
      <c r="CU2860" s="6"/>
      <c r="CV2860" s="6"/>
      <c r="CW2860" s="6"/>
      <c r="CX2860" s="6"/>
      <c r="CY2860" s="6"/>
      <c r="CZ2860" s="6"/>
      <c r="DA2860" s="6"/>
      <c r="DB2860" s="6"/>
      <c r="DC2860" s="6"/>
      <c r="DD2860" s="6"/>
    </row>
    <row r="2861" spans="1:108" ht="12.75" hidden="1" customHeight="1" outlineLevel="5">
      <c r="A2861" s="104" t="s">
        <v>221</v>
      </c>
      <c r="B2861" s="28">
        <v>60521</v>
      </c>
      <c r="C2861" s="11"/>
      <c r="D2861" s="18" t="str">
        <f t="shared" si="164"/>
        <v>&lt;Children_PtrID&gt;60521&lt;/Children_PtrID&gt;</v>
      </c>
      <c r="F2861" s="6"/>
      <c r="G2861" s="6"/>
      <c r="H2861" s="6"/>
      <c r="I2861" s="6"/>
      <c r="J2861" s="6"/>
      <c r="K2861" s="6"/>
      <c r="L2861" s="6"/>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c r="BU2861" s="6"/>
      <c r="BV2861" s="6"/>
      <c r="BW2861" s="6"/>
      <c r="BX2861" s="6"/>
      <c r="BY2861" s="6"/>
      <c r="BZ2861" s="6"/>
      <c r="CA2861" s="6"/>
      <c r="CB2861" s="6"/>
      <c r="CC2861" s="6"/>
      <c r="CD2861" s="6"/>
      <c r="CE2861" s="6"/>
      <c r="CF2861" s="6"/>
      <c r="CG2861" s="6"/>
      <c r="CH2861" s="6"/>
      <c r="CI2861" s="6"/>
      <c r="CJ2861" s="6"/>
      <c r="CK2861" s="6"/>
      <c r="CL2861" s="6"/>
      <c r="CM2861" s="6"/>
      <c r="CN2861" s="6"/>
      <c r="CO2861" s="6"/>
      <c r="CP2861" s="6"/>
      <c r="CQ2861" s="6"/>
      <c r="CR2861" s="6"/>
      <c r="CS2861" s="6"/>
      <c r="CT2861" s="6"/>
      <c r="CU2861" s="6"/>
      <c r="CV2861" s="6"/>
      <c r="CW2861" s="6"/>
      <c r="CX2861" s="6"/>
      <c r="CY2861" s="6"/>
      <c r="CZ2861" s="6"/>
      <c r="DA2861" s="6"/>
      <c r="DB2861" s="6"/>
      <c r="DC2861" s="6"/>
      <c r="DD2861" s="6"/>
    </row>
    <row r="2862" spans="1:108" ht="12.75" hidden="1" customHeight="1" outlineLevel="5">
      <c r="A2862" s="104" t="s">
        <v>88</v>
      </c>
      <c r="B2862" s="100"/>
      <c r="C2862" s="11"/>
      <c r="D2862" s="6" t="str">
        <f>"&lt;" &amp; A2862 &amp; "&gt;"</f>
        <v>&lt;/General_Parms&gt;</v>
      </c>
      <c r="F2862" s="6"/>
      <c r="G2862" s="6"/>
      <c r="H2862" s="6"/>
      <c r="I2862" s="6"/>
      <c r="J2862" s="6"/>
      <c r="K2862" s="6"/>
      <c r="L2862" s="6"/>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c r="BU2862" s="6"/>
      <c r="BV2862" s="6"/>
      <c r="BW2862" s="6"/>
      <c r="BX2862" s="6"/>
      <c r="BY2862" s="6"/>
      <c r="BZ2862" s="6"/>
      <c r="CA2862" s="6"/>
      <c r="CB2862" s="6"/>
      <c r="CC2862" s="6"/>
      <c r="CD2862" s="6"/>
      <c r="CE2862" s="6"/>
      <c r="CF2862" s="6"/>
      <c r="CG2862" s="6"/>
      <c r="CH2862" s="6"/>
      <c r="CI2862" s="6"/>
      <c r="CJ2862" s="6"/>
      <c r="CK2862" s="6"/>
      <c r="CL2862" s="6"/>
      <c r="CM2862" s="6"/>
      <c r="CN2862" s="6"/>
      <c r="CO2862" s="6"/>
      <c r="CP2862" s="6"/>
      <c r="CQ2862" s="6"/>
      <c r="CR2862" s="6"/>
      <c r="CS2862" s="6"/>
      <c r="CT2862" s="6"/>
      <c r="CU2862" s="6"/>
      <c r="CV2862" s="6"/>
      <c r="CW2862" s="6"/>
      <c r="CX2862" s="6"/>
      <c r="CY2862" s="6"/>
      <c r="CZ2862" s="6"/>
      <c r="DA2862" s="6"/>
      <c r="DB2862" s="6"/>
      <c r="DC2862" s="6"/>
      <c r="DD2862" s="6"/>
    </row>
    <row r="2863" spans="1:108" ht="12.75" hidden="1" customHeight="1" outlineLevel="4" collapsed="1">
      <c r="A2863" s="104" t="s">
        <v>222</v>
      </c>
      <c r="B2863" s="100"/>
      <c r="C2863" s="11"/>
      <c r="D2863" s="6" t="str">
        <f>"&lt;" &amp; A2863 &amp; "&gt;"</f>
        <v>&lt;Blank_Parms&gt;</v>
      </c>
      <c r="F2863" s="6"/>
      <c r="G2863" s="6"/>
      <c r="H2863" s="6"/>
      <c r="I2863" s="6"/>
      <c r="J2863" s="6"/>
      <c r="K2863" s="6"/>
      <c r="L2863" s="6"/>
      <c r="M2863" s="6"/>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c r="BU2863" s="6"/>
      <c r="BV2863" s="6"/>
      <c r="BW2863" s="6"/>
      <c r="BX2863" s="6"/>
      <c r="BY2863" s="6"/>
      <c r="BZ2863" s="6"/>
      <c r="CA2863" s="6"/>
      <c r="CB2863" s="6"/>
      <c r="CC2863" s="6"/>
      <c r="CD2863" s="6"/>
      <c r="CE2863" s="6"/>
      <c r="CF2863" s="6"/>
      <c r="CG2863" s="6"/>
      <c r="CH2863" s="6"/>
      <c r="CI2863" s="6"/>
      <c r="CJ2863" s="6"/>
      <c r="CK2863" s="6"/>
      <c r="CL2863" s="6"/>
      <c r="CM2863" s="6"/>
      <c r="CN2863" s="6"/>
      <c r="CO2863" s="6"/>
      <c r="CP2863" s="6"/>
      <c r="CQ2863" s="6"/>
      <c r="CR2863" s="6"/>
      <c r="CS2863" s="6"/>
      <c r="CT2863" s="6"/>
      <c r="CU2863" s="6"/>
      <c r="CV2863" s="6"/>
      <c r="CW2863" s="6"/>
      <c r="CX2863" s="6"/>
      <c r="CY2863" s="6"/>
      <c r="CZ2863" s="6"/>
      <c r="DA2863" s="6"/>
      <c r="DB2863" s="6"/>
      <c r="DC2863" s="6"/>
      <c r="DD2863" s="6"/>
    </row>
    <row r="2864" spans="1:108" ht="12.75" hidden="1" customHeight="1" outlineLevel="5">
      <c r="A2864" s="104" t="s">
        <v>223</v>
      </c>
      <c r="B2864" s="28">
        <v>0</v>
      </c>
      <c r="C2864" s="11"/>
      <c r="D2864" s="18" t="str">
        <f>"&lt;" &amp; A2864 &amp; "&gt;" &amp; TEXT(B2864,0) &amp; "&lt;/" &amp; A2864 &amp; "&gt;"</f>
        <v>&lt;PointMassFlag&gt;0&lt;/PointMassFlag&gt;</v>
      </c>
      <c r="F2864" s="6"/>
      <c r="G2864" s="6"/>
      <c r="H2864" s="6"/>
      <c r="I2864" s="6"/>
      <c r="J2864" s="6"/>
      <c r="K2864" s="6"/>
      <c r="L2864" s="6"/>
      <c r="M2864" s="6"/>
      <c r="N2864" s="6"/>
      <c r="O2864" s="6"/>
      <c r="P2864" s="6"/>
      <c r="Q2864" s="6"/>
      <c r="R2864" s="6"/>
      <c r="S2864" s="6"/>
      <c r="T2864" s="6"/>
      <c r="U2864" s="6"/>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c r="BU2864" s="6"/>
      <c r="BV2864" s="6"/>
      <c r="BW2864" s="6"/>
      <c r="BX2864" s="6"/>
      <c r="BY2864" s="6"/>
      <c r="BZ2864" s="6"/>
      <c r="CA2864" s="6"/>
      <c r="CB2864" s="6"/>
      <c r="CC2864" s="6"/>
      <c r="CD2864" s="6"/>
      <c r="CE2864" s="6"/>
      <c r="CF2864" s="6"/>
      <c r="CG2864" s="6"/>
      <c r="CH2864" s="6"/>
      <c r="CI2864" s="6"/>
      <c r="CJ2864" s="6"/>
      <c r="CK2864" s="6"/>
      <c r="CL2864" s="6"/>
      <c r="CM2864" s="6"/>
      <c r="CN2864" s="6"/>
      <c r="CO2864" s="6"/>
      <c r="CP2864" s="6"/>
      <c r="CQ2864" s="6"/>
      <c r="CR2864" s="6"/>
      <c r="CS2864" s="6"/>
      <c r="CT2864" s="6"/>
      <c r="CU2864" s="6"/>
      <c r="CV2864" s="6"/>
      <c r="CW2864" s="6"/>
      <c r="CX2864" s="6"/>
      <c r="CY2864" s="6"/>
      <c r="CZ2864" s="6"/>
      <c r="DA2864" s="6"/>
      <c r="DB2864" s="6"/>
      <c r="DC2864" s="6"/>
      <c r="DD2864" s="6"/>
    </row>
    <row r="2865" spans="1:108" ht="12.75" hidden="1" customHeight="1" outlineLevel="5">
      <c r="A2865" s="104" t="s">
        <v>224</v>
      </c>
      <c r="B2865" s="28">
        <v>1</v>
      </c>
      <c r="C2865" s="11"/>
      <c r="D2865" s="18" t="str">
        <f>"&lt;" &amp; A2865 &amp; "&gt;" &amp; TEXT(B2865,"0.000000") &amp; "&lt;/" &amp; A2865 &amp; "&gt;"</f>
        <v>&lt;PointMass&gt;1.000000&lt;/PointMass&gt;</v>
      </c>
      <c r="F2865" s="6"/>
      <c r="G2865" s="6"/>
      <c r="H2865" s="6"/>
      <c r="I2865" s="6"/>
      <c r="J2865" s="6"/>
      <c r="K2865" s="6"/>
      <c r="L2865" s="6"/>
      <c r="M2865" s="6"/>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c r="BU2865" s="6"/>
      <c r="BV2865" s="6"/>
      <c r="BW2865" s="6"/>
      <c r="BX2865" s="6"/>
      <c r="BY2865" s="6"/>
      <c r="BZ2865" s="6"/>
      <c r="CA2865" s="6"/>
      <c r="CB2865" s="6"/>
      <c r="CC2865" s="6"/>
      <c r="CD2865" s="6"/>
      <c r="CE2865" s="6"/>
      <c r="CF2865" s="6"/>
      <c r="CG2865" s="6"/>
      <c r="CH2865" s="6"/>
      <c r="CI2865" s="6"/>
      <c r="CJ2865" s="6"/>
      <c r="CK2865" s="6"/>
      <c r="CL2865" s="6"/>
      <c r="CM2865" s="6"/>
      <c r="CN2865" s="6"/>
      <c r="CO2865" s="6"/>
      <c r="CP2865" s="6"/>
      <c r="CQ2865" s="6"/>
      <c r="CR2865" s="6"/>
      <c r="CS2865" s="6"/>
      <c r="CT2865" s="6"/>
      <c r="CU2865" s="6"/>
      <c r="CV2865" s="6"/>
      <c r="CW2865" s="6"/>
      <c r="CX2865" s="6"/>
      <c r="CY2865" s="6"/>
      <c r="CZ2865" s="6"/>
      <c r="DA2865" s="6"/>
      <c r="DB2865" s="6"/>
      <c r="DC2865" s="6"/>
      <c r="DD2865" s="6"/>
    </row>
    <row r="2866" spans="1:108" ht="12.75" hidden="1" customHeight="1" outlineLevel="5">
      <c r="A2866" s="104" t="s">
        <v>225</v>
      </c>
      <c r="B2866" s="100"/>
      <c r="C2866" s="11"/>
      <c r="D2866" s="6" t="str">
        <f>"&lt;" &amp; A2866 &amp; "&gt;"</f>
        <v>&lt;/Blank_Parms&gt;</v>
      </c>
      <c r="F2866" s="6"/>
      <c r="G2866" s="6"/>
      <c r="H2866" s="6"/>
      <c r="I2866" s="6"/>
      <c r="J2866" s="6"/>
      <c r="K2866" s="6"/>
      <c r="L2866" s="6"/>
      <c r="M2866" s="6"/>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c r="BU2866" s="6"/>
      <c r="BV2866" s="6"/>
      <c r="BW2866" s="6"/>
      <c r="BX2866" s="6"/>
      <c r="BY2866" s="6"/>
      <c r="BZ2866" s="6"/>
      <c r="CA2866" s="6"/>
      <c r="CB2866" s="6"/>
      <c r="CC2866" s="6"/>
      <c r="CD2866" s="6"/>
      <c r="CE2866" s="6"/>
      <c r="CF2866" s="6"/>
      <c r="CG2866" s="6"/>
      <c r="CH2866" s="6"/>
      <c r="CI2866" s="6"/>
      <c r="CJ2866" s="6"/>
      <c r="CK2866" s="6"/>
      <c r="CL2866" s="6"/>
      <c r="CM2866" s="6"/>
      <c r="CN2866" s="6"/>
      <c r="CO2866" s="6"/>
      <c r="CP2866" s="6"/>
      <c r="CQ2866" s="6"/>
      <c r="CR2866" s="6"/>
      <c r="CS2866" s="6"/>
      <c r="CT2866" s="6"/>
      <c r="CU2866" s="6"/>
      <c r="CV2866" s="6"/>
      <c r="CW2866" s="6"/>
      <c r="CX2866" s="6"/>
      <c r="CY2866" s="6"/>
      <c r="CZ2866" s="6"/>
      <c r="DA2866" s="6"/>
      <c r="DB2866" s="6"/>
      <c r="DC2866" s="6"/>
      <c r="DD2866" s="6"/>
    </row>
    <row r="2867" spans="1:108" ht="12.75" hidden="1" customHeight="1" outlineLevel="4">
      <c r="A2867" s="104" t="s">
        <v>138</v>
      </c>
      <c r="B2867" s="100"/>
      <c r="C2867" s="11"/>
      <c r="D2867" s="6" t="str">
        <f>"&lt;" &amp; A2867 &amp; "&gt;"</f>
        <v>&lt;/Component&gt;</v>
      </c>
      <c r="F2867" s="6"/>
      <c r="G2867" s="6"/>
      <c r="H2867" s="6"/>
      <c r="I2867" s="6"/>
      <c r="J2867" s="6"/>
      <c r="K2867" s="6"/>
      <c r="L2867" s="6"/>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c r="BU2867" s="6"/>
      <c r="BV2867" s="6"/>
      <c r="BW2867" s="6"/>
      <c r="BX2867" s="6"/>
      <c r="BY2867" s="6"/>
      <c r="BZ2867" s="6"/>
      <c r="CA2867" s="6"/>
      <c r="CB2867" s="6"/>
      <c r="CC2867" s="6"/>
      <c r="CD2867" s="6"/>
      <c r="CE2867" s="6"/>
      <c r="CF2867" s="6"/>
      <c r="CG2867" s="6"/>
      <c r="CH2867" s="6"/>
      <c r="CI2867" s="6"/>
      <c r="CJ2867" s="6"/>
      <c r="CK2867" s="6"/>
      <c r="CL2867" s="6"/>
      <c r="CM2867" s="6"/>
      <c r="CN2867" s="6"/>
      <c r="CO2867" s="6"/>
      <c r="CP2867" s="6"/>
      <c r="CQ2867" s="6"/>
      <c r="CR2867" s="6"/>
      <c r="CS2867" s="6"/>
      <c r="CT2867" s="6"/>
      <c r="CU2867" s="6"/>
      <c r="CV2867" s="6"/>
      <c r="CW2867" s="6"/>
      <c r="CX2867" s="6"/>
      <c r="CY2867" s="6"/>
      <c r="CZ2867" s="6"/>
      <c r="DA2867" s="6"/>
      <c r="DB2867" s="6"/>
      <c r="DC2867" s="6"/>
      <c r="DD2867" s="6"/>
    </row>
    <row r="2868" spans="1:108" ht="12.75" hidden="1" customHeight="1" outlineLevel="3" collapsed="1">
      <c r="A2868" s="104" t="s">
        <v>40</v>
      </c>
      <c r="B2868" s="110" t="s">
        <v>541</v>
      </c>
      <c r="C2868" s="11"/>
      <c r="D2868" s="6" t="str">
        <f>"&lt;" &amp; A2868 &amp; "&gt;"</f>
        <v>&lt;Component&gt;</v>
      </c>
      <c r="F2868" s="6"/>
      <c r="G2868" s="6"/>
      <c r="H2868" s="6"/>
      <c r="I2868" s="6"/>
      <c r="J2868" s="6"/>
      <c r="K2868" s="6"/>
      <c r="L2868" s="6"/>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c r="BU2868" s="6"/>
      <c r="BV2868" s="6"/>
      <c r="BW2868" s="6"/>
      <c r="BX2868" s="6"/>
      <c r="BY2868" s="6"/>
      <c r="BZ2868" s="6"/>
      <c r="CA2868" s="6"/>
      <c r="CB2868" s="6"/>
      <c r="CC2868" s="6"/>
      <c r="CD2868" s="6"/>
      <c r="CE2868" s="6"/>
      <c r="CF2868" s="6"/>
      <c r="CG2868" s="6"/>
      <c r="CH2868" s="6"/>
      <c r="CI2868" s="6"/>
      <c r="CJ2868" s="6"/>
      <c r="CK2868" s="6"/>
      <c r="CL2868" s="6"/>
      <c r="CM2868" s="6"/>
      <c r="CN2868" s="6"/>
      <c r="CO2868" s="6"/>
      <c r="CP2868" s="6"/>
      <c r="CQ2868" s="6"/>
      <c r="CR2868" s="6"/>
      <c r="CS2868" s="6"/>
      <c r="CT2868" s="6"/>
      <c r="CU2868" s="6"/>
      <c r="CV2868" s="6"/>
      <c r="CW2868" s="6"/>
      <c r="CX2868" s="6"/>
      <c r="CY2868" s="6"/>
      <c r="CZ2868" s="6"/>
      <c r="DA2868" s="6"/>
      <c r="DB2868" s="6"/>
      <c r="DC2868" s="6"/>
      <c r="DD2868" s="6"/>
    </row>
    <row r="2869" spans="1:108" ht="12.75" hidden="1" customHeight="1" outlineLevel="4">
      <c r="A2869" s="104" t="s">
        <v>14</v>
      </c>
      <c r="B2869" s="100" t="s">
        <v>226</v>
      </c>
      <c r="C2869" s="11"/>
      <c r="D2869" s="18" t="str">
        <f>"&lt;" &amp; A2869 &amp; "&gt;" &amp; TEXT(B2869,"0.000000") &amp; "&lt;/" &amp; A2869 &amp; "&gt;"</f>
        <v>&lt;Type&gt;Engine&lt;/Type&gt;</v>
      </c>
      <c r="F2869" s="6"/>
      <c r="G2869" s="6"/>
      <c r="H2869" s="6"/>
      <c r="I2869" s="6"/>
      <c r="J2869" s="6"/>
      <c r="K2869" s="6"/>
      <c r="L2869" s="6"/>
      <c r="M2869" s="6"/>
      <c r="N2869" s="6"/>
      <c r="O2869" s="6"/>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c r="BU2869" s="6"/>
      <c r="BV2869" s="6"/>
      <c r="BW2869" s="6"/>
      <c r="BX2869" s="6"/>
      <c r="BY2869" s="6"/>
      <c r="BZ2869" s="6"/>
      <c r="CA2869" s="6"/>
      <c r="CB2869" s="6"/>
      <c r="CC2869" s="6"/>
      <c r="CD2869" s="6"/>
      <c r="CE2869" s="6"/>
      <c r="CF2869" s="6"/>
      <c r="CG2869" s="6"/>
      <c r="CH2869" s="6"/>
      <c r="CI2869" s="6"/>
      <c r="CJ2869" s="6"/>
      <c r="CK2869" s="6"/>
      <c r="CL2869" s="6"/>
      <c r="CM2869" s="6"/>
      <c r="CN2869" s="6"/>
      <c r="CO2869" s="6"/>
      <c r="CP2869" s="6"/>
      <c r="CQ2869" s="6"/>
      <c r="CR2869" s="6"/>
      <c r="CS2869" s="6"/>
      <c r="CT2869" s="6"/>
      <c r="CU2869" s="6"/>
      <c r="CV2869" s="6"/>
      <c r="CW2869" s="6"/>
      <c r="CX2869" s="6"/>
      <c r="CY2869" s="6"/>
      <c r="CZ2869" s="6"/>
      <c r="DA2869" s="6"/>
      <c r="DB2869" s="6"/>
      <c r="DC2869" s="6"/>
      <c r="DD2869" s="6"/>
    </row>
    <row r="2870" spans="1:108" ht="12.75" hidden="1" customHeight="1" outlineLevel="4" collapsed="1">
      <c r="A2870" s="104" t="s">
        <v>42</v>
      </c>
      <c r="B2870" s="100"/>
      <c r="C2870" s="11"/>
      <c r="D2870" s="6" t="str">
        <f>"&lt;" &amp; A2870 &amp; "&gt;"</f>
        <v>&lt;General_Parms&gt;</v>
      </c>
      <c r="F2870" s="6"/>
      <c r="G2870" s="6"/>
      <c r="H2870" s="6"/>
      <c r="I2870" s="6"/>
      <c r="J2870" s="6"/>
      <c r="K2870" s="6"/>
      <c r="L2870" s="6"/>
      <c r="M2870" s="6"/>
      <c r="N2870" s="6"/>
      <c r="O2870" s="6"/>
      <c r="P2870" s="6"/>
      <c r="Q2870" s="6"/>
      <c r="R2870" s="6"/>
      <c r="S2870" s="6"/>
      <c r="T2870" s="6"/>
      <c r="U2870" s="6"/>
      <c r="V2870" s="6"/>
      <c r="W2870" s="6"/>
      <c r="X2870" s="6"/>
      <c r="Y2870" s="6"/>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c r="BU2870" s="6"/>
      <c r="BV2870" s="6"/>
      <c r="BW2870" s="6"/>
      <c r="BX2870" s="6"/>
      <c r="BY2870" s="6"/>
      <c r="BZ2870" s="6"/>
      <c r="CA2870" s="6"/>
      <c r="CB2870" s="6"/>
      <c r="CC2870" s="6"/>
      <c r="CD2870" s="6"/>
      <c r="CE2870" s="6"/>
      <c r="CF2870" s="6"/>
      <c r="CG2870" s="6"/>
      <c r="CH2870" s="6"/>
      <c r="CI2870" s="6"/>
      <c r="CJ2870" s="6"/>
      <c r="CK2870" s="6"/>
      <c r="CL2870" s="6"/>
      <c r="CM2870" s="6"/>
      <c r="CN2870" s="6"/>
      <c r="CO2870" s="6"/>
      <c r="CP2870" s="6"/>
      <c r="CQ2870" s="6"/>
      <c r="CR2870" s="6"/>
      <c r="CS2870" s="6"/>
      <c r="CT2870" s="6"/>
      <c r="CU2870" s="6"/>
      <c r="CV2870" s="6"/>
      <c r="CW2870" s="6"/>
      <c r="CX2870" s="6"/>
      <c r="CY2870" s="6"/>
      <c r="CZ2870" s="6"/>
      <c r="DA2870" s="6"/>
      <c r="DB2870" s="6"/>
      <c r="DC2870" s="6"/>
      <c r="DD2870" s="6"/>
    </row>
    <row r="2871" spans="1:108" ht="12.75" hidden="1" customHeight="1" outlineLevel="5">
      <c r="A2871" s="104" t="s">
        <v>1</v>
      </c>
      <c r="B2871" s="100" t="str">
        <f>B1272</f>
        <v>core_section</v>
      </c>
      <c r="C2871" s="11"/>
      <c r="D2871" s="18" t="str">
        <f>"&lt;" &amp; A2871 &amp; "&gt;" &amp; TEXT(B2871,"0.000000") &amp; "&lt;/" &amp; A2871 &amp; "&gt;"</f>
        <v>&lt;Name&gt;core_section&lt;/Name&gt;</v>
      </c>
      <c r="F2871" s="6"/>
      <c r="G2871" s="6"/>
      <c r="H2871" s="6"/>
      <c r="I2871" s="6"/>
      <c r="J2871" s="6"/>
      <c r="K2871" s="6"/>
      <c r="L2871" s="6"/>
      <c r="M2871" s="6"/>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c r="BU2871" s="6"/>
      <c r="BV2871" s="6"/>
      <c r="BW2871" s="6"/>
      <c r="BX2871" s="6"/>
      <c r="BY2871" s="6"/>
      <c r="BZ2871" s="6"/>
      <c r="CA2871" s="6"/>
      <c r="CB2871" s="6"/>
      <c r="CC2871" s="6"/>
      <c r="CD2871" s="6"/>
      <c r="CE2871" s="6"/>
      <c r="CF2871" s="6"/>
      <c r="CG2871" s="6"/>
      <c r="CH2871" s="6"/>
      <c r="CI2871" s="6"/>
      <c r="CJ2871" s="6"/>
      <c r="CK2871" s="6"/>
      <c r="CL2871" s="6"/>
      <c r="CM2871" s="6"/>
      <c r="CN2871" s="6"/>
      <c r="CO2871" s="6"/>
      <c r="CP2871" s="6"/>
      <c r="CQ2871" s="6"/>
      <c r="CR2871" s="6"/>
      <c r="CS2871" s="6"/>
      <c r="CT2871" s="6"/>
      <c r="CU2871" s="6"/>
      <c r="CV2871" s="6"/>
      <c r="CW2871" s="6"/>
      <c r="CX2871" s="6"/>
      <c r="CY2871" s="6"/>
      <c r="CZ2871" s="6"/>
      <c r="DA2871" s="6"/>
      <c r="DB2871" s="6"/>
      <c r="DC2871" s="6"/>
      <c r="DD2871" s="6"/>
    </row>
    <row r="2872" spans="1:108" ht="12.75" hidden="1" customHeight="1" outlineLevel="5">
      <c r="A2872" s="104" t="s">
        <v>43</v>
      </c>
      <c r="B2872" s="28">
        <f t="shared" ref="B2872:B2914" si="165">B1273</f>
        <v>0</v>
      </c>
      <c r="C2872" s="11"/>
      <c r="D2872" s="18" t="str">
        <f>"&lt;" &amp; A2872 &amp; "&gt;" &amp; TEXT(B2872,"0.000000") &amp; "&lt;/" &amp; A2872 &amp; "&gt;"</f>
        <v>&lt;ColorR&gt;0.000000&lt;/ColorR&gt;</v>
      </c>
      <c r="F2872" s="6"/>
      <c r="G2872" s="6"/>
      <c r="H2872" s="6"/>
      <c r="I2872" s="6"/>
      <c r="J2872" s="6"/>
      <c r="K2872" s="6"/>
      <c r="L2872" s="6"/>
      <c r="M2872" s="6"/>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c r="BU2872" s="6"/>
      <c r="BV2872" s="6"/>
      <c r="BW2872" s="6"/>
      <c r="BX2872" s="6"/>
      <c r="BY2872" s="6"/>
      <c r="BZ2872" s="6"/>
      <c r="CA2872" s="6"/>
      <c r="CB2872" s="6"/>
      <c r="CC2872" s="6"/>
      <c r="CD2872" s="6"/>
      <c r="CE2872" s="6"/>
      <c r="CF2872" s="6"/>
      <c r="CG2872" s="6"/>
      <c r="CH2872" s="6"/>
      <c r="CI2872" s="6"/>
      <c r="CJ2872" s="6"/>
      <c r="CK2872" s="6"/>
      <c r="CL2872" s="6"/>
      <c r="CM2872" s="6"/>
      <c r="CN2872" s="6"/>
      <c r="CO2872" s="6"/>
      <c r="CP2872" s="6"/>
      <c r="CQ2872" s="6"/>
      <c r="CR2872" s="6"/>
      <c r="CS2872" s="6"/>
      <c r="CT2872" s="6"/>
      <c r="CU2872" s="6"/>
      <c r="CV2872" s="6"/>
      <c r="CW2872" s="6"/>
      <c r="CX2872" s="6"/>
      <c r="CY2872" s="6"/>
      <c r="CZ2872" s="6"/>
      <c r="DA2872" s="6"/>
      <c r="DB2872" s="6"/>
      <c r="DC2872" s="6"/>
      <c r="DD2872" s="6"/>
    </row>
    <row r="2873" spans="1:108" ht="12.75" hidden="1" customHeight="1" outlineLevel="5">
      <c r="A2873" s="104" t="s">
        <v>44</v>
      </c>
      <c r="B2873" s="28">
        <f t="shared" si="165"/>
        <v>0</v>
      </c>
      <c r="C2873" s="11"/>
      <c r="D2873" s="18" t="str">
        <f>"&lt;" &amp; A2873 &amp; "&gt;" &amp; TEXT(B2873,"0.000000") &amp; "&lt;/" &amp; A2873 &amp; "&gt;"</f>
        <v>&lt;ColorG&gt;0.000000&lt;/ColorG&gt;</v>
      </c>
      <c r="F2873" s="6"/>
      <c r="G2873" s="6"/>
      <c r="H2873" s="6"/>
      <c r="I2873" s="6"/>
      <c r="J2873" s="6"/>
      <c r="K2873" s="6"/>
      <c r="L2873" s="6"/>
      <c r="M2873" s="6"/>
      <c r="N2873" s="6"/>
      <c r="O2873" s="6"/>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c r="BU2873" s="6"/>
      <c r="BV2873" s="6"/>
      <c r="BW2873" s="6"/>
      <c r="BX2873" s="6"/>
      <c r="BY2873" s="6"/>
      <c r="BZ2873" s="6"/>
      <c r="CA2873" s="6"/>
      <c r="CB2873" s="6"/>
      <c r="CC2873" s="6"/>
      <c r="CD2873" s="6"/>
      <c r="CE2873" s="6"/>
      <c r="CF2873" s="6"/>
      <c r="CG2873" s="6"/>
      <c r="CH2873" s="6"/>
      <c r="CI2873" s="6"/>
      <c r="CJ2873" s="6"/>
      <c r="CK2873" s="6"/>
      <c r="CL2873" s="6"/>
      <c r="CM2873" s="6"/>
      <c r="CN2873" s="6"/>
      <c r="CO2873" s="6"/>
      <c r="CP2873" s="6"/>
      <c r="CQ2873" s="6"/>
      <c r="CR2873" s="6"/>
      <c r="CS2873" s="6"/>
      <c r="CT2873" s="6"/>
      <c r="CU2873" s="6"/>
      <c r="CV2873" s="6"/>
      <c r="CW2873" s="6"/>
      <c r="CX2873" s="6"/>
      <c r="CY2873" s="6"/>
      <c r="CZ2873" s="6"/>
      <c r="DA2873" s="6"/>
      <c r="DB2873" s="6"/>
      <c r="DC2873" s="6"/>
      <c r="DD2873" s="6"/>
    </row>
    <row r="2874" spans="1:108" ht="12.75" hidden="1" customHeight="1" outlineLevel="5">
      <c r="A2874" s="104" t="s">
        <v>45</v>
      </c>
      <c r="B2874" s="28">
        <f t="shared" si="165"/>
        <v>0</v>
      </c>
      <c r="C2874" s="11"/>
      <c r="D2874" s="18" t="str">
        <f>"&lt;" &amp; A2874 &amp; "&gt;" &amp; TEXT(B2874,"0.000000") &amp; "&lt;/" &amp; A2874 &amp; "&gt;"</f>
        <v>&lt;ColorB&gt;0.000000&lt;/ColorB&gt;</v>
      </c>
      <c r="F2874" s="6"/>
      <c r="G2874" s="6"/>
      <c r="H2874" s="6"/>
      <c r="I2874" s="6"/>
      <c r="J2874" s="6"/>
      <c r="K2874" s="6"/>
      <c r="L2874" s="6"/>
      <c r="M2874" s="6"/>
      <c r="N2874" s="6"/>
      <c r="O2874" s="6"/>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c r="BU2874" s="6"/>
      <c r="BV2874" s="6"/>
      <c r="BW2874" s="6"/>
      <c r="BX2874" s="6"/>
      <c r="BY2874" s="6"/>
      <c r="BZ2874" s="6"/>
      <c r="CA2874" s="6"/>
      <c r="CB2874" s="6"/>
      <c r="CC2874" s="6"/>
      <c r="CD2874" s="6"/>
      <c r="CE2874" s="6"/>
      <c r="CF2874" s="6"/>
      <c r="CG2874" s="6"/>
      <c r="CH2874" s="6"/>
      <c r="CI2874" s="6"/>
      <c r="CJ2874" s="6"/>
      <c r="CK2874" s="6"/>
      <c r="CL2874" s="6"/>
      <c r="CM2874" s="6"/>
      <c r="CN2874" s="6"/>
      <c r="CO2874" s="6"/>
      <c r="CP2874" s="6"/>
      <c r="CQ2874" s="6"/>
      <c r="CR2874" s="6"/>
      <c r="CS2874" s="6"/>
      <c r="CT2874" s="6"/>
      <c r="CU2874" s="6"/>
      <c r="CV2874" s="6"/>
      <c r="CW2874" s="6"/>
      <c r="CX2874" s="6"/>
      <c r="CY2874" s="6"/>
      <c r="CZ2874" s="6"/>
      <c r="DA2874" s="6"/>
      <c r="DB2874" s="6"/>
      <c r="DC2874" s="6"/>
      <c r="DD2874" s="6"/>
    </row>
    <row r="2875" spans="1:108" ht="12.75" hidden="1" customHeight="1" outlineLevel="5">
      <c r="A2875" s="104" t="s">
        <v>46</v>
      </c>
      <c r="B2875" s="28">
        <f t="shared" si="165"/>
        <v>0</v>
      </c>
      <c r="C2875" s="11"/>
      <c r="D2875" s="18" t="str">
        <f t="shared" ref="D2875:D2884" si="166">"&lt;" &amp; A2875 &amp; "&gt;" &amp; TEXT(B2875,0) &amp; "&lt;/" &amp; A2875 &amp; "&gt;"</f>
        <v>&lt;Symmetry&gt;0&lt;/Symmetry&gt;</v>
      </c>
      <c r="F2875" s="6"/>
      <c r="G2875" s="6"/>
      <c r="H2875" s="6"/>
      <c r="I2875" s="6"/>
      <c r="J2875" s="6"/>
      <c r="K2875" s="6"/>
      <c r="L2875" s="6"/>
      <c r="M2875" s="6"/>
      <c r="N2875" s="6"/>
      <c r="O2875" s="6"/>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c r="BU2875" s="6"/>
      <c r="BV2875" s="6"/>
      <c r="BW2875" s="6"/>
      <c r="BX2875" s="6"/>
      <c r="BY2875" s="6"/>
      <c r="BZ2875" s="6"/>
      <c r="CA2875" s="6"/>
      <c r="CB2875" s="6"/>
      <c r="CC2875" s="6"/>
      <c r="CD2875" s="6"/>
      <c r="CE2875" s="6"/>
      <c r="CF2875" s="6"/>
      <c r="CG2875" s="6"/>
      <c r="CH2875" s="6"/>
      <c r="CI2875" s="6"/>
      <c r="CJ2875" s="6"/>
      <c r="CK2875" s="6"/>
      <c r="CL2875" s="6"/>
      <c r="CM2875" s="6"/>
      <c r="CN2875" s="6"/>
      <c r="CO2875" s="6"/>
      <c r="CP2875" s="6"/>
      <c r="CQ2875" s="6"/>
      <c r="CR2875" s="6"/>
      <c r="CS2875" s="6"/>
      <c r="CT2875" s="6"/>
      <c r="CU2875" s="6"/>
      <c r="CV2875" s="6"/>
      <c r="CW2875" s="6"/>
      <c r="CX2875" s="6"/>
      <c r="CY2875" s="6"/>
      <c r="CZ2875" s="6"/>
      <c r="DA2875" s="6"/>
      <c r="DB2875" s="6"/>
      <c r="DC2875" s="6"/>
      <c r="DD2875" s="6"/>
    </row>
    <row r="2876" spans="1:108" ht="12.75" hidden="1" customHeight="1" outlineLevel="5">
      <c r="A2876" s="104" t="s">
        <v>47</v>
      </c>
      <c r="B2876" s="28">
        <f t="shared" si="165"/>
        <v>0</v>
      </c>
      <c r="C2876" s="11"/>
      <c r="D2876" s="18" t="str">
        <f t="shared" si="166"/>
        <v>&lt;RelXFormFlag&gt;0&lt;/RelXFormFlag&gt;</v>
      </c>
      <c r="F2876" s="6"/>
      <c r="G2876" s="6"/>
      <c r="H2876" s="6"/>
      <c r="I2876" s="6"/>
      <c r="J2876" s="6"/>
      <c r="K2876" s="6"/>
      <c r="L2876" s="6"/>
      <c r="M2876" s="6"/>
      <c r="N2876" s="6"/>
      <c r="O2876" s="6"/>
      <c r="P2876" s="6"/>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c r="BU2876" s="6"/>
      <c r="BV2876" s="6"/>
      <c r="BW2876" s="6"/>
      <c r="BX2876" s="6"/>
      <c r="BY2876" s="6"/>
      <c r="BZ2876" s="6"/>
      <c r="CA2876" s="6"/>
      <c r="CB2876" s="6"/>
      <c r="CC2876" s="6"/>
      <c r="CD2876" s="6"/>
      <c r="CE2876" s="6"/>
      <c r="CF2876" s="6"/>
      <c r="CG2876" s="6"/>
      <c r="CH2876" s="6"/>
      <c r="CI2876" s="6"/>
      <c r="CJ2876" s="6"/>
      <c r="CK2876" s="6"/>
      <c r="CL2876" s="6"/>
      <c r="CM2876" s="6"/>
      <c r="CN2876" s="6"/>
      <c r="CO2876" s="6"/>
      <c r="CP2876" s="6"/>
      <c r="CQ2876" s="6"/>
      <c r="CR2876" s="6"/>
      <c r="CS2876" s="6"/>
      <c r="CT2876" s="6"/>
      <c r="CU2876" s="6"/>
      <c r="CV2876" s="6"/>
      <c r="CW2876" s="6"/>
      <c r="CX2876" s="6"/>
      <c r="CY2876" s="6"/>
      <c r="CZ2876" s="6"/>
      <c r="DA2876" s="6"/>
      <c r="DB2876" s="6"/>
      <c r="DC2876" s="6"/>
      <c r="DD2876" s="6"/>
    </row>
    <row r="2877" spans="1:108" ht="12.75" hidden="1" customHeight="1" outlineLevel="5">
      <c r="A2877" s="104" t="s">
        <v>48</v>
      </c>
      <c r="B2877" s="28">
        <f t="shared" si="165"/>
        <v>2</v>
      </c>
      <c r="C2877" s="11"/>
      <c r="D2877" s="18" t="str">
        <f t="shared" si="166"/>
        <v>&lt;MaterialID&gt;2&lt;/MaterialID&gt;</v>
      </c>
      <c r="F2877" s="6"/>
      <c r="G2877" s="6"/>
      <c r="H2877" s="6"/>
      <c r="I2877" s="6"/>
      <c r="J2877" s="6"/>
      <c r="K2877" s="6"/>
      <c r="L2877" s="6"/>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c r="BU2877" s="6"/>
      <c r="BV2877" s="6"/>
      <c r="BW2877" s="6"/>
      <c r="BX2877" s="6"/>
      <c r="BY2877" s="6"/>
      <c r="BZ2877" s="6"/>
      <c r="CA2877" s="6"/>
      <c r="CB2877" s="6"/>
      <c r="CC2877" s="6"/>
      <c r="CD2877" s="6"/>
      <c r="CE2877" s="6"/>
      <c r="CF2877" s="6"/>
      <c r="CG2877" s="6"/>
      <c r="CH2877" s="6"/>
      <c r="CI2877" s="6"/>
      <c r="CJ2877" s="6"/>
      <c r="CK2877" s="6"/>
      <c r="CL2877" s="6"/>
      <c r="CM2877" s="6"/>
      <c r="CN2877" s="6"/>
      <c r="CO2877" s="6"/>
      <c r="CP2877" s="6"/>
      <c r="CQ2877" s="6"/>
      <c r="CR2877" s="6"/>
      <c r="CS2877" s="6"/>
      <c r="CT2877" s="6"/>
      <c r="CU2877" s="6"/>
      <c r="CV2877" s="6"/>
      <c r="CW2877" s="6"/>
      <c r="CX2877" s="6"/>
      <c r="CY2877" s="6"/>
      <c r="CZ2877" s="6"/>
      <c r="DA2877" s="6"/>
      <c r="DB2877" s="6"/>
      <c r="DC2877" s="6"/>
      <c r="DD2877" s="6"/>
    </row>
    <row r="2878" spans="1:108" ht="12.75" hidden="1" customHeight="1" outlineLevel="5">
      <c r="A2878" s="104" t="s">
        <v>49</v>
      </c>
      <c r="B2878" s="28">
        <f t="shared" si="165"/>
        <v>1</v>
      </c>
      <c r="C2878" s="11"/>
      <c r="D2878" s="18" t="str">
        <f t="shared" si="166"/>
        <v>&lt;OutputFlag&gt;1&lt;/OutputFlag&gt;</v>
      </c>
      <c r="F2878" s="6"/>
      <c r="G2878" s="6"/>
      <c r="H2878" s="6"/>
      <c r="I2878" s="6"/>
      <c r="J2878" s="6"/>
      <c r="K2878" s="6"/>
      <c r="L2878" s="6"/>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c r="BU2878" s="6"/>
      <c r="BV2878" s="6"/>
      <c r="BW2878" s="6"/>
      <c r="BX2878" s="6"/>
      <c r="BY2878" s="6"/>
      <c r="BZ2878" s="6"/>
      <c r="CA2878" s="6"/>
      <c r="CB2878" s="6"/>
      <c r="CC2878" s="6"/>
      <c r="CD2878" s="6"/>
      <c r="CE2878" s="6"/>
      <c r="CF2878" s="6"/>
      <c r="CG2878" s="6"/>
      <c r="CH2878" s="6"/>
      <c r="CI2878" s="6"/>
      <c r="CJ2878" s="6"/>
      <c r="CK2878" s="6"/>
      <c r="CL2878" s="6"/>
      <c r="CM2878" s="6"/>
      <c r="CN2878" s="6"/>
      <c r="CO2878" s="6"/>
      <c r="CP2878" s="6"/>
      <c r="CQ2878" s="6"/>
      <c r="CR2878" s="6"/>
      <c r="CS2878" s="6"/>
      <c r="CT2878" s="6"/>
      <c r="CU2878" s="6"/>
      <c r="CV2878" s="6"/>
      <c r="CW2878" s="6"/>
      <c r="CX2878" s="6"/>
      <c r="CY2878" s="6"/>
      <c r="CZ2878" s="6"/>
      <c r="DA2878" s="6"/>
      <c r="DB2878" s="6"/>
      <c r="DC2878" s="6"/>
      <c r="DD2878" s="6"/>
    </row>
    <row r="2879" spans="1:108" ht="12.75" hidden="1" customHeight="1" outlineLevel="5">
      <c r="A2879" s="104" t="s">
        <v>50</v>
      </c>
      <c r="B2879" s="28">
        <f t="shared" si="165"/>
        <v>0</v>
      </c>
      <c r="C2879" s="11"/>
      <c r="D2879" s="18" t="str">
        <f t="shared" si="166"/>
        <v>&lt;OutputNameID&gt;0&lt;/OutputNameID&gt;</v>
      </c>
      <c r="F2879" s="6"/>
      <c r="G2879" s="6"/>
      <c r="H2879" s="6"/>
      <c r="I2879" s="6"/>
      <c r="J2879" s="6"/>
      <c r="K2879" s="6"/>
      <c r="L2879" s="6"/>
      <c r="M2879" s="6"/>
      <c r="N2879" s="6"/>
      <c r="O2879" s="6"/>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c r="BU2879" s="6"/>
      <c r="BV2879" s="6"/>
      <c r="BW2879" s="6"/>
      <c r="BX2879" s="6"/>
      <c r="BY2879" s="6"/>
      <c r="BZ2879" s="6"/>
      <c r="CA2879" s="6"/>
      <c r="CB2879" s="6"/>
      <c r="CC2879" s="6"/>
      <c r="CD2879" s="6"/>
      <c r="CE2879" s="6"/>
      <c r="CF2879" s="6"/>
      <c r="CG2879" s="6"/>
      <c r="CH2879" s="6"/>
      <c r="CI2879" s="6"/>
      <c r="CJ2879" s="6"/>
      <c r="CK2879" s="6"/>
      <c r="CL2879" s="6"/>
      <c r="CM2879" s="6"/>
      <c r="CN2879" s="6"/>
      <c r="CO2879" s="6"/>
      <c r="CP2879" s="6"/>
      <c r="CQ2879" s="6"/>
      <c r="CR2879" s="6"/>
      <c r="CS2879" s="6"/>
      <c r="CT2879" s="6"/>
      <c r="CU2879" s="6"/>
      <c r="CV2879" s="6"/>
      <c r="CW2879" s="6"/>
      <c r="CX2879" s="6"/>
      <c r="CY2879" s="6"/>
      <c r="CZ2879" s="6"/>
      <c r="DA2879" s="6"/>
      <c r="DB2879" s="6"/>
      <c r="DC2879" s="6"/>
      <c r="DD2879" s="6"/>
    </row>
    <row r="2880" spans="1:108" ht="12.75" hidden="1" customHeight="1" outlineLevel="5">
      <c r="A2880" s="104" t="s">
        <v>51</v>
      </c>
      <c r="B2880" s="28">
        <f t="shared" si="165"/>
        <v>1</v>
      </c>
      <c r="C2880" s="11"/>
      <c r="D2880" s="18" t="str">
        <f t="shared" si="166"/>
        <v>&lt;DisplayChildrenFlag&gt;1&lt;/DisplayChildrenFlag&gt;</v>
      </c>
      <c r="F2880" s="6"/>
      <c r="G2880" s="6"/>
      <c r="H2880" s="6"/>
      <c r="I2880" s="6"/>
      <c r="J2880" s="6"/>
      <c r="K2880" s="6"/>
      <c r="L2880" s="6"/>
      <c r="M2880" s="6"/>
      <c r="N2880" s="6"/>
      <c r="O2880" s="6"/>
      <c r="P2880" s="6"/>
      <c r="Q2880" s="6"/>
      <c r="R2880" s="6"/>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c r="BU2880" s="6"/>
      <c r="BV2880" s="6"/>
      <c r="BW2880" s="6"/>
      <c r="BX2880" s="6"/>
      <c r="BY2880" s="6"/>
      <c r="BZ2880" s="6"/>
      <c r="CA2880" s="6"/>
      <c r="CB2880" s="6"/>
      <c r="CC2880" s="6"/>
      <c r="CD2880" s="6"/>
      <c r="CE2880" s="6"/>
      <c r="CF2880" s="6"/>
      <c r="CG2880" s="6"/>
      <c r="CH2880" s="6"/>
      <c r="CI2880" s="6"/>
      <c r="CJ2880" s="6"/>
      <c r="CK2880" s="6"/>
      <c r="CL2880" s="6"/>
      <c r="CM2880" s="6"/>
      <c r="CN2880" s="6"/>
      <c r="CO2880" s="6"/>
      <c r="CP2880" s="6"/>
      <c r="CQ2880" s="6"/>
      <c r="CR2880" s="6"/>
      <c r="CS2880" s="6"/>
      <c r="CT2880" s="6"/>
      <c r="CU2880" s="6"/>
      <c r="CV2880" s="6"/>
      <c r="CW2880" s="6"/>
      <c r="CX2880" s="6"/>
      <c r="CY2880" s="6"/>
      <c r="CZ2880" s="6"/>
      <c r="DA2880" s="6"/>
      <c r="DB2880" s="6"/>
      <c r="DC2880" s="6"/>
      <c r="DD2880" s="6"/>
    </row>
    <row r="2881" spans="1:108" ht="12.75" hidden="1" customHeight="1" outlineLevel="5">
      <c r="A2881" s="104" t="s">
        <v>52</v>
      </c>
      <c r="B2881" s="28">
        <f t="shared" si="165"/>
        <v>21</v>
      </c>
      <c r="C2881" s="11"/>
      <c r="D2881" s="18" t="str">
        <f t="shared" si="166"/>
        <v>&lt;NumPnts&gt;21&lt;/NumPnts&gt;</v>
      </c>
      <c r="F2881" s="6"/>
      <c r="G2881" s="6"/>
      <c r="H2881" s="6"/>
      <c r="I2881" s="6"/>
      <c r="J2881" s="6"/>
      <c r="K2881" s="6"/>
      <c r="L2881" s="6"/>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c r="BU2881" s="6"/>
      <c r="BV2881" s="6"/>
      <c r="BW2881" s="6"/>
      <c r="BX2881" s="6"/>
      <c r="BY2881" s="6"/>
      <c r="BZ2881" s="6"/>
      <c r="CA2881" s="6"/>
      <c r="CB2881" s="6"/>
      <c r="CC2881" s="6"/>
      <c r="CD2881" s="6"/>
      <c r="CE2881" s="6"/>
      <c r="CF2881" s="6"/>
      <c r="CG2881" s="6"/>
      <c r="CH2881" s="6"/>
      <c r="CI2881" s="6"/>
      <c r="CJ2881" s="6"/>
      <c r="CK2881" s="6"/>
      <c r="CL2881" s="6"/>
      <c r="CM2881" s="6"/>
      <c r="CN2881" s="6"/>
      <c r="CO2881" s="6"/>
      <c r="CP2881" s="6"/>
      <c r="CQ2881" s="6"/>
      <c r="CR2881" s="6"/>
      <c r="CS2881" s="6"/>
      <c r="CT2881" s="6"/>
      <c r="CU2881" s="6"/>
      <c r="CV2881" s="6"/>
      <c r="CW2881" s="6"/>
      <c r="CX2881" s="6"/>
      <c r="CY2881" s="6"/>
      <c r="CZ2881" s="6"/>
      <c r="DA2881" s="6"/>
      <c r="DB2881" s="6"/>
      <c r="DC2881" s="6"/>
      <c r="DD2881" s="6"/>
    </row>
    <row r="2882" spans="1:108" ht="12.75" hidden="1" customHeight="1" outlineLevel="5">
      <c r="A2882" s="104" t="s">
        <v>53</v>
      </c>
      <c r="B2882" s="28">
        <f t="shared" si="165"/>
        <v>11</v>
      </c>
      <c r="C2882" s="11"/>
      <c r="D2882" s="18" t="str">
        <f t="shared" si="166"/>
        <v>&lt;NumXsecs&gt;11&lt;/NumXsecs&gt;</v>
      </c>
      <c r="F2882" s="6"/>
      <c r="G2882" s="6"/>
      <c r="H2882" s="6"/>
      <c r="I2882" s="6"/>
      <c r="J2882" s="6"/>
      <c r="K2882" s="6"/>
      <c r="L2882" s="6"/>
      <c r="M2882" s="6"/>
      <c r="N2882" s="6"/>
      <c r="O2882" s="6"/>
      <c r="P2882" s="6"/>
      <c r="Q2882" s="6"/>
      <c r="R2882" s="6"/>
      <c r="S2882" s="6"/>
      <c r="T2882" s="6"/>
      <c r="U2882" s="6"/>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c r="BU2882" s="6"/>
      <c r="BV2882" s="6"/>
      <c r="BW2882" s="6"/>
      <c r="BX2882" s="6"/>
      <c r="BY2882" s="6"/>
      <c r="BZ2882" s="6"/>
      <c r="CA2882" s="6"/>
      <c r="CB2882" s="6"/>
      <c r="CC2882" s="6"/>
      <c r="CD2882" s="6"/>
      <c r="CE2882" s="6"/>
      <c r="CF2882" s="6"/>
      <c r="CG2882" s="6"/>
      <c r="CH2882" s="6"/>
      <c r="CI2882" s="6"/>
      <c r="CJ2882" s="6"/>
      <c r="CK2882" s="6"/>
      <c r="CL2882" s="6"/>
      <c r="CM2882" s="6"/>
      <c r="CN2882" s="6"/>
      <c r="CO2882" s="6"/>
      <c r="CP2882" s="6"/>
      <c r="CQ2882" s="6"/>
      <c r="CR2882" s="6"/>
      <c r="CS2882" s="6"/>
      <c r="CT2882" s="6"/>
      <c r="CU2882" s="6"/>
      <c r="CV2882" s="6"/>
      <c r="CW2882" s="6"/>
      <c r="CX2882" s="6"/>
      <c r="CY2882" s="6"/>
      <c r="CZ2882" s="6"/>
      <c r="DA2882" s="6"/>
      <c r="DB2882" s="6"/>
      <c r="DC2882" s="6"/>
      <c r="DD2882" s="6"/>
    </row>
    <row r="2883" spans="1:108" ht="12.75" hidden="1" customHeight="1" outlineLevel="5">
      <c r="A2883" s="104" t="s">
        <v>54</v>
      </c>
      <c r="B2883" s="28">
        <f t="shared" si="165"/>
        <v>0</v>
      </c>
      <c r="C2883" s="11"/>
      <c r="D2883" s="18" t="str">
        <f t="shared" si="166"/>
        <v>&lt;MassPrior&gt;0&lt;/MassPrior&gt;</v>
      </c>
      <c r="F2883" s="6"/>
      <c r="G2883" s="6"/>
      <c r="H2883" s="6"/>
      <c r="I2883" s="6"/>
      <c r="J2883" s="6"/>
      <c r="K2883" s="6"/>
      <c r="L2883" s="6"/>
      <c r="M2883" s="6"/>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c r="BU2883" s="6"/>
      <c r="BV2883" s="6"/>
      <c r="BW2883" s="6"/>
      <c r="BX2883" s="6"/>
      <c r="BY2883" s="6"/>
      <c r="BZ2883" s="6"/>
      <c r="CA2883" s="6"/>
      <c r="CB2883" s="6"/>
      <c r="CC2883" s="6"/>
      <c r="CD2883" s="6"/>
      <c r="CE2883" s="6"/>
      <c r="CF2883" s="6"/>
      <c r="CG2883" s="6"/>
      <c r="CH2883" s="6"/>
      <c r="CI2883" s="6"/>
      <c r="CJ2883" s="6"/>
      <c r="CK2883" s="6"/>
      <c r="CL2883" s="6"/>
      <c r="CM2883" s="6"/>
      <c r="CN2883" s="6"/>
      <c r="CO2883" s="6"/>
      <c r="CP2883" s="6"/>
      <c r="CQ2883" s="6"/>
      <c r="CR2883" s="6"/>
      <c r="CS2883" s="6"/>
      <c r="CT2883" s="6"/>
      <c r="CU2883" s="6"/>
      <c r="CV2883" s="6"/>
      <c r="CW2883" s="6"/>
      <c r="CX2883" s="6"/>
      <c r="CY2883" s="6"/>
      <c r="CZ2883" s="6"/>
      <c r="DA2883" s="6"/>
      <c r="DB2883" s="6"/>
      <c r="DC2883" s="6"/>
      <c r="DD2883" s="6"/>
    </row>
    <row r="2884" spans="1:108" ht="12.75" hidden="1" customHeight="1" outlineLevel="5">
      <c r="A2884" s="104" t="s">
        <v>55</v>
      </c>
      <c r="B2884" s="28">
        <f t="shared" si="165"/>
        <v>0</v>
      </c>
      <c r="C2884" s="11"/>
      <c r="D2884" s="18" t="str">
        <f t="shared" si="166"/>
        <v>&lt;ShellFlag&gt;0&lt;/ShellFlag&gt;</v>
      </c>
      <c r="F2884" s="6"/>
      <c r="G2884" s="6"/>
      <c r="H2884" s="6"/>
      <c r="I2884" s="6"/>
      <c r="J2884" s="6"/>
      <c r="K2884" s="6"/>
      <c r="L2884" s="6"/>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c r="BU2884" s="6"/>
      <c r="BV2884" s="6"/>
      <c r="BW2884" s="6"/>
      <c r="BX2884" s="6"/>
      <c r="BY2884" s="6"/>
      <c r="BZ2884" s="6"/>
      <c r="CA2884" s="6"/>
      <c r="CB2884" s="6"/>
      <c r="CC2884" s="6"/>
      <c r="CD2884" s="6"/>
      <c r="CE2884" s="6"/>
      <c r="CF2884" s="6"/>
      <c r="CG2884" s="6"/>
      <c r="CH2884" s="6"/>
      <c r="CI2884" s="6"/>
      <c r="CJ2884" s="6"/>
      <c r="CK2884" s="6"/>
      <c r="CL2884" s="6"/>
      <c r="CM2884" s="6"/>
      <c r="CN2884" s="6"/>
      <c r="CO2884" s="6"/>
      <c r="CP2884" s="6"/>
      <c r="CQ2884" s="6"/>
      <c r="CR2884" s="6"/>
      <c r="CS2884" s="6"/>
      <c r="CT2884" s="6"/>
      <c r="CU2884" s="6"/>
      <c r="CV2884" s="6"/>
      <c r="CW2884" s="6"/>
      <c r="CX2884" s="6"/>
      <c r="CY2884" s="6"/>
      <c r="CZ2884" s="6"/>
      <c r="DA2884" s="6"/>
      <c r="DB2884" s="6"/>
      <c r="DC2884" s="6"/>
      <c r="DD2884" s="6"/>
    </row>
    <row r="2885" spans="1:108" ht="12.75" hidden="1" customHeight="1" outlineLevel="5">
      <c r="A2885" s="104" t="s">
        <v>56</v>
      </c>
      <c r="B2885" s="28">
        <f t="shared" si="165"/>
        <v>0</v>
      </c>
      <c r="C2885" s="11"/>
      <c r="D2885" s="18" t="str">
        <f t="shared" ref="D2885:D2899" si="167">"&lt;" &amp; A2885 &amp; "&gt;" &amp; TEXT(B2885,"0.000000") &amp; "&lt;/" &amp; A2885 &amp; "&gt;"</f>
        <v>&lt;Tran_X&gt;0.000000&lt;/Tran_X&gt;</v>
      </c>
      <c r="F2885" s="6"/>
      <c r="G2885" s="6"/>
      <c r="H2885" s="6"/>
      <c r="I2885" s="6"/>
      <c r="J2885" s="6"/>
      <c r="K2885" s="6"/>
      <c r="L2885" s="6"/>
      <c r="M2885" s="6"/>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c r="BU2885" s="6"/>
      <c r="BV2885" s="6"/>
      <c r="BW2885" s="6"/>
      <c r="BX2885" s="6"/>
      <c r="BY2885" s="6"/>
      <c r="BZ2885" s="6"/>
      <c r="CA2885" s="6"/>
      <c r="CB2885" s="6"/>
      <c r="CC2885" s="6"/>
      <c r="CD2885" s="6"/>
      <c r="CE2885" s="6"/>
      <c r="CF2885" s="6"/>
      <c r="CG2885" s="6"/>
      <c r="CH2885" s="6"/>
      <c r="CI2885" s="6"/>
      <c r="CJ2885" s="6"/>
      <c r="CK2885" s="6"/>
      <c r="CL2885" s="6"/>
      <c r="CM2885" s="6"/>
      <c r="CN2885" s="6"/>
      <c r="CO2885" s="6"/>
      <c r="CP2885" s="6"/>
      <c r="CQ2885" s="6"/>
      <c r="CR2885" s="6"/>
      <c r="CS2885" s="6"/>
      <c r="CT2885" s="6"/>
      <c r="CU2885" s="6"/>
      <c r="CV2885" s="6"/>
      <c r="CW2885" s="6"/>
      <c r="CX2885" s="6"/>
      <c r="CY2885" s="6"/>
      <c r="CZ2885" s="6"/>
      <c r="DA2885" s="6"/>
      <c r="DB2885" s="6"/>
      <c r="DC2885" s="6"/>
      <c r="DD2885" s="6"/>
    </row>
    <row r="2886" spans="1:108" ht="12.75" hidden="1" customHeight="1" outlineLevel="5">
      <c r="A2886" s="104" t="s">
        <v>57</v>
      </c>
      <c r="B2886" s="28">
        <f t="shared" si="165"/>
        <v>0</v>
      </c>
      <c r="C2886" s="11"/>
      <c r="D2886" s="18" t="str">
        <f t="shared" si="167"/>
        <v>&lt;Tran_Y&gt;0.000000&lt;/Tran_Y&gt;</v>
      </c>
      <c r="F2886" s="6"/>
      <c r="G2886" s="6"/>
      <c r="H2886" s="6"/>
      <c r="I2886" s="6"/>
      <c r="J2886" s="6"/>
      <c r="K2886" s="6"/>
      <c r="L2886" s="6"/>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c r="BU2886" s="6"/>
      <c r="BV2886" s="6"/>
      <c r="BW2886" s="6"/>
      <c r="BX2886" s="6"/>
      <c r="BY2886" s="6"/>
      <c r="BZ2886" s="6"/>
      <c r="CA2886" s="6"/>
      <c r="CB2886" s="6"/>
      <c r="CC2886" s="6"/>
      <c r="CD2886" s="6"/>
      <c r="CE2886" s="6"/>
      <c r="CF2886" s="6"/>
      <c r="CG2886" s="6"/>
      <c r="CH2886" s="6"/>
      <c r="CI2886" s="6"/>
      <c r="CJ2886" s="6"/>
      <c r="CK2886" s="6"/>
      <c r="CL2886" s="6"/>
      <c r="CM2886" s="6"/>
      <c r="CN2886" s="6"/>
      <c r="CO2886" s="6"/>
      <c r="CP2886" s="6"/>
      <c r="CQ2886" s="6"/>
      <c r="CR2886" s="6"/>
      <c r="CS2886" s="6"/>
      <c r="CT2886" s="6"/>
      <c r="CU2886" s="6"/>
      <c r="CV2886" s="6"/>
      <c r="CW2886" s="6"/>
      <c r="CX2886" s="6"/>
      <c r="CY2886" s="6"/>
      <c r="CZ2886" s="6"/>
      <c r="DA2886" s="6"/>
      <c r="DB2886" s="6"/>
      <c r="DC2886" s="6"/>
      <c r="DD2886" s="6"/>
    </row>
    <row r="2887" spans="1:108" ht="12.75" hidden="1" customHeight="1" outlineLevel="5">
      <c r="A2887" s="104" t="s">
        <v>58</v>
      </c>
      <c r="B2887" s="28">
        <f t="shared" si="165"/>
        <v>0</v>
      </c>
      <c r="C2887" s="11"/>
      <c r="D2887" s="18" t="str">
        <f t="shared" si="167"/>
        <v>&lt;Tran_Z&gt;0.000000&lt;/Tran_Z&gt;</v>
      </c>
      <c r="F2887" s="6"/>
      <c r="G2887" s="6"/>
      <c r="H2887" s="6"/>
      <c r="I2887" s="6"/>
      <c r="J2887" s="6"/>
      <c r="K2887" s="6"/>
      <c r="L2887" s="6"/>
      <c r="M2887" s="6"/>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c r="BU2887" s="6"/>
      <c r="BV2887" s="6"/>
      <c r="BW2887" s="6"/>
      <c r="BX2887" s="6"/>
      <c r="BY2887" s="6"/>
      <c r="BZ2887" s="6"/>
      <c r="CA2887" s="6"/>
      <c r="CB2887" s="6"/>
      <c r="CC2887" s="6"/>
      <c r="CD2887" s="6"/>
      <c r="CE2887" s="6"/>
      <c r="CF2887" s="6"/>
      <c r="CG2887" s="6"/>
      <c r="CH2887" s="6"/>
      <c r="CI2887" s="6"/>
      <c r="CJ2887" s="6"/>
      <c r="CK2887" s="6"/>
      <c r="CL2887" s="6"/>
      <c r="CM2887" s="6"/>
      <c r="CN2887" s="6"/>
      <c r="CO2887" s="6"/>
      <c r="CP2887" s="6"/>
      <c r="CQ2887" s="6"/>
      <c r="CR2887" s="6"/>
      <c r="CS2887" s="6"/>
      <c r="CT2887" s="6"/>
      <c r="CU2887" s="6"/>
      <c r="CV2887" s="6"/>
      <c r="CW2887" s="6"/>
      <c r="CX2887" s="6"/>
      <c r="CY2887" s="6"/>
      <c r="CZ2887" s="6"/>
      <c r="DA2887" s="6"/>
      <c r="DB2887" s="6"/>
      <c r="DC2887" s="6"/>
      <c r="DD2887" s="6"/>
    </row>
    <row r="2888" spans="1:108" ht="12.75" hidden="1" customHeight="1" outlineLevel="5">
      <c r="A2888" s="104" t="s">
        <v>59</v>
      </c>
      <c r="B2888" s="28">
        <f t="shared" si="165"/>
        <v>0</v>
      </c>
      <c r="C2888" s="11"/>
      <c r="D2888" s="18" t="str">
        <f t="shared" si="167"/>
        <v>&lt;TranRel_X&gt;0.000000&lt;/TranRel_X&gt;</v>
      </c>
      <c r="F2888" s="6"/>
      <c r="G2888" s="6"/>
      <c r="H2888" s="6"/>
      <c r="I2888" s="6"/>
      <c r="J2888" s="6"/>
      <c r="K2888" s="6"/>
      <c r="L2888" s="6"/>
      <c r="M2888" s="6"/>
      <c r="N2888" s="6"/>
      <c r="O2888" s="6"/>
      <c r="P2888" s="6"/>
      <c r="Q2888" s="6"/>
      <c r="R2888" s="6"/>
      <c r="S2888" s="6"/>
      <c r="T2888" s="6"/>
      <c r="U2888" s="6"/>
      <c r="V2888" s="6"/>
      <c r="W2888" s="6"/>
      <c r="X2888" s="6"/>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c r="BU2888" s="6"/>
      <c r="BV2888" s="6"/>
      <c r="BW2888" s="6"/>
      <c r="BX2888" s="6"/>
      <c r="BY2888" s="6"/>
      <c r="BZ2888" s="6"/>
      <c r="CA2888" s="6"/>
      <c r="CB2888" s="6"/>
      <c r="CC2888" s="6"/>
      <c r="CD2888" s="6"/>
      <c r="CE2888" s="6"/>
      <c r="CF2888" s="6"/>
      <c r="CG2888" s="6"/>
      <c r="CH2888" s="6"/>
      <c r="CI2888" s="6"/>
      <c r="CJ2888" s="6"/>
      <c r="CK2888" s="6"/>
      <c r="CL2888" s="6"/>
      <c r="CM2888" s="6"/>
      <c r="CN2888" s="6"/>
      <c r="CO2888" s="6"/>
      <c r="CP2888" s="6"/>
      <c r="CQ2888" s="6"/>
      <c r="CR2888" s="6"/>
      <c r="CS2888" s="6"/>
      <c r="CT2888" s="6"/>
      <c r="CU2888" s="6"/>
      <c r="CV2888" s="6"/>
      <c r="CW2888" s="6"/>
      <c r="CX2888" s="6"/>
      <c r="CY2888" s="6"/>
      <c r="CZ2888" s="6"/>
      <c r="DA2888" s="6"/>
      <c r="DB2888" s="6"/>
      <c r="DC2888" s="6"/>
      <c r="DD2888" s="6"/>
    </row>
    <row r="2889" spans="1:108" ht="12.75" hidden="1" customHeight="1" outlineLevel="5">
      <c r="A2889" s="104" t="s">
        <v>60</v>
      </c>
      <c r="B2889" s="28">
        <f t="shared" si="165"/>
        <v>0</v>
      </c>
      <c r="C2889" s="11"/>
      <c r="D2889" s="18" t="str">
        <f t="shared" si="167"/>
        <v>&lt;TranRel_Y&gt;0.000000&lt;/TranRel_Y&gt;</v>
      </c>
      <c r="F2889" s="6"/>
      <c r="G2889" s="6"/>
      <c r="H2889" s="6"/>
      <c r="I2889" s="6"/>
      <c r="J2889" s="6"/>
      <c r="K2889" s="6"/>
      <c r="L2889" s="6"/>
      <c r="M2889" s="6"/>
      <c r="N2889" s="6"/>
      <c r="O2889" s="6"/>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c r="BU2889" s="6"/>
      <c r="BV2889" s="6"/>
      <c r="BW2889" s="6"/>
      <c r="BX2889" s="6"/>
      <c r="BY2889" s="6"/>
      <c r="BZ2889" s="6"/>
      <c r="CA2889" s="6"/>
      <c r="CB2889" s="6"/>
      <c r="CC2889" s="6"/>
      <c r="CD2889" s="6"/>
      <c r="CE2889" s="6"/>
      <c r="CF2889" s="6"/>
      <c r="CG2889" s="6"/>
      <c r="CH2889" s="6"/>
      <c r="CI2889" s="6"/>
      <c r="CJ2889" s="6"/>
      <c r="CK2889" s="6"/>
      <c r="CL2889" s="6"/>
      <c r="CM2889" s="6"/>
      <c r="CN2889" s="6"/>
      <c r="CO2889" s="6"/>
      <c r="CP2889" s="6"/>
      <c r="CQ2889" s="6"/>
      <c r="CR2889" s="6"/>
      <c r="CS2889" s="6"/>
      <c r="CT2889" s="6"/>
      <c r="CU2889" s="6"/>
      <c r="CV2889" s="6"/>
      <c r="CW2889" s="6"/>
      <c r="CX2889" s="6"/>
      <c r="CY2889" s="6"/>
      <c r="CZ2889" s="6"/>
      <c r="DA2889" s="6"/>
      <c r="DB2889" s="6"/>
      <c r="DC2889" s="6"/>
      <c r="DD2889" s="6"/>
    </row>
    <row r="2890" spans="1:108" ht="12.75" hidden="1" customHeight="1" outlineLevel="5">
      <c r="A2890" s="104" t="s">
        <v>61</v>
      </c>
      <c r="B2890" s="28">
        <f t="shared" si="165"/>
        <v>0</v>
      </c>
      <c r="C2890" s="11"/>
      <c r="D2890" s="18" t="str">
        <f t="shared" si="167"/>
        <v>&lt;TranRel_Z&gt;0.000000&lt;/TranRel_Z&gt;</v>
      </c>
      <c r="F2890" s="6"/>
      <c r="G2890" s="6"/>
      <c r="H2890" s="6"/>
      <c r="I2890" s="6"/>
      <c r="J2890" s="6"/>
      <c r="K2890" s="6"/>
      <c r="L2890" s="6"/>
      <c r="M2890" s="6"/>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c r="BU2890" s="6"/>
      <c r="BV2890" s="6"/>
      <c r="BW2890" s="6"/>
      <c r="BX2890" s="6"/>
      <c r="BY2890" s="6"/>
      <c r="BZ2890" s="6"/>
      <c r="CA2890" s="6"/>
      <c r="CB2890" s="6"/>
      <c r="CC2890" s="6"/>
      <c r="CD2890" s="6"/>
      <c r="CE2890" s="6"/>
      <c r="CF2890" s="6"/>
      <c r="CG2890" s="6"/>
      <c r="CH2890" s="6"/>
      <c r="CI2890" s="6"/>
      <c r="CJ2890" s="6"/>
      <c r="CK2890" s="6"/>
      <c r="CL2890" s="6"/>
      <c r="CM2890" s="6"/>
      <c r="CN2890" s="6"/>
      <c r="CO2890" s="6"/>
      <c r="CP2890" s="6"/>
      <c r="CQ2890" s="6"/>
      <c r="CR2890" s="6"/>
      <c r="CS2890" s="6"/>
      <c r="CT2890" s="6"/>
      <c r="CU2890" s="6"/>
      <c r="CV2890" s="6"/>
      <c r="CW2890" s="6"/>
      <c r="CX2890" s="6"/>
      <c r="CY2890" s="6"/>
      <c r="CZ2890" s="6"/>
      <c r="DA2890" s="6"/>
      <c r="DB2890" s="6"/>
      <c r="DC2890" s="6"/>
      <c r="DD2890" s="6"/>
    </row>
    <row r="2891" spans="1:108" ht="12.75" hidden="1" customHeight="1" outlineLevel="5">
      <c r="A2891" s="104" t="s">
        <v>62</v>
      </c>
      <c r="B2891" s="28">
        <f t="shared" si="165"/>
        <v>0</v>
      </c>
      <c r="C2891" s="11"/>
      <c r="D2891" s="18" t="str">
        <f t="shared" si="167"/>
        <v>&lt;Rot_X&gt;0.000000&lt;/Rot_X&gt;</v>
      </c>
      <c r="F2891" s="6"/>
      <c r="G2891" s="6"/>
      <c r="H2891" s="6"/>
      <c r="I2891" s="6"/>
      <c r="J2891" s="6"/>
      <c r="K2891" s="6"/>
      <c r="L2891" s="6"/>
      <c r="M2891" s="6"/>
      <c r="N2891" s="6"/>
      <c r="O2891" s="6"/>
      <c r="P2891" s="6"/>
      <c r="Q2891" s="6"/>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c r="BU2891" s="6"/>
      <c r="BV2891" s="6"/>
      <c r="BW2891" s="6"/>
      <c r="BX2891" s="6"/>
      <c r="BY2891" s="6"/>
      <c r="BZ2891" s="6"/>
      <c r="CA2891" s="6"/>
      <c r="CB2891" s="6"/>
      <c r="CC2891" s="6"/>
      <c r="CD2891" s="6"/>
      <c r="CE2891" s="6"/>
      <c r="CF2891" s="6"/>
      <c r="CG2891" s="6"/>
      <c r="CH2891" s="6"/>
      <c r="CI2891" s="6"/>
      <c r="CJ2891" s="6"/>
      <c r="CK2891" s="6"/>
      <c r="CL2891" s="6"/>
      <c r="CM2891" s="6"/>
      <c r="CN2891" s="6"/>
      <c r="CO2891" s="6"/>
      <c r="CP2891" s="6"/>
      <c r="CQ2891" s="6"/>
      <c r="CR2891" s="6"/>
      <c r="CS2891" s="6"/>
      <c r="CT2891" s="6"/>
      <c r="CU2891" s="6"/>
      <c r="CV2891" s="6"/>
      <c r="CW2891" s="6"/>
      <c r="CX2891" s="6"/>
      <c r="CY2891" s="6"/>
      <c r="CZ2891" s="6"/>
      <c r="DA2891" s="6"/>
      <c r="DB2891" s="6"/>
      <c r="DC2891" s="6"/>
      <c r="DD2891" s="6"/>
    </row>
    <row r="2892" spans="1:108" ht="12.75" hidden="1" customHeight="1" outlineLevel="5">
      <c r="A2892" s="104" t="s">
        <v>63</v>
      </c>
      <c r="B2892" s="28">
        <f t="shared" si="165"/>
        <v>0</v>
      </c>
      <c r="C2892" s="11"/>
      <c r="D2892" s="18" t="str">
        <f t="shared" si="167"/>
        <v>&lt;Rot_Y&gt;0.000000&lt;/Rot_Y&gt;</v>
      </c>
      <c r="F2892" s="6"/>
      <c r="G2892" s="6"/>
      <c r="H2892" s="6"/>
      <c r="I2892" s="6"/>
      <c r="J2892" s="6"/>
      <c r="K2892" s="6"/>
      <c r="L2892" s="6"/>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c r="BU2892" s="6"/>
      <c r="BV2892" s="6"/>
      <c r="BW2892" s="6"/>
      <c r="BX2892" s="6"/>
      <c r="BY2892" s="6"/>
      <c r="BZ2892" s="6"/>
      <c r="CA2892" s="6"/>
      <c r="CB2892" s="6"/>
      <c r="CC2892" s="6"/>
      <c r="CD2892" s="6"/>
      <c r="CE2892" s="6"/>
      <c r="CF2892" s="6"/>
      <c r="CG2892" s="6"/>
      <c r="CH2892" s="6"/>
      <c r="CI2892" s="6"/>
      <c r="CJ2892" s="6"/>
      <c r="CK2892" s="6"/>
      <c r="CL2892" s="6"/>
      <c r="CM2892" s="6"/>
      <c r="CN2892" s="6"/>
      <c r="CO2892" s="6"/>
      <c r="CP2892" s="6"/>
      <c r="CQ2892" s="6"/>
      <c r="CR2892" s="6"/>
      <c r="CS2892" s="6"/>
      <c r="CT2892" s="6"/>
      <c r="CU2892" s="6"/>
      <c r="CV2892" s="6"/>
      <c r="CW2892" s="6"/>
      <c r="CX2892" s="6"/>
      <c r="CY2892" s="6"/>
      <c r="CZ2892" s="6"/>
      <c r="DA2892" s="6"/>
      <c r="DB2892" s="6"/>
      <c r="DC2892" s="6"/>
      <c r="DD2892" s="6"/>
    </row>
    <row r="2893" spans="1:108" ht="12.75" hidden="1" customHeight="1" outlineLevel="5">
      <c r="A2893" s="104" t="s">
        <v>64</v>
      </c>
      <c r="B2893" s="28">
        <f t="shared" si="165"/>
        <v>0</v>
      </c>
      <c r="C2893" s="11"/>
      <c r="D2893" s="18" t="str">
        <f t="shared" si="167"/>
        <v>&lt;Rot_Z&gt;0.000000&lt;/Rot_Z&gt;</v>
      </c>
      <c r="F2893" s="6"/>
      <c r="G2893" s="6"/>
      <c r="H2893" s="6"/>
      <c r="I2893" s="6"/>
      <c r="J2893" s="6"/>
      <c r="K2893" s="6"/>
      <c r="L2893" s="6"/>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c r="BU2893" s="6"/>
      <c r="BV2893" s="6"/>
      <c r="BW2893" s="6"/>
      <c r="BX2893" s="6"/>
      <c r="BY2893" s="6"/>
      <c r="BZ2893" s="6"/>
      <c r="CA2893" s="6"/>
      <c r="CB2893" s="6"/>
      <c r="CC2893" s="6"/>
      <c r="CD2893" s="6"/>
      <c r="CE2893" s="6"/>
      <c r="CF2893" s="6"/>
      <c r="CG2893" s="6"/>
      <c r="CH2893" s="6"/>
      <c r="CI2893" s="6"/>
      <c r="CJ2893" s="6"/>
      <c r="CK2893" s="6"/>
      <c r="CL2893" s="6"/>
      <c r="CM2893" s="6"/>
      <c r="CN2893" s="6"/>
      <c r="CO2893" s="6"/>
      <c r="CP2893" s="6"/>
      <c r="CQ2893" s="6"/>
      <c r="CR2893" s="6"/>
      <c r="CS2893" s="6"/>
      <c r="CT2893" s="6"/>
      <c r="CU2893" s="6"/>
      <c r="CV2893" s="6"/>
      <c r="CW2893" s="6"/>
      <c r="CX2893" s="6"/>
      <c r="CY2893" s="6"/>
      <c r="CZ2893" s="6"/>
      <c r="DA2893" s="6"/>
      <c r="DB2893" s="6"/>
      <c r="DC2893" s="6"/>
      <c r="DD2893" s="6"/>
    </row>
    <row r="2894" spans="1:108" ht="12.75" hidden="1" customHeight="1" outlineLevel="5">
      <c r="A2894" s="104" t="s">
        <v>65</v>
      </c>
      <c r="B2894" s="28">
        <f t="shared" si="165"/>
        <v>0</v>
      </c>
      <c r="C2894" s="11"/>
      <c r="D2894" s="18" t="str">
        <f t="shared" si="167"/>
        <v>&lt;RotRel_X&gt;0.000000&lt;/RotRel_X&gt;</v>
      </c>
      <c r="F2894" s="6"/>
      <c r="G2894" s="6"/>
      <c r="H2894" s="6"/>
      <c r="I2894" s="6"/>
      <c r="J2894" s="6"/>
      <c r="K2894" s="6"/>
      <c r="L2894" s="6"/>
      <c r="M2894" s="6"/>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c r="BU2894" s="6"/>
      <c r="BV2894" s="6"/>
      <c r="BW2894" s="6"/>
      <c r="BX2894" s="6"/>
      <c r="BY2894" s="6"/>
      <c r="BZ2894" s="6"/>
      <c r="CA2894" s="6"/>
      <c r="CB2894" s="6"/>
      <c r="CC2894" s="6"/>
      <c r="CD2894" s="6"/>
      <c r="CE2894" s="6"/>
      <c r="CF2894" s="6"/>
      <c r="CG2894" s="6"/>
      <c r="CH2894" s="6"/>
      <c r="CI2894" s="6"/>
      <c r="CJ2894" s="6"/>
      <c r="CK2894" s="6"/>
      <c r="CL2894" s="6"/>
      <c r="CM2894" s="6"/>
      <c r="CN2894" s="6"/>
      <c r="CO2894" s="6"/>
      <c r="CP2894" s="6"/>
      <c r="CQ2894" s="6"/>
      <c r="CR2894" s="6"/>
      <c r="CS2894" s="6"/>
      <c r="CT2894" s="6"/>
      <c r="CU2894" s="6"/>
      <c r="CV2894" s="6"/>
      <c r="CW2894" s="6"/>
      <c r="CX2894" s="6"/>
      <c r="CY2894" s="6"/>
      <c r="CZ2894" s="6"/>
      <c r="DA2894" s="6"/>
      <c r="DB2894" s="6"/>
      <c r="DC2894" s="6"/>
      <c r="DD2894" s="6"/>
    </row>
    <row r="2895" spans="1:108" ht="12.75" hidden="1" customHeight="1" outlineLevel="5">
      <c r="A2895" s="104" t="s">
        <v>66</v>
      </c>
      <c r="B2895" s="28">
        <f t="shared" si="165"/>
        <v>0</v>
      </c>
      <c r="C2895" s="11"/>
      <c r="D2895" s="18" t="str">
        <f t="shared" si="167"/>
        <v>&lt;RotRel_Y&gt;0.000000&lt;/RotRel_Y&gt;</v>
      </c>
      <c r="F2895" s="6"/>
      <c r="G2895" s="6"/>
      <c r="H2895" s="6"/>
      <c r="I2895" s="6"/>
      <c r="J2895" s="6"/>
      <c r="K2895" s="6"/>
      <c r="L2895" s="6"/>
      <c r="M2895" s="6"/>
      <c r="N2895" s="6"/>
      <c r="O2895" s="6"/>
      <c r="P2895" s="6"/>
      <c r="Q2895" s="6"/>
      <c r="R2895" s="6"/>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c r="BU2895" s="6"/>
      <c r="BV2895" s="6"/>
      <c r="BW2895" s="6"/>
      <c r="BX2895" s="6"/>
      <c r="BY2895" s="6"/>
      <c r="BZ2895" s="6"/>
      <c r="CA2895" s="6"/>
      <c r="CB2895" s="6"/>
      <c r="CC2895" s="6"/>
      <c r="CD2895" s="6"/>
      <c r="CE2895" s="6"/>
      <c r="CF2895" s="6"/>
      <c r="CG2895" s="6"/>
      <c r="CH2895" s="6"/>
      <c r="CI2895" s="6"/>
      <c r="CJ2895" s="6"/>
      <c r="CK2895" s="6"/>
      <c r="CL2895" s="6"/>
      <c r="CM2895" s="6"/>
      <c r="CN2895" s="6"/>
      <c r="CO2895" s="6"/>
      <c r="CP2895" s="6"/>
      <c r="CQ2895" s="6"/>
      <c r="CR2895" s="6"/>
      <c r="CS2895" s="6"/>
      <c r="CT2895" s="6"/>
      <c r="CU2895" s="6"/>
      <c r="CV2895" s="6"/>
      <c r="CW2895" s="6"/>
      <c r="CX2895" s="6"/>
      <c r="CY2895" s="6"/>
      <c r="CZ2895" s="6"/>
      <c r="DA2895" s="6"/>
      <c r="DB2895" s="6"/>
      <c r="DC2895" s="6"/>
      <c r="DD2895" s="6"/>
    </row>
    <row r="2896" spans="1:108" ht="12.75" hidden="1" customHeight="1" outlineLevel="5">
      <c r="A2896" s="104" t="s">
        <v>67</v>
      </c>
      <c r="B2896" s="28">
        <f t="shared" si="165"/>
        <v>0</v>
      </c>
      <c r="C2896" s="11"/>
      <c r="D2896" s="18" t="str">
        <f t="shared" si="167"/>
        <v>&lt;RotRel_Z&gt;0.000000&lt;/RotRel_Z&gt;</v>
      </c>
      <c r="F2896" s="6"/>
      <c r="G2896" s="6"/>
      <c r="H2896" s="6"/>
      <c r="I2896" s="6"/>
      <c r="J2896" s="6"/>
      <c r="K2896" s="6"/>
      <c r="L2896" s="6"/>
      <c r="M2896" s="6"/>
      <c r="N2896" s="6"/>
      <c r="O2896" s="6"/>
      <c r="P2896" s="6"/>
      <c r="Q2896" s="6"/>
      <c r="R2896" s="6"/>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c r="BU2896" s="6"/>
      <c r="BV2896" s="6"/>
      <c r="BW2896" s="6"/>
      <c r="BX2896" s="6"/>
      <c r="BY2896" s="6"/>
      <c r="BZ2896" s="6"/>
      <c r="CA2896" s="6"/>
      <c r="CB2896" s="6"/>
      <c r="CC2896" s="6"/>
      <c r="CD2896" s="6"/>
      <c r="CE2896" s="6"/>
      <c r="CF2896" s="6"/>
      <c r="CG2896" s="6"/>
      <c r="CH2896" s="6"/>
      <c r="CI2896" s="6"/>
      <c r="CJ2896" s="6"/>
      <c r="CK2896" s="6"/>
      <c r="CL2896" s="6"/>
      <c r="CM2896" s="6"/>
      <c r="CN2896" s="6"/>
      <c r="CO2896" s="6"/>
      <c r="CP2896" s="6"/>
      <c r="CQ2896" s="6"/>
      <c r="CR2896" s="6"/>
      <c r="CS2896" s="6"/>
      <c r="CT2896" s="6"/>
      <c r="CU2896" s="6"/>
      <c r="CV2896" s="6"/>
      <c r="CW2896" s="6"/>
      <c r="CX2896" s="6"/>
      <c r="CY2896" s="6"/>
      <c r="CZ2896" s="6"/>
      <c r="DA2896" s="6"/>
      <c r="DB2896" s="6"/>
      <c r="DC2896" s="6"/>
      <c r="DD2896" s="6"/>
    </row>
    <row r="2897" spans="1:108" ht="12.75" hidden="1" customHeight="1" outlineLevel="5">
      <c r="A2897" s="104" t="s">
        <v>68</v>
      </c>
      <c r="B2897" s="28">
        <f t="shared" si="165"/>
        <v>0</v>
      </c>
      <c r="C2897" s="11"/>
      <c r="D2897" s="18" t="str">
        <f t="shared" si="167"/>
        <v>&lt;Origin&gt;0.000000&lt;/Origin&gt;</v>
      </c>
      <c r="F2897" s="6"/>
      <c r="G2897" s="6"/>
      <c r="H2897" s="6"/>
      <c r="I2897" s="6"/>
      <c r="J2897" s="6"/>
      <c r="K2897" s="6"/>
      <c r="L2897" s="6"/>
      <c r="M2897" s="6"/>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c r="BU2897" s="6"/>
      <c r="BV2897" s="6"/>
      <c r="BW2897" s="6"/>
      <c r="BX2897" s="6"/>
      <c r="BY2897" s="6"/>
      <c r="BZ2897" s="6"/>
      <c r="CA2897" s="6"/>
      <c r="CB2897" s="6"/>
      <c r="CC2897" s="6"/>
      <c r="CD2897" s="6"/>
      <c r="CE2897" s="6"/>
      <c r="CF2897" s="6"/>
      <c r="CG2897" s="6"/>
      <c r="CH2897" s="6"/>
      <c r="CI2897" s="6"/>
      <c r="CJ2897" s="6"/>
      <c r="CK2897" s="6"/>
      <c r="CL2897" s="6"/>
      <c r="CM2897" s="6"/>
      <c r="CN2897" s="6"/>
      <c r="CO2897" s="6"/>
      <c r="CP2897" s="6"/>
      <c r="CQ2897" s="6"/>
      <c r="CR2897" s="6"/>
      <c r="CS2897" s="6"/>
      <c r="CT2897" s="6"/>
      <c r="CU2897" s="6"/>
      <c r="CV2897" s="6"/>
      <c r="CW2897" s="6"/>
      <c r="CX2897" s="6"/>
      <c r="CY2897" s="6"/>
      <c r="CZ2897" s="6"/>
      <c r="DA2897" s="6"/>
      <c r="DB2897" s="6"/>
      <c r="DC2897" s="6"/>
      <c r="DD2897" s="6"/>
    </row>
    <row r="2898" spans="1:108" ht="12.75" hidden="1" customHeight="1" outlineLevel="5">
      <c r="A2898" s="104" t="s">
        <v>69</v>
      </c>
      <c r="B2898" s="28">
        <f t="shared" si="165"/>
        <v>1</v>
      </c>
      <c r="C2898" s="11"/>
      <c r="D2898" s="18" t="str">
        <f t="shared" si="167"/>
        <v>&lt;Density&gt;1.000000&lt;/Density&gt;</v>
      </c>
      <c r="F2898" s="6"/>
      <c r="G2898" s="6"/>
      <c r="H2898" s="6"/>
      <c r="I2898" s="6"/>
      <c r="J2898" s="6"/>
      <c r="K2898" s="6"/>
      <c r="L2898" s="6"/>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c r="BU2898" s="6"/>
      <c r="BV2898" s="6"/>
      <c r="BW2898" s="6"/>
      <c r="BX2898" s="6"/>
      <c r="BY2898" s="6"/>
      <c r="BZ2898" s="6"/>
      <c r="CA2898" s="6"/>
      <c r="CB2898" s="6"/>
      <c r="CC2898" s="6"/>
      <c r="CD2898" s="6"/>
      <c r="CE2898" s="6"/>
      <c r="CF2898" s="6"/>
      <c r="CG2898" s="6"/>
      <c r="CH2898" s="6"/>
      <c r="CI2898" s="6"/>
      <c r="CJ2898" s="6"/>
      <c r="CK2898" s="6"/>
      <c r="CL2898" s="6"/>
      <c r="CM2898" s="6"/>
      <c r="CN2898" s="6"/>
      <c r="CO2898" s="6"/>
      <c r="CP2898" s="6"/>
      <c r="CQ2898" s="6"/>
      <c r="CR2898" s="6"/>
      <c r="CS2898" s="6"/>
      <c r="CT2898" s="6"/>
      <c r="CU2898" s="6"/>
      <c r="CV2898" s="6"/>
      <c r="CW2898" s="6"/>
      <c r="CX2898" s="6"/>
      <c r="CY2898" s="6"/>
      <c r="CZ2898" s="6"/>
      <c r="DA2898" s="6"/>
      <c r="DB2898" s="6"/>
      <c r="DC2898" s="6"/>
      <c r="DD2898" s="6"/>
    </row>
    <row r="2899" spans="1:108" ht="12.75" hidden="1" customHeight="1" outlineLevel="5">
      <c r="A2899" s="104" t="s">
        <v>70</v>
      </c>
      <c r="B2899" s="28">
        <f t="shared" si="165"/>
        <v>1</v>
      </c>
      <c r="C2899" s="11"/>
      <c r="D2899" s="18" t="str">
        <f t="shared" si="167"/>
        <v>&lt;ShellMassArea&gt;1.000000&lt;/ShellMassArea&gt;</v>
      </c>
      <c r="F2899" s="6"/>
      <c r="G2899" s="6"/>
      <c r="H2899" s="6"/>
      <c r="I2899" s="6"/>
      <c r="J2899" s="6"/>
      <c r="K2899" s="6"/>
      <c r="L2899" s="6"/>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c r="BU2899" s="6"/>
      <c r="BV2899" s="6"/>
      <c r="BW2899" s="6"/>
      <c r="BX2899" s="6"/>
      <c r="BY2899" s="6"/>
      <c r="BZ2899" s="6"/>
      <c r="CA2899" s="6"/>
      <c r="CB2899" s="6"/>
      <c r="CC2899" s="6"/>
      <c r="CD2899" s="6"/>
      <c r="CE2899" s="6"/>
      <c r="CF2899" s="6"/>
      <c r="CG2899" s="6"/>
      <c r="CH2899" s="6"/>
      <c r="CI2899" s="6"/>
      <c r="CJ2899" s="6"/>
      <c r="CK2899" s="6"/>
      <c r="CL2899" s="6"/>
      <c r="CM2899" s="6"/>
      <c r="CN2899" s="6"/>
      <c r="CO2899" s="6"/>
      <c r="CP2899" s="6"/>
      <c r="CQ2899" s="6"/>
      <c r="CR2899" s="6"/>
      <c r="CS2899" s="6"/>
      <c r="CT2899" s="6"/>
      <c r="CU2899" s="6"/>
      <c r="CV2899" s="6"/>
      <c r="CW2899" s="6"/>
      <c r="CX2899" s="6"/>
      <c r="CY2899" s="6"/>
      <c r="CZ2899" s="6"/>
      <c r="DA2899" s="6"/>
      <c r="DB2899" s="6"/>
      <c r="DC2899" s="6"/>
      <c r="DD2899" s="6"/>
    </row>
    <row r="2900" spans="1:108" ht="12.75" hidden="1" customHeight="1" outlineLevel="5">
      <c r="A2900" s="104" t="s">
        <v>71</v>
      </c>
      <c r="B2900" s="28">
        <f t="shared" si="165"/>
        <v>0</v>
      </c>
      <c r="C2900" s="11"/>
      <c r="D2900" s="18" t="str">
        <f>"&lt;" &amp; A2900 &amp; "&gt;" &amp; TEXT(B2900,0) &amp; "&lt;/" &amp; A2900 &amp; "&gt;"</f>
        <v>&lt;RefFlag&gt;0&lt;/RefFlag&gt;</v>
      </c>
      <c r="F2900" s="6"/>
      <c r="G2900" s="6"/>
      <c r="H2900" s="6"/>
      <c r="I2900" s="6"/>
      <c r="J2900" s="6"/>
      <c r="K2900" s="6"/>
      <c r="L2900" s="6"/>
      <c r="M2900" s="6"/>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c r="BU2900" s="6"/>
      <c r="BV2900" s="6"/>
      <c r="BW2900" s="6"/>
      <c r="BX2900" s="6"/>
      <c r="BY2900" s="6"/>
      <c r="BZ2900" s="6"/>
      <c r="CA2900" s="6"/>
      <c r="CB2900" s="6"/>
      <c r="CC2900" s="6"/>
      <c r="CD2900" s="6"/>
      <c r="CE2900" s="6"/>
      <c r="CF2900" s="6"/>
      <c r="CG2900" s="6"/>
      <c r="CH2900" s="6"/>
      <c r="CI2900" s="6"/>
      <c r="CJ2900" s="6"/>
      <c r="CK2900" s="6"/>
      <c r="CL2900" s="6"/>
      <c r="CM2900" s="6"/>
      <c r="CN2900" s="6"/>
      <c r="CO2900" s="6"/>
      <c r="CP2900" s="6"/>
      <c r="CQ2900" s="6"/>
      <c r="CR2900" s="6"/>
      <c r="CS2900" s="6"/>
      <c r="CT2900" s="6"/>
      <c r="CU2900" s="6"/>
      <c r="CV2900" s="6"/>
      <c r="CW2900" s="6"/>
      <c r="CX2900" s="6"/>
      <c r="CY2900" s="6"/>
      <c r="CZ2900" s="6"/>
      <c r="DA2900" s="6"/>
      <c r="DB2900" s="6"/>
      <c r="DC2900" s="6"/>
      <c r="DD2900" s="6"/>
    </row>
    <row r="2901" spans="1:108" ht="12.75" hidden="1" customHeight="1" outlineLevel="5">
      <c r="A2901" s="104" t="s">
        <v>72</v>
      </c>
      <c r="B2901" s="28">
        <f t="shared" si="165"/>
        <v>100</v>
      </c>
      <c r="C2901" s="11"/>
      <c r="D2901" s="18" t="str">
        <f>"&lt;" &amp; A2901 &amp; "&gt;" &amp; TEXT(B2901,"0.000000") &amp; "&lt;/" &amp; A2901 &amp; "&gt;"</f>
        <v>&lt;RefArea&gt;100.000000&lt;/RefArea&gt;</v>
      </c>
      <c r="F2901" s="6"/>
      <c r="G2901" s="6"/>
      <c r="H2901" s="6"/>
      <c r="I2901" s="6"/>
      <c r="J2901" s="6"/>
      <c r="K2901" s="6"/>
      <c r="L2901" s="6"/>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c r="BU2901" s="6"/>
      <c r="BV2901" s="6"/>
      <c r="BW2901" s="6"/>
      <c r="BX2901" s="6"/>
      <c r="BY2901" s="6"/>
      <c r="BZ2901" s="6"/>
      <c r="CA2901" s="6"/>
      <c r="CB2901" s="6"/>
      <c r="CC2901" s="6"/>
      <c r="CD2901" s="6"/>
      <c r="CE2901" s="6"/>
      <c r="CF2901" s="6"/>
      <c r="CG2901" s="6"/>
      <c r="CH2901" s="6"/>
      <c r="CI2901" s="6"/>
      <c r="CJ2901" s="6"/>
      <c r="CK2901" s="6"/>
      <c r="CL2901" s="6"/>
      <c r="CM2901" s="6"/>
      <c r="CN2901" s="6"/>
      <c r="CO2901" s="6"/>
      <c r="CP2901" s="6"/>
      <c r="CQ2901" s="6"/>
      <c r="CR2901" s="6"/>
      <c r="CS2901" s="6"/>
      <c r="CT2901" s="6"/>
      <c r="CU2901" s="6"/>
      <c r="CV2901" s="6"/>
      <c r="CW2901" s="6"/>
      <c r="CX2901" s="6"/>
      <c r="CY2901" s="6"/>
      <c r="CZ2901" s="6"/>
      <c r="DA2901" s="6"/>
      <c r="DB2901" s="6"/>
      <c r="DC2901" s="6"/>
      <c r="DD2901" s="6"/>
    </row>
    <row r="2902" spans="1:108" ht="12.75" hidden="1" customHeight="1" outlineLevel="5">
      <c r="A2902" s="104" t="s">
        <v>73</v>
      </c>
      <c r="B2902" s="28">
        <f t="shared" si="165"/>
        <v>10</v>
      </c>
      <c r="C2902" s="11"/>
      <c r="D2902" s="18" t="str">
        <f>"&lt;" &amp; A2902 &amp; "&gt;" &amp; TEXT(B2902,"0.000000") &amp; "&lt;/" &amp; A2902 &amp; "&gt;"</f>
        <v>&lt;RefSpan&gt;10.000000&lt;/RefSpan&gt;</v>
      </c>
      <c r="F2902" s="6"/>
      <c r="G2902" s="6"/>
      <c r="H2902" s="6"/>
      <c r="I2902" s="6"/>
      <c r="J2902" s="6"/>
      <c r="K2902" s="6"/>
      <c r="L2902" s="6"/>
      <c r="M2902" s="6"/>
      <c r="N2902" s="6"/>
      <c r="O2902" s="6"/>
      <c r="P2902" s="6"/>
      <c r="Q2902" s="6"/>
      <c r="R2902" s="6"/>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c r="BU2902" s="6"/>
      <c r="BV2902" s="6"/>
      <c r="BW2902" s="6"/>
      <c r="BX2902" s="6"/>
      <c r="BY2902" s="6"/>
      <c r="BZ2902" s="6"/>
      <c r="CA2902" s="6"/>
      <c r="CB2902" s="6"/>
      <c r="CC2902" s="6"/>
      <c r="CD2902" s="6"/>
      <c r="CE2902" s="6"/>
      <c r="CF2902" s="6"/>
      <c r="CG2902" s="6"/>
      <c r="CH2902" s="6"/>
      <c r="CI2902" s="6"/>
      <c r="CJ2902" s="6"/>
      <c r="CK2902" s="6"/>
      <c r="CL2902" s="6"/>
      <c r="CM2902" s="6"/>
      <c r="CN2902" s="6"/>
      <c r="CO2902" s="6"/>
      <c r="CP2902" s="6"/>
      <c r="CQ2902" s="6"/>
      <c r="CR2902" s="6"/>
      <c r="CS2902" s="6"/>
      <c r="CT2902" s="6"/>
      <c r="CU2902" s="6"/>
      <c r="CV2902" s="6"/>
      <c r="CW2902" s="6"/>
      <c r="CX2902" s="6"/>
      <c r="CY2902" s="6"/>
      <c r="CZ2902" s="6"/>
      <c r="DA2902" s="6"/>
      <c r="DB2902" s="6"/>
      <c r="DC2902" s="6"/>
      <c r="DD2902" s="6"/>
    </row>
    <row r="2903" spans="1:108" ht="12.75" hidden="1" customHeight="1" outlineLevel="5">
      <c r="A2903" s="104" t="s">
        <v>74</v>
      </c>
      <c r="B2903" s="28">
        <f t="shared" si="165"/>
        <v>1</v>
      </c>
      <c r="C2903" s="11"/>
      <c r="D2903" s="18" t="str">
        <f>"&lt;" &amp; A2903 &amp; "&gt;" &amp; TEXT(B2903,"0.000000") &amp; "&lt;/" &amp; A2903 &amp; "&gt;"</f>
        <v>&lt;RefCbar&gt;1.000000&lt;/RefCbar&gt;</v>
      </c>
      <c r="F2903" s="6"/>
      <c r="G2903" s="6"/>
      <c r="H2903" s="6"/>
      <c r="I2903" s="6"/>
      <c r="J2903" s="6"/>
      <c r="K2903" s="6"/>
      <c r="L2903" s="6"/>
      <c r="M2903" s="6"/>
      <c r="N2903" s="6"/>
      <c r="O2903" s="6"/>
      <c r="P2903" s="6"/>
      <c r="Q2903" s="6"/>
      <c r="R2903" s="6"/>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c r="BU2903" s="6"/>
      <c r="BV2903" s="6"/>
      <c r="BW2903" s="6"/>
      <c r="BX2903" s="6"/>
      <c r="BY2903" s="6"/>
      <c r="BZ2903" s="6"/>
      <c r="CA2903" s="6"/>
      <c r="CB2903" s="6"/>
      <c r="CC2903" s="6"/>
      <c r="CD2903" s="6"/>
      <c r="CE2903" s="6"/>
      <c r="CF2903" s="6"/>
      <c r="CG2903" s="6"/>
      <c r="CH2903" s="6"/>
      <c r="CI2903" s="6"/>
      <c r="CJ2903" s="6"/>
      <c r="CK2903" s="6"/>
      <c r="CL2903" s="6"/>
      <c r="CM2903" s="6"/>
      <c r="CN2903" s="6"/>
      <c r="CO2903" s="6"/>
      <c r="CP2903" s="6"/>
      <c r="CQ2903" s="6"/>
      <c r="CR2903" s="6"/>
      <c r="CS2903" s="6"/>
      <c r="CT2903" s="6"/>
      <c r="CU2903" s="6"/>
      <c r="CV2903" s="6"/>
      <c r="CW2903" s="6"/>
      <c r="CX2903" s="6"/>
      <c r="CY2903" s="6"/>
      <c r="CZ2903" s="6"/>
      <c r="DA2903" s="6"/>
      <c r="DB2903" s="6"/>
      <c r="DC2903" s="6"/>
      <c r="DD2903" s="6"/>
    </row>
    <row r="2904" spans="1:108" ht="12.75" hidden="1" customHeight="1" outlineLevel="5">
      <c r="A2904" s="104" t="s">
        <v>75</v>
      </c>
      <c r="B2904" s="28">
        <f t="shared" si="165"/>
        <v>1</v>
      </c>
      <c r="C2904" s="11"/>
      <c r="D2904" s="18" t="str">
        <f>"&lt;" &amp; A2904 &amp; "&gt;" &amp; TEXT(B2904,0) &amp; "&lt;/" &amp; A2904 &amp; "&gt;"</f>
        <v>&lt;AutoRefAreaFlag&gt;1&lt;/AutoRefAreaFlag&gt;</v>
      </c>
      <c r="F2904" s="6"/>
      <c r="G2904" s="6"/>
      <c r="H2904" s="6"/>
      <c r="I2904" s="6"/>
      <c r="J2904" s="6"/>
      <c r="K2904" s="6"/>
      <c r="L2904" s="6"/>
      <c r="M2904" s="6"/>
      <c r="N2904" s="6"/>
      <c r="O2904" s="6"/>
      <c r="P2904" s="6"/>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c r="BU2904" s="6"/>
      <c r="BV2904" s="6"/>
      <c r="BW2904" s="6"/>
      <c r="BX2904" s="6"/>
      <c r="BY2904" s="6"/>
      <c r="BZ2904" s="6"/>
      <c r="CA2904" s="6"/>
      <c r="CB2904" s="6"/>
      <c r="CC2904" s="6"/>
      <c r="CD2904" s="6"/>
      <c r="CE2904" s="6"/>
      <c r="CF2904" s="6"/>
      <c r="CG2904" s="6"/>
      <c r="CH2904" s="6"/>
      <c r="CI2904" s="6"/>
      <c r="CJ2904" s="6"/>
      <c r="CK2904" s="6"/>
      <c r="CL2904" s="6"/>
      <c r="CM2904" s="6"/>
      <c r="CN2904" s="6"/>
      <c r="CO2904" s="6"/>
      <c r="CP2904" s="6"/>
      <c r="CQ2904" s="6"/>
      <c r="CR2904" s="6"/>
      <c r="CS2904" s="6"/>
      <c r="CT2904" s="6"/>
      <c r="CU2904" s="6"/>
      <c r="CV2904" s="6"/>
      <c r="CW2904" s="6"/>
      <c r="CX2904" s="6"/>
      <c r="CY2904" s="6"/>
      <c r="CZ2904" s="6"/>
      <c r="DA2904" s="6"/>
      <c r="DB2904" s="6"/>
      <c r="DC2904" s="6"/>
      <c r="DD2904" s="6"/>
    </row>
    <row r="2905" spans="1:108" ht="12.75" hidden="1" customHeight="1" outlineLevel="5">
      <c r="A2905" s="104" t="s">
        <v>76</v>
      </c>
      <c r="B2905" s="28">
        <f t="shared" si="165"/>
        <v>1</v>
      </c>
      <c r="C2905" s="11"/>
      <c r="D2905" s="18" t="str">
        <f>"&lt;" &amp; A2905 &amp; "&gt;" &amp; TEXT(B2905,0) &amp; "&lt;/" &amp; A2905 &amp; "&gt;"</f>
        <v>&lt;AutoRefSpanFlag&gt;1&lt;/AutoRefSpanFlag&gt;</v>
      </c>
      <c r="F2905" s="6"/>
      <c r="G2905" s="6"/>
      <c r="H2905" s="6"/>
      <c r="I2905" s="6"/>
      <c r="J2905" s="6"/>
      <c r="K2905" s="6"/>
      <c r="L2905" s="6"/>
      <c r="M2905" s="6"/>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c r="BU2905" s="6"/>
      <c r="BV2905" s="6"/>
      <c r="BW2905" s="6"/>
      <c r="BX2905" s="6"/>
      <c r="BY2905" s="6"/>
      <c r="BZ2905" s="6"/>
      <c r="CA2905" s="6"/>
      <c r="CB2905" s="6"/>
      <c r="CC2905" s="6"/>
      <c r="CD2905" s="6"/>
      <c r="CE2905" s="6"/>
      <c r="CF2905" s="6"/>
      <c r="CG2905" s="6"/>
      <c r="CH2905" s="6"/>
      <c r="CI2905" s="6"/>
      <c r="CJ2905" s="6"/>
      <c r="CK2905" s="6"/>
      <c r="CL2905" s="6"/>
      <c r="CM2905" s="6"/>
      <c r="CN2905" s="6"/>
      <c r="CO2905" s="6"/>
      <c r="CP2905" s="6"/>
      <c r="CQ2905" s="6"/>
      <c r="CR2905" s="6"/>
      <c r="CS2905" s="6"/>
      <c r="CT2905" s="6"/>
      <c r="CU2905" s="6"/>
      <c r="CV2905" s="6"/>
      <c r="CW2905" s="6"/>
      <c r="CX2905" s="6"/>
      <c r="CY2905" s="6"/>
      <c r="CZ2905" s="6"/>
      <c r="DA2905" s="6"/>
      <c r="DB2905" s="6"/>
      <c r="DC2905" s="6"/>
      <c r="DD2905" s="6"/>
    </row>
    <row r="2906" spans="1:108" ht="12.75" hidden="1" customHeight="1" outlineLevel="5">
      <c r="A2906" s="104" t="s">
        <v>77</v>
      </c>
      <c r="B2906" s="28">
        <f t="shared" si="165"/>
        <v>1</v>
      </c>
      <c r="C2906" s="11"/>
      <c r="D2906" s="18" t="str">
        <f>"&lt;" &amp; A2906 &amp; "&gt;" &amp; TEXT(B2906,0) &amp; "&lt;/" &amp; A2906 &amp; "&gt;"</f>
        <v>&lt;AutoRefCbarFlag&gt;1&lt;/AutoRefCbarFlag&gt;</v>
      </c>
      <c r="F2906" s="6"/>
      <c r="G2906" s="6"/>
      <c r="H2906" s="6"/>
      <c r="I2906" s="6"/>
      <c r="J2906" s="6"/>
      <c r="K2906" s="6"/>
      <c r="L2906" s="6"/>
      <c r="M2906" s="6"/>
      <c r="N2906" s="6"/>
      <c r="O2906" s="6"/>
      <c r="P2906" s="6"/>
      <c r="Q2906" s="6"/>
      <c r="R2906" s="6"/>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c r="BU2906" s="6"/>
      <c r="BV2906" s="6"/>
      <c r="BW2906" s="6"/>
      <c r="BX2906" s="6"/>
      <c r="BY2906" s="6"/>
      <c r="BZ2906" s="6"/>
      <c r="CA2906" s="6"/>
      <c r="CB2906" s="6"/>
      <c r="CC2906" s="6"/>
      <c r="CD2906" s="6"/>
      <c r="CE2906" s="6"/>
      <c r="CF2906" s="6"/>
      <c r="CG2906" s="6"/>
      <c r="CH2906" s="6"/>
      <c r="CI2906" s="6"/>
      <c r="CJ2906" s="6"/>
      <c r="CK2906" s="6"/>
      <c r="CL2906" s="6"/>
      <c r="CM2906" s="6"/>
      <c r="CN2906" s="6"/>
      <c r="CO2906" s="6"/>
      <c r="CP2906" s="6"/>
      <c r="CQ2906" s="6"/>
      <c r="CR2906" s="6"/>
      <c r="CS2906" s="6"/>
      <c r="CT2906" s="6"/>
      <c r="CU2906" s="6"/>
      <c r="CV2906" s="6"/>
      <c r="CW2906" s="6"/>
      <c r="CX2906" s="6"/>
      <c r="CY2906" s="6"/>
      <c r="CZ2906" s="6"/>
      <c r="DA2906" s="6"/>
      <c r="DB2906" s="6"/>
      <c r="DC2906" s="6"/>
      <c r="DD2906" s="6"/>
    </row>
    <row r="2907" spans="1:108" ht="12.75" hidden="1" customHeight="1" outlineLevel="5">
      <c r="A2907" s="104" t="s">
        <v>78</v>
      </c>
      <c r="B2907" s="28">
        <f t="shared" si="165"/>
        <v>0</v>
      </c>
      <c r="C2907" s="11"/>
      <c r="D2907" s="18" t="str">
        <f>"&lt;" &amp; A2907 &amp; "&gt;" &amp; TEXT(B2907,"0.000000") &amp; "&lt;/" &amp; A2907 &amp; "&gt;"</f>
        <v>&lt;AeroCenter_X&gt;0.000000&lt;/AeroCenter_X&gt;</v>
      </c>
      <c r="F2907" s="6"/>
      <c r="G2907" s="6"/>
      <c r="H2907" s="6"/>
      <c r="I2907" s="6"/>
      <c r="J2907" s="6"/>
      <c r="K2907" s="6"/>
      <c r="L2907" s="6"/>
      <c r="M2907" s="6"/>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c r="BU2907" s="6"/>
      <c r="BV2907" s="6"/>
      <c r="BW2907" s="6"/>
      <c r="BX2907" s="6"/>
      <c r="BY2907" s="6"/>
      <c r="BZ2907" s="6"/>
      <c r="CA2907" s="6"/>
      <c r="CB2907" s="6"/>
      <c r="CC2907" s="6"/>
      <c r="CD2907" s="6"/>
      <c r="CE2907" s="6"/>
      <c r="CF2907" s="6"/>
      <c r="CG2907" s="6"/>
      <c r="CH2907" s="6"/>
      <c r="CI2907" s="6"/>
      <c r="CJ2907" s="6"/>
      <c r="CK2907" s="6"/>
      <c r="CL2907" s="6"/>
      <c r="CM2907" s="6"/>
      <c r="CN2907" s="6"/>
      <c r="CO2907" s="6"/>
      <c r="CP2907" s="6"/>
      <c r="CQ2907" s="6"/>
      <c r="CR2907" s="6"/>
      <c r="CS2907" s="6"/>
      <c r="CT2907" s="6"/>
      <c r="CU2907" s="6"/>
      <c r="CV2907" s="6"/>
      <c r="CW2907" s="6"/>
      <c r="CX2907" s="6"/>
      <c r="CY2907" s="6"/>
      <c r="CZ2907" s="6"/>
      <c r="DA2907" s="6"/>
      <c r="DB2907" s="6"/>
      <c r="DC2907" s="6"/>
      <c r="DD2907" s="6"/>
    </row>
    <row r="2908" spans="1:108" ht="12.75" hidden="1" customHeight="1" outlineLevel="5">
      <c r="A2908" s="104" t="s">
        <v>79</v>
      </c>
      <c r="B2908" s="28">
        <f t="shared" si="165"/>
        <v>0</v>
      </c>
      <c r="C2908" s="11"/>
      <c r="D2908" s="18" t="str">
        <f>"&lt;" &amp; A2908 &amp; "&gt;" &amp; TEXT(B2908,"0.000000") &amp; "&lt;/" &amp; A2908 &amp; "&gt;"</f>
        <v>&lt;AeroCenter_Y&gt;0.000000&lt;/AeroCenter_Y&gt;</v>
      </c>
      <c r="F2908" s="6"/>
      <c r="G2908" s="6"/>
      <c r="H2908" s="6"/>
      <c r="I2908" s="6"/>
      <c r="J2908" s="6"/>
      <c r="K2908" s="6"/>
      <c r="L2908" s="6"/>
      <c r="M2908" s="6"/>
      <c r="N2908" s="6"/>
      <c r="O2908" s="6"/>
      <c r="P2908" s="6"/>
      <c r="Q2908" s="6"/>
      <c r="R2908" s="6"/>
      <c r="S2908" s="6"/>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c r="BU2908" s="6"/>
      <c r="BV2908" s="6"/>
      <c r="BW2908" s="6"/>
      <c r="BX2908" s="6"/>
      <c r="BY2908" s="6"/>
      <c r="BZ2908" s="6"/>
      <c r="CA2908" s="6"/>
      <c r="CB2908" s="6"/>
      <c r="CC2908" s="6"/>
      <c r="CD2908" s="6"/>
      <c r="CE2908" s="6"/>
      <c r="CF2908" s="6"/>
      <c r="CG2908" s="6"/>
      <c r="CH2908" s="6"/>
      <c r="CI2908" s="6"/>
      <c r="CJ2908" s="6"/>
      <c r="CK2908" s="6"/>
      <c r="CL2908" s="6"/>
      <c r="CM2908" s="6"/>
      <c r="CN2908" s="6"/>
      <c r="CO2908" s="6"/>
      <c r="CP2908" s="6"/>
      <c r="CQ2908" s="6"/>
      <c r="CR2908" s="6"/>
      <c r="CS2908" s="6"/>
      <c r="CT2908" s="6"/>
      <c r="CU2908" s="6"/>
      <c r="CV2908" s="6"/>
      <c r="CW2908" s="6"/>
      <c r="CX2908" s="6"/>
      <c r="CY2908" s="6"/>
      <c r="CZ2908" s="6"/>
      <c r="DA2908" s="6"/>
      <c r="DB2908" s="6"/>
      <c r="DC2908" s="6"/>
      <c r="DD2908" s="6"/>
    </row>
    <row r="2909" spans="1:108" ht="12.75" hidden="1" customHeight="1" outlineLevel="5">
      <c r="A2909" s="104" t="s">
        <v>80</v>
      </c>
      <c r="B2909" s="28">
        <f t="shared" si="165"/>
        <v>0</v>
      </c>
      <c r="C2909" s="11"/>
      <c r="D2909" s="18" t="str">
        <f>"&lt;" &amp; A2909 &amp; "&gt;" &amp; TEXT(B2909,"0.000000") &amp; "&lt;/" &amp; A2909 &amp; "&gt;"</f>
        <v>&lt;AeroCenter_Z&gt;0.000000&lt;/AeroCenter_Z&gt;</v>
      </c>
      <c r="F2909" s="6"/>
      <c r="G2909" s="6"/>
      <c r="H2909" s="6"/>
      <c r="I2909" s="6"/>
      <c r="J2909" s="6"/>
      <c r="K2909" s="6"/>
      <c r="L2909" s="6"/>
      <c r="M2909" s="6"/>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c r="BU2909" s="6"/>
      <c r="BV2909" s="6"/>
      <c r="BW2909" s="6"/>
      <c r="BX2909" s="6"/>
      <c r="BY2909" s="6"/>
      <c r="BZ2909" s="6"/>
      <c r="CA2909" s="6"/>
      <c r="CB2909" s="6"/>
      <c r="CC2909" s="6"/>
      <c r="CD2909" s="6"/>
      <c r="CE2909" s="6"/>
      <c r="CF2909" s="6"/>
      <c r="CG2909" s="6"/>
      <c r="CH2909" s="6"/>
      <c r="CI2909" s="6"/>
      <c r="CJ2909" s="6"/>
      <c r="CK2909" s="6"/>
      <c r="CL2909" s="6"/>
      <c r="CM2909" s="6"/>
      <c r="CN2909" s="6"/>
      <c r="CO2909" s="6"/>
      <c r="CP2909" s="6"/>
      <c r="CQ2909" s="6"/>
      <c r="CR2909" s="6"/>
      <c r="CS2909" s="6"/>
      <c r="CT2909" s="6"/>
      <c r="CU2909" s="6"/>
      <c r="CV2909" s="6"/>
      <c r="CW2909" s="6"/>
      <c r="CX2909" s="6"/>
      <c r="CY2909" s="6"/>
      <c r="CZ2909" s="6"/>
      <c r="DA2909" s="6"/>
      <c r="DB2909" s="6"/>
      <c r="DC2909" s="6"/>
      <c r="DD2909" s="6"/>
    </row>
    <row r="2910" spans="1:108" ht="12.75" hidden="1" customHeight="1" outlineLevel="5">
      <c r="A2910" s="104" t="s">
        <v>81</v>
      </c>
      <c r="B2910" s="28">
        <f t="shared" si="165"/>
        <v>1</v>
      </c>
      <c r="C2910" s="11"/>
      <c r="D2910" s="18" t="str">
        <f>"&lt;" &amp; A2910 &amp; "&gt;" &amp; TEXT(B2910,0) &amp; "&lt;/" &amp; A2910 &amp; "&gt;"</f>
        <v>&lt;AutoAeroCenterFlag&gt;1&lt;/AutoAeroCenterFlag&gt;</v>
      </c>
      <c r="F2910" s="6"/>
      <c r="G2910" s="6"/>
      <c r="H2910" s="6"/>
      <c r="I2910" s="6"/>
      <c r="J2910" s="6"/>
      <c r="K2910" s="6"/>
      <c r="L2910" s="6"/>
      <c r="M2910" s="6"/>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c r="BU2910" s="6"/>
      <c r="BV2910" s="6"/>
      <c r="BW2910" s="6"/>
      <c r="BX2910" s="6"/>
      <c r="BY2910" s="6"/>
      <c r="BZ2910" s="6"/>
      <c r="CA2910" s="6"/>
      <c r="CB2910" s="6"/>
      <c r="CC2910" s="6"/>
      <c r="CD2910" s="6"/>
      <c r="CE2910" s="6"/>
      <c r="CF2910" s="6"/>
      <c r="CG2910" s="6"/>
      <c r="CH2910" s="6"/>
      <c r="CI2910" s="6"/>
      <c r="CJ2910" s="6"/>
      <c r="CK2910" s="6"/>
      <c r="CL2910" s="6"/>
      <c r="CM2910" s="6"/>
      <c r="CN2910" s="6"/>
      <c r="CO2910" s="6"/>
      <c r="CP2910" s="6"/>
      <c r="CQ2910" s="6"/>
      <c r="CR2910" s="6"/>
      <c r="CS2910" s="6"/>
      <c r="CT2910" s="6"/>
      <c r="CU2910" s="6"/>
      <c r="CV2910" s="6"/>
      <c r="CW2910" s="6"/>
      <c r="CX2910" s="6"/>
      <c r="CY2910" s="6"/>
      <c r="CZ2910" s="6"/>
      <c r="DA2910" s="6"/>
      <c r="DB2910" s="6"/>
      <c r="DC2910" s="6"/>
      <c r="DD2910" s="6"/>
    </row>
    <row r="2911" spans="1:108" ht="12.75" hidden="1" customHeight="1" outlineLevel="5">
      <c r="A2911" s="104" t="s">
        <v>82</v>
      </c>
      <c r="B2911" s="28">
        <f t="shared" si="165"/>
        <v>0</v>
      </c>
      <c r="C2911" s="11"/>
      <c r="D2911" s="18" t="str">
        <f>"&lt;" &amp; A2911 &amp; "&gt;" &amp; TEXT(B2911,0) &amp; "&lt;/" &amp; A2911 &amp; "&gt;"</f>
        <v>&lt;WakeActiveFlag&gt;0&lt;/WakeActiveFlag&gt;</v>
      </c>
      <c r="F2911" s="6"/>
      <c r="G2911" s="6"/>
      <c r="H2911" s="6"/>
      <c r="I2911" s="6"/>
      <c r="J2911" s="6"/>
      <c r="K2911" s="6"/>
      <c r="L2911" s="6"/>
      <c r="M2911" s="6"/>
      <c r="N2911" s="6"/>
      <c r="O2911" s="6"/>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c r="BU2911" s="6"/>
      <c r="BV2911" s="6"/>
      <c r="BW2911" s="6"/>
      <c r="BX2911" s="6"/>
      <c r="BY2911" s="6"/>
      <c r="BZ2911" s="6"/>
      <c r="CA2911" s="6"/>
      <c r="CB2911" s="6"/>
      <c r="CC2911" s="6"/>
      <c r="CD2911" s="6"/>
      <c r="CE2911" s="6"/>
      <c r="CF2911" s="6"/>
      <c r="CG2911" s="6"/>
      <c r="CH2911" s="6"/>
      <c r="CI2911" s="6"/>
      <c r="CJ2911" s="6"/>
      <c r="CK2911" s="6"/>
      <c r="CL2911" s="6"/>
      <c r="CM2911" s="6"/>
      <c r="CN2911" s="6"/>
      <c r="CO2911" s="6"/>
      <c r="CP2911" s="6"/>
      <c r="CQ2911" s="6"/>
      <c r="CR2911" s="6"/>
      <c r="CS2911" s="6"/>
      <c r="CT2911" s="6"/>
      <c r="CU2911" s="6"/>
      <c r="CV2911" s="6"/>
      <c r="CW2911" s="6"/>
      <c r="CX2911" s="6"/>
      <c r="CY2911" s="6"/>
      <c r="CZ2911" s="6"/>
      <c r="DA2911" s="6"/>
      <c r="DB2911" s="6"/>
      <c r="DC2911" s="6"/>
      <c r="DD2911" s="6"/>
    </row>
    <row r="2912" spans="1:108" ht="12.75" hidden="1" customHeight="1" outlineLevel="5">
      <c r="A2912" s="104" t="s">
        <v>83</v>
      </c>
      <c r="B2912" s="28">
        <f t="shared" si="165"/>
        <v>3</v>
      </c>
      <c r="C2912" s="11"/>
      <c r="D2912" s="18" t="str">
        <f>"&lt;" &amp; A2912 &amp; "&gt;" &amp; TEXT(B2912,0) &amp; "&lt;/" &amp; A2912 &amp; "&gt;"</f>
        <v>&lt;PosAttachFlag&gt;3&lt;/PosAttachFlag&gt;</v>
      </c>
      <c r="F2912" s="6"/>
      <c r="G2912" s="6"/>
      <c r="H2912" s="6"/>
      <c r="I2912" s="6"/>
      <c r="J2912" s="6"/>
      <c r="K2912" s="6"/>
      <c r="L2912" s="6"/>
      <c r="M2912" s="6"/>
      <c r="N2912" s="6"/>
      <c r="O2912" s="6"/>
      <c r="P2912" s="6"/>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c r="BU2912" s="6"/>
      <c r="BV2912" s="6"/>
      <c r="BW2912" s="6"/>
      <c r="BX2912" s="6"/>
      <c r="BY2912" s="6"/>
      <c r="BZ2912" s="6"/>
      <c r="CA2912" s="6"/>
      <c r="CB2912" s="6"/>
      <c r="CC2912" s="6"/>
      <c r="CD2912" s="6"/>
      <c r="CE2912" s="6"/>
      <c r="CF2912" s="6"/>
      <c r="CG2912" s="6"/>
      <c r="CH2912" s="6"/>
      <c r="CI2912" s="6"/>
      <c r="CJ2912" s="6"/>
      <c r="CK2912" s="6"/>
      <c r="CL2912" s="6"/>
      <c r="CM2912" s="6"/>
      <c r="CN2912" s="6"/>
      <c r="CO2912" s="6"/>
      <c r="CP2912" s="6"/>
      <c r="CQ2912" s="6"/>
      <c r="CR2912" s="6"/>
      <c r="CS2912" s="6"/>
      <c r="CT2912" s="6"/>
      <c r="CU2912" s="6"/>
      <c r="CV2912" s="6"/>
      <c r="CW2912" s="6"/>
      <c r="CX2912" s="6"/>
      <c r="CY2912" s="6"/>
      <c r="CZ2912" s="6"/>
      <c r="DA2912" s="6"/>
      <c r="DB2912" s="6"/>
      <c r="DC2912" s="6"/>
      <c r="DD2912" s="6"/>
    </row>
    <row r="2913" spans="1:108" ht="12.75" hidden="1" customHeight="1" outlineLevel="5">
      <c r="A2913" s="104" t="s">
        <v>84</v>
      </c>
      <c r="B2913" s="28">
        <f t="shared" si="165"/>
        <v>0</v>
      </c>
      <c r="C2913" s="11"/>
      <c r="D2913" s="18" t="str">
        <f>"&lt;" &amp; A2913 &amp; "&gt;" &amp; TEXT(B2913,"0.000000") &amp; "&lt;/" &amp; A2913 &amp; "&gt;"</f>
        <v>&lt;U_Attach&gt;0.000000&lt;/U_Attach&gt;</v>
      </c>
      <c r="F2913" s="6"/>
      <c r="G2913" s="6"/>
      <c r="H2913" s="6"/>
      <c r="I2913" s="6"/>
      <c r="J2913" s="6"/>
      <c r="K2913" s="6"/>
      <c r="L2913" s="6"/>
      <c r="M2913" s="6"/>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c r="BU2913" s="6"/>
      <c r="BV2913" s="6"/>
      <c r="BW2913" s="6"/>
      <c r="BX2913" s="6"/>
      <c r="BY2913" s="6"/>
      <c r="BZ2913" s="6"/>
      <c r="CA2913" s="6"/>
      <c r="CB2913" s="6"/>
      <c r="CC2913" s="6"/>
      <c r="CD2913" s="6"/>
      <c r="CE2913" s="6"/>
      <c r="CF2913" s="6"/>
      <c r="CG2913" s="6"/>
      <c r="CH2913" s="6"/>
      <c r="CI2913" s="6"/>
      <c r="CJ2913" s="6"/>
      <c r="CK2913" s="6"/>
      <c r="CL2913" s="6"/>
      <c r="CM2913" s="6"/>
      <c r="CN2913" s="6"/>
      <c r="CO2913" s="6"/>
      <c r="CP2913" s="6"/>
      <c r="CQ2913" s="6"/>
      <c r="CR2913" s="6"/>
      <c r="CS2913" s="6"/>
      <c r="CT2913" s="6"/>
      <c r="CU2913" s="6"/>
      <c r="CV2913" s="6"/>
      <c r="CW2913" s="6"/>
      <c r="CX2913" s="6"/>
      <c r="CY2913" s="6"/>
      <c r="CZ2913" s="6"/>
      <c r="DA2913" s="6"/>
      <c r="DB2913" s="6"/>
      <c r="DC2913" s="6"/>
      <c r="DD2913" s="6"/>
    </row>
    <row r="2914" spans="1:108" ht="12.75" hidden="1" customHeight="1" outlineLevel="5">
      <c r="A2914" s="104" t="s">
        <v>85</v>
      </c>
      <c r="B2914" s="28">
        <f t="shared" si="165"/>
        <v>0</v>
      </c>
      <c r="C2914" s="11"/>
      <c r="D2914" s="18" t="str">
        <f>"&lt;" &amp; A2914 &amp; "&gt;" &amp; TEXT(B2914,"0.000000") &amp; "&lt;/" &amp; A2914 &amp; "&gt;"</f>
        <v>&lt;V_Attach&gt;0.000000&lt;/V_Attach&gt;</v>
      </c>
      <c r="F2914" s="6"/>
      <c r="G2914" s="6"/>
      <c r="H2914" s="6"/>
      <c r="I2914" s="6"/>
      <c r="J2914" s="6"/>
      <c r="K2914" s="6"/>
      <c r="L2914" s="6"/>
      <c r="M2914" s="6"/>
      <c r="N2914" s="6"/>
      <c r="O2914" s="6"/>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c r="BU2914" s="6"/>
      <c r="BV2914" s="6"/>
      <c r="BW2914" s="6"/>
      <c r="BX2914" s="6"/>
      <c r="BY2914" s="6"/>
      <c r="BZ2914" s="6"/>
      <c r="CA2914" s="6"/>
      <c r="CB2914" s="6"/>
      <c r="CC2914" s="6"/>
      <c r="CD2914" s="6"/>
      <c r="CE2914" s="6"/>
      <c r="CF2914" s="6"/>
      <c r="CG2914" s="6"/>
      <c r="CH2914" s="6"/>
      <c r="CI2914" s="6"/>
      <c r="CJ2914" s="6"/>
      <c r="CK2914" s="6"/>
      <c r="CL2914" s="6"/>
      <c r="CM2914" s="6"/>
      <c r="CN2914" s="6"/>
      <c r="CO2914" s="6"/>
      <c r="CP2914" s="6"/>
      <c r="CQ2914" s="6"/>
      <c r="CR2914" s="6"/>
      <c r="CS2914" s="6"/>
      <c r="CT2914" s="6"/>
      <c r="CU2914" s="6"/>
      <c r="CV2914" s="6"/>
      <c r="CW2914" s="6"/>
      <c r="CX2914" s="6"/>
      <c r="CY2914" s="6"/>
      <c r="CZ2914" s="6"/>
      <c r="DA2914" s="6"/>
      <c r="DB2914" s="6"/>
      <c r="DC2914" s="6"/>
      <c r="DD2914" s="6"/>
    </row>
    <row r="2915" spans="1:108" ht="12.75" hidden="1" customHeight="1" outlineLevel="5">
      <c r="A2915" s="104" t="s">
        <v>86</v>
      </c>
      <c r="B2915" s="28">
        <v>149520864</v>
      </c>
      <c r="C2915" s="11"/>
      <c r="D2915" s="18" t="str">
        <f>"&lt;" &amp; A2915 &amp; "&gt;" &amp; TEXT(B2915,0) &amp; "&lt;/" &amp; A2915 &amp; "&gt;"</f>
        <v>&lt;PtrID&gt;149520864&lt;/PtrID&gt;</v>
      </c>
      <c r="F2915" s="6"/>
      <c r="G2915" s="6"/>
      <c r="H2915" s="6"/>
      <c r="I2915" s="6"/>
      <c r="J2915" s="6"/>
      <c r="K2915" s="6"/>
      <c r="L2915" s="6"/>
      <c r="M2915" s="6"/>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c r="BU2915" s="6"/>
      <c r="BV2915" s="6"/>
      <c r="BW2915" s="6"/>
      <c r="BX2915" s="6"/>
      <c r="BY2915" s="6"/>
      <c r="BZ2915" s="6"/>
      <c r="CA2915" s="6"/>
      <c r="CB2915" s="6"/>
      <c r="CC2915" s="6"/>
      <c r="CD2915" s="6"/>
      <c r="CE2915" s="6"/>
      <c r="CF2915" s="6"/>
      <c r="CG2915" s="6"/>
      <c r="CH2915" s="6"/>
      <c r="CI2915" s="6"/>
      <c r="CJ2915" s="6"/>
      <c r="CK2915" s="6"/>
      <c r="CL2915" s="6"/>
      <c r="CM2915" s="6"/>
      <c r="CN2915" s="6"/>
      <c r="CO2915" s="6"/>
      <c r="CP2915" s="6"/>
      <c r="CQ2915" s="6"/>
      <c r="CR2915" s="6"/>
      <c r="CS2915" s="6"/>
      <c r="CT2915" s="6"/>
      <c r="CU2915" s="6"/>
      <c r="CV2915" s="6"/>
      <c r="CW2915" s="6"/>
      <c r="CX2915" s="6"/>
      <c r="CY2915" s="6"/>
      <c r="CZ2915" s="6"/>
      <c r="DA2915" s="6"/>
      <c r="DB2915" s="6"/>
      <c r="DC2915" s="6"/>
      <c r="DD2915" s="6"/>
    </row>
    <row r="2916" spans="1:108" ht="12.75" hidden="1" customHeight="1" outlineLevel="5">
      <c r="A2916" s="104" t="s">
        <v>87</v>
      </c>
      <c r="B2916" s="28">
        <v>149518280</v>
      </c>
      <c r="C2916" s="11"/>
      <c r="D2916" s="18" t="str">
        <f>"&lt;" &amp; A2916 &amp; "&gt;" &amp; TEXT(B2916,0) &amp; "&lt;/" &amp; A2916 &amp; "&gt;"</f>
        <v>&lt;Parent_PtrID&gt;149518280&lt;/Parent_PtrID&gt;</v>
      </c>
      <c r="F2916" s="6"/>
      <c r="G2916" s="6"/>
      <c r="H2916" s="6"/>
      <c r="I2916" s="6"/>
      <c r="J2916" s="6"/>
      <c r="K2916" s="6"/>
      <c r="L2916" s="6"/>
      <c r="M2916" s="6"/>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c r="BU2916" s="6"/>
      <c r="BV2916" s="6"/>
      <c r="BW2916" s="6"/>
      <c r="BX2916" s="6"/>
      <c r="BY2916" s="6"/>
      <c r="BZ2916" s="6"/>
      <c r="CA2916" s="6"/>
      <c r="CB2916" s="6"/>
      <c r="CC2916" s="6"/>
      <c r="CD2916" s="6"/>
      <c r="CE2916" s="6"/>
      <c r="CF2916" s="6"/>
      <c r="CG2916" s="6"/>
      <c r="CH2916" s="6"/>
      <c r="CI2916" s="6"/>
      <c r="CJ2916" s="6"/>
      <c r="CK2916" s="6"/>
      <c r="CL2916" s="6"/>
      <c r="CM2916" s="6"/>
      <c r="CN2916" s="6"/>
      <c r="CO2916" s="6"/>
      <c r="CP2916" s="6"/>
      <c r="CQ2916" s="6"/>
      <c r="CR2916" s="6"/>
      <c r="CS2916" s="6"/>
      <c r="CT2916" s="6"/>
      <c r="CU2916" s="6"/>
      <c r="CV2916" s="6"/>
      <c r="CW2916" s="6"/>
      <c r="CX2916" s="6"/>
      <c r="CY2916" s="6"/>
      <c r="CZ2916" s="6"/>
      <c r="DA2916" s="6"/>
      <c r="DB2916" s="6"/>
      <c r="DC2916" s="6"/>
      <c r="DD2916" s="6"/>
    </row>
    <row r="2917" spans="1:108" ht="12.75" hidden="1" customHeight="1" outlineLevel="5">
      <c r="A2917" s="104" t="s">
        <v>88</v>
      </c>
      <c r="B2917" s="100"/>
      <c r="C2917" s="11"/>
      <c r="D2917" s="6" t="str">
        <f>"&lt;" &amp; A2917 &amp; "&gt;"</f>
        <v>&lt;/General_Parms&gt;</v>
      </c>
      <c r="F2917" s="6"/>
      <c r="G2917" s="6"/>
      <c r="H2917" s="6"/>
      <c r="I2917" s="6"/>
      <c r="J2917" s="6"/>
      <c r="K2917" s="6"/>
      <c r="L2917" s="6"/>
      <c r="M2917" s="6"/>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c r="BU2917" s="6"/>
      <c r="BV2917" s="6"/>
      <c r="BW2917" s="6"/>
      <c r="BX2917" s="6"/>
      <c r="BY2917" s="6"/>
      <c r="BZ2917" s="6"/>
      <c r="CA2917" s="6"/>
      <c r="CB2917" s="6"/>
      <c r="CC2917" s="6"/>
      <c r="CD2917" s="6"/>
      <c r="CE2917" s="6"/>
      <c r="CF2917" s="6"/>
      <c r="CG2917" s="6"/>
      <c r="CH2917" s="6"/>
      <c r="CI2917" s="6"/>
      <c r="CJ2917" s="6"/>
      <c r="CK2917" s="6"/>
      <c r="CL2917" s="6"/>
      <c r="CM2917" s="6"/>
      <c r="CN2917" s="6"/>
      <c r="CO2917" s="6"/>
      <c r="CP2917" s="6"/>
      <c r="CQ2917" s="6"/>
      <c r="CR2917" s="6"/>
      <c r="CS2917" s="6"/>
      <c r="CT2917" s="6"/>
      <c r="CU2917" s="6"/>
      <c r="CV2917" s="6"/>
      <c r="CW2917" s="6"/>
      <c r="CX2917" s="6"/>
      <c r="CY2917" s="6"/>
      <c r="CZ2917" s="6"/>
      <c r="DA2917" s="6"/>
      <c r="DB2917" s="6"/>
      <c r="DC2917" s="6"/>
      <c r="DD2917" s="6"/>
    </row>
    <row r="2918" spans="1:108" ht="12.75" hidden="1" customHeight="1" outlineLevel="4" collapsed="1">
      <c r="A2918" s="104" t="s">
        <v>228</v>
      </c>
      <c r="B2918" s="100"/>
      <c r="C2918" s="11"/>
      <c r="D2918" s="6" t="str">
        <f>"&lt;" &amp; A2918 &amp; "&gt;"</f>
        <v>&lt;Engine_Parms&gt;</v>
      </c>
      <c r="F2918" s="6"/>
      <c r="G2918" s="6"/>
      <c r="H2918" s="6"/>
      <c r="I2918" s="6"/>
      <c r="J2918" s="6"/>
      <c r="K2918" s="6"/>
      <c r="L2918" s="6"/>
      <c r="M2918" s="6"/>
      <c r="N2918" s="6"/>
      <c r="O2918" s="6"/>
      <c r="P2918" s="6"/>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c r="BU2918" s="6"/>
      <c r="BV2918" s="6"/>
      <c r="BW2918" s="6"/>
      <c r="BX2918" s="6"/>
      <c r="BY2918" s="6"/>
      <c r="BZ2918" s="6"/>
      <c r="CA2918" s="6"/>
      <c r="CB2918" s="6"/>
      <c r="CC2918" s="6"/>
      <c r="CD2918" s="6"/>
      <c r="CE2918" s="6"/>
      <c r="CF2918" s="6"/>
      <c r="CG2918" s="6"/>
      <c r="CH2918" s="6"/>
      <c r="CI2918" s="6"/>
      <c r="CJ2918" s="6"/>
      <c r="CK2918" s="6"/>
      <c r="CL2918" s="6"/>
      <c r="CM2918" s="6"/>
      <c r="CN2918" s="6"/>
      <c r="CO2918" s="6"/>
      <c r="CP2918" s="6"/>
      <c r="CQ2918" s="6"/>
      <c r="CR2918" s="6"/>
      <c r="CS2918" s="6"/>
      <c r="CT2918" s="6"/>
      <c r="CU2918" s="6"/>
      <c r="CV2918" s="6"/>
      <c r="CW2918" s="6"/>
      <c r="CX2918" s="6"/>
      <c r="CY2918" s="6"/>
      <c r="CZ2918" s="6"/>
      <c r="DA2918" s="6"/>
      <c r="DB2918" s="6"/>
      <c r="DC2918" s="6"/>
      <c r="DD2918" s="6"/>
    </row>
    <row r="2919" spans="1:108" ht="12.75" hidden="1" customHeight="1" outlineLevel="5">
      <c r="A2919" s="104" t="s">
        <v>229</v>
      </c>
      <c r="B2919" s="28">
        <f t="shared" ref="B2919:B2953" si="168">B1320</f>
        <v>0</v>
      </c>
      <c r="C2919" s="11"/>
      <c r="D2919" s="18" t="str">
        <f>"&lt;" &amp; A2919 &amp; "&gt;" &amp; TEXT(B2919,0) &amp; "&lt;/" &amp; A2919 &amp; "&gt;"</f>
        <v>&lt;Engine_Type&gt;0&lt;/Engine_Type&gt;</v>
      </c>
      <c r="F2919" s="6"/>
      <c r="G2919" s="6"/>
      <c r="H2919" s="6"/>
      <c r="I2919" s="6"/>
      <c r="J2919" s="6"/>
      <c r="K2919" s="6"/>
      <c r="L2919" s="6"/>
      <c r="M2919" s="6"/>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c r="BU2919" s="6"/>
      <c r="BV2919" s="6"/>
      <c r="BW2919" s="6"/>
      <c r="BX2919" s="6"/>
      <c r="BY2919" s="6"/>
      <c r="BZ2919" s="6"/>
      <c r="CA2919" s="6"/>
      <c r="CB2919" s="6"/>
      <c r="CC2919" s="6"/>
      <c r="CD2919" s="6"/>
      <c r="CE2919" s="6"/>
      <c r="CF2919" s="6"/>
      <c r="CG2919" s="6"/>
      <c r="CH2919" s="6"/>
      <c r="CI2919" s="6"/>
      <c r="CJ2919" s="6"/>
      <c r="CK2919" s="6"/>
      <c r="CL2919" s="6"/>
      <c r="CM2919" s="6"/>
      <c r="CN2919" s="6"/>
      <c r="CO2919" s="6"/>
      <c r="CP2919" s="6"/>
      <c r="CQ2919" s="6"/>
      <c r="CR2919" s="6"/>
      <c r="CS2919" s="6"/>
      <c r="CT2919" s="6"/>
      <c r="CU2919" s="6"/>
      <c r="CV2919" s="6"/>
      <c r="CW2919" s="6"/>
      <c r="CX2919" s="6"/>
      <c r="CY2919" s="6"/>
      <c r="CZ2919" s="6"/>
      <c r="DA2919" s="6"/>
      <c r="DB2919" s="6"/>
      <c r="DC2919" s="6"/>
      <c r="DD2919" s="6"/>
    </row>
    <row r="2920" spans="1:108" ht="12.75" hidden="1" customHeight="1" outlineLevel="5">
      <c r="A2920" s="104" t="s">
        <v>230</v>
      </c>
      <c r="B2920" s="94">
        <f t="shared" si="168"/>
        <v>0.4108675</v>
      </c>
      <c r="C2920" s="11"/>
      <c r="D2920" s="18" t="str">
        <f>"&lt;" &amp; A2920 &amp; "&gt;" &amp; TEXT(B2920,"0.000000") &amp; "&lt;/" &amp; A2920 &amp; "&gt;"</f>
        <v>&lt;Radius_Tip&gt;0.410868&lt;/Radius_Tip&gt;</v>
      </c>
      <c r="F2920" s="6"/>
      <c r="G2920" s="6"/>
      <c r="H2920" s="6"/>
      <c r="I2920" s="6"/>
      <c r="J2920" s="6"/>
      <c r="K2920" s="6"/>
      <c r="L2920" s="6"/>
      <c r="M2920" s="6"/>
      <c r="N2920" s="6"/>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c r="BU2920" s="6"/>
      <c r="BV2920" s="6"/>
      <c r="BW2920" s="6"/>
      <c r="BX2920" s="6"/>
      <c r="BY2920" s="6"/>
      <c r="BZ2920" s="6"/>
      <c r="CA2920" s="6"/>
      <c r="CB2920" s="6"/>
      <c r="CC2920" s="6"/>
      <c r="CD2920" s="6"/>
      <c r="CE2920" s="6"/>
      <c r="CF2920" s="6"/>
      <c r="CG2920" s="6"/>
      <c r="CH2920" s="6"/>
      <c r="CI2920" s="6"/>
      <c r="CJ2920" s="6"/>
      <c r="CK2920" s="6"/>
      <c r="CL2920" s="6"/>
      <c r="CM2920" s="6"/>
      <c r="CN2920" s="6"/>
      <c r="CO2920" s="6"/>
      <c r="CP2920" s="6"/>
      <c r="CQ2920" s="6"/>
      <c r="CR2920" s="6"/>
      <c r="CS2920" s="6"/>
      <c r="CT2920" s="6"/>
      <c r="CU2920" s="6"/>
      <c r="CV2920" s="6"/>
      <c r="CW2920" s="6"/>
      <c r="CX2920" s="6"/>
      <c r="CY2920" s="6"/>
      <c r="CZ2920" s="6"/>
      <c r="DA2920" s="6"/>
      <c r="DB2920" s="6"/>
      <c r="DC2920" s="6"/>
      <c r="DD2920" s="6"/>
    </row>
    <row r="2921" spans="1:108" ht="12.75" hidden="1" customHeight="1" outlineLevel="5">
      <c r="A2921" s="104" t="s">
        <v>231</v>
      </c>
      <c r="B2921" s="28">
        <f t="shared" si="168"/>
        <v>1.3</v>
      </c>
      <c r="C2921" s="11"/>
      <c r="D2921" s="18" t="str">
        <f>"&lt;" &amp; A2921 &amp; "&gt;" &amp; TEXT(B2921,"0.000000") &amp; "&lt;/" &amp; A2921 &amp; "&gt;"</f>
        <v>&lt;Max_Tip&gt;1.300000&lt;/Max_Tip&gt;</v>
      </c>
      <c r="F2921" s="6"/>
      <c r="G2921" s="6"/>
      <c r="H2921" s="6"/>
      <c r="I2921" s="6"/>
      <c r="J2921" s="6"/>
      <c r="K2921" s="6"/>
      <c r="L2921" s="6"/>
      <c r="M2921" s="6"/>
      <c r="N2921" s="6"/>
      <c r="O2921" s="6"/>
      <c r="P2921" s="6"/>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c r="BU2921" s="6"/>
      <c r="BV2921" s="6"/>
      <c r="BW2921" s="6"/>
      <c r="BX2921" s="6"/>
      <c r="BY2921" s="6"/>
      <c r="BZ2921" s="6"/>
      <c r="CA2921" s="6"/>
      <c r="CB2921" s="6"/>
      <c r="CC2921" s="6"/>
      <c r="CD2921" s="6"/>
      <c r="CE2921" s="6"/>
      <c r="CF2921" s="6"/>
      <c r="CG2921" s="6"/>
      <c r="CH2921" s="6"/>
      <c r="CI2921" s="6"/>
      <c r="CJ2921" s="6"/>
      <c r="CK2921" s="6"/>
      <c r="CL2921" s="6"/>
      <c r="CM2921" s="6"/>
      <c r="CN2921" s="6"/>
      <c r="CO2921" s="6"/>
      <c r="CP2921" s="6"/>
      <c r="CQ2921" s="6"/>
      <c r="CR2921" s="6"/>
      <c r="CS2921" s="6"/>
      <c r="CT2921" s="6"/>
      <c r="CU2921" s="6"/>
      <c r="CV2921" s="6"/>
      <c r="CW2921" s="6"/>
      <c r="CX2921" s="6"/>
      <c r="CY2921" s="6"/>
      <c r="CZ2921" s="6"/>
      <c r="DA2921" s="6"/>
      <c r="DB2921" s="6"/>
      <c r="DC2921" s="6"/>
      <c r="DD2921" s="6"/>
    </row>
    <row r="2922" spans="1:108" ht="12.75" hidden="1" customHeight="1" outlineLevel="5">
      <c r="A2922" s="104" t="s">
        <v>232</v>
      </c>
      <c r="B2922" s="94">
        <f t="shared" si="168"/>
        <v>0.5</v>
      </c>
      <c r="C2922" s="11"/>
      <c r="D2922" s="18" t="str">
        <f>"&lt;" &amp; A2922 &amp; "&gt;" &amp; TEXT(B2922,"0.000000") &amp; "&lt;/" &amp; A2922 &amp; "&gt;"</f>
        <v>&lt;Hub_Tip&gt;0.500000&lt;/Hub_Tip&gt;</v>
      </c>
      <c r="F2922" s="6"/>
      <c r="G2922" s="6"/>
      <c r="H2922" s="6"/>
      <c r="I2922" s="6"/>
      <c r="J2922" s="6"/>
      <c r="K2922" s="6"/>
      <c r="L2922" s="6"/>
      <c r="M2922" s="6"/>
      <c r="N2922" s="6"/>
      <c r="O2922" s="6"/>
      <c r="P2922" s="6"/>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c r="BU2922" s="6"/>
      <c r="BV2922" s="6"/>
      <c r="BW2922" s="6"/>
      <c r="BX2922" s="6"/>
      <c r="BY2922" s="6"/>
      <c r="BZ2922" s="6"/>
      <c r="CA2922" s="6"/>
      <c r="CB2922" s="6"/>
      <c r="CC2922" s="6"/>
      <c r="CD2922" s="6"/>
      <c r="CE2922" s="6"/>
      <c r="CF2922" s="6"/>
      <c r="CG2922" s="6"/>
      <c r="CH2922" s="6"/>
      <c r="CI2922" s="6"/>
      <c r="CJ2922" s="6"/>
      <c r="CK2922" s="6"/>
      <c r="CL2922" s="6"/>
      <c r="CM2922" s="6"/>
      <c r="CN2922" s="6"/>
      <c r="CO2922" s="6"/>
      <c r="CP2922" s="6"/>
      <c r="CQ2922" s="6"/>
      <c r="CR2922" s="6"/>
      <c r="CS2922" s="6"/>
      <c r="CT2922" s="6"/>
      <c r="CU2922" s="6"/>
      <c r="CV2922" s="6"/>
      <c r="CW2922" s="6"/>
      <c r="CX2922" s="6"/>
      <c r="CY2922" s="6"/>
      <c r="CZ2922" s="6"/>
      <c r="DA2922" s="6"/>
      <c r="DB2922" s="6"/>
      <c r="DC2922" s="6"/>
      <c r="DD2922" s="6"/>
    </row>
    <row r="2923" spans="1:108" ht="12.75" hidden="1" customHeight="1" outlineLevel="5">
      <c r="A2923" s="104" t="s">
        <v>233</v>
      </c>
      <c r="B2923" s="28">
        <f t="shared" si="168"/>
        <v>0</v>
      </c>
      <c r="C2923" s="11"/>
      <c r="D2923" s="18" t="str">
        <f>"&lt;" &amp; A2923 &amp; "&gt;" &amp; TEXT(B2923,"0.000000") &amp; "&lt;/" &amp; A2923 &amp; "&gt;"</f>
        <v>&lt;Eng_Length&gt;0.000000&lt;/Eng_Length&gt;</v>
      </c>
      <c r="F2923" s="6"/>
      <c r="G2923" s="6"/>
      <c r="H2923" s="6"/>
      <c r="I2923" s="6"/>
      <c r="J2923" s="6"/>
      <c r="K2923" s="6"/>
      <c r="L2923" s="6"/>
      <c r="M2923" s="6"/>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c r="BU2923" s="6"/>
      <c r="BV2923" s="6"/>
      <c r="BW2923" s="6"/>
      <c r="BX2923" s="6"/>
      <c r="BY2923" s="6"/>
      <c r="BZ2923" s="6"/>
      <c r="CA2923" s="6"/>
      <c r="CB2923" s="6"/>
      <c r="CC2923" s="6"/>
      <c r="CD2923" s="6"/>
      <c r="CE2923" s="6"/>
      <c r="CF2923" s="6"/>
      <c r="CG2923" s="6"/>
      <c r="CH2923" s="6"/>
      <c r="CI2923" s="6"/>
      <c r="CJ2923" s="6"/>
      <c r="CK2923" s="6"/>
      <c r="CL2923" s="6"/>
      <c r="CM2923" s="6"/>
      <c r="CN2923" s="6"/>
      <c r="CO2923" s="6"/>
      <c r="CP2923" s="6"/>
      <c r="CQ2923" s="6"/>
      <c r="CR2923" s="6"/>
      <c r="CS2923" s="6"/>
      <c r="CT2923" s="6"/>
      <c r="CU2923" s="6"/>
      <c r="CV2923" s="6"/>
      <c r="CW2923" s="6"/>
      <c r="CX2923" s="6"/>
      <c r="CY2923" s="6"/>
      <c r="CZ2923" s="6"/>
      <c r="DA2923" s="6"/>
      <c r="DB2923" s="6"/>
      <c r="DC2923" s="6"/>
      <c r="DD2923" s="6"/>
    </row>
    <row r="2924" spans="1:108" ht="12.75" hidden="1" customHeight="1" outlineLevel="5">
      <c r="A2924" s="104" t="s">
        <v>234</v>
      </c>
      <c r="B2924" s="28">
        <f t="shared" si="168"/>
        <v>1</v>
      </c>
      <c r="C2924" s="11"/>
      <c r="D2924" s="18" t="str">
        <f>"&lt;" &amp; A2924 &amp; "&gt;" &amp; TEXT(B2924,0) &amp; "&lt;/" &amp; A2924 &amp; "&gt;"</f>
        <v>&lt;Inlet_Type&gt;1&lt;/Inlet_Type&gt;</v>
      </c>
      <c r="F2924" s="6"/>
      <c r="G2924" s="6"/>
      <c r="H2924" s="6"/>
      <c r="I2924" s="6"/>
      <c r="J2924" s="6"/>
      <c r="K2924" s="6"/>
      <c r="L2924" s="6"/>
      <c r="M2924" s="6"/>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c r="BU2924" s="6"/>
      <c r="BV2924" s="6"/>
      <c r="BW2924" s="6"/>
      <c r="BX2924" s="6"/>
      <c r="BY2924" s="6"/>
      <c r="BZ2924" s="6"/>
      <c r="CA2924" s="6"/>
      <c r="CB2924" s="6"/>
      <c r="CC2924" s="6"/>
      <c r="CD2924" s="6"/>
      <c r="CE2924" s="6"/>
      <c r="CF2924" s="6"/>
      <c r="CG2924" s="6"/>
      <c r="CH2924" s="6"/>
      <c r="CI2924" s="6"/>
      <c r="CJ2924" s="6"/>
      <c r="CK2924" s="6"/>
      <c r="CL2924" s="6"/>
      <c r="CM2924" s="6"/>
      <c r="CN2924" s="6"/>
      <c r="CO2924" s="6"/>
      <c r="CP2924" s="6"/>
      <c r="CQ2924" s="6"/>
      <c r="CR2924" s="6"/>
      <c r="CS2924" s="6"/>
      <c r="CT2924" s="6"/>
      <c r="CU2924" s="6"/>
      <c r="CV2924" s="6"/>
      <c r="CW2924" s="6"/>
      <c r="CX2924" s="6"/>
      <c r="CY2924" s="6"/>
      <c r="CZ2924" s="6"/>
      <c r="DA2924" s="6"/>
      <c r="DB2924" s="6"/>
      <c r="DC2924" s="6"/>
      <c r="DD2924" s="6"/>
    </row>
    <row r="2925" spans="1:108" ht="12.75" hidden="1" customHeight="1" outlineLevel="5">
      <c r="A2925" s="104" t="s">
        <v>235</v>
      </c>
      <c r="B2925" s="28">
        <f t="shared" si="168"/>
        <v>0</v>
      </c>
      <c r="C2925" s="11"/>
      <c r="D2925" s="18" t="str">
        <f>"&lt;" &amp; A2925 &amp; "&gt;" &amp; TEXT(B2925,0) &amp; "&lt;/" &amp; A2925 &amp; "&gt;"</f>
        <v>&lt;Inl_Noz_Color&gt;0&lt;/Inl_Noz_Color&gt;</v>
      </c>
      <c r="F2925" s="6"/>
      <c r="G2925" s="6"/>
      <c r="H2925" s="6"/>
      <c r="I2925" s="6"/>
      <c r="J2925" s="6"/>
      <c r="K2925" s="6"/>
      <c r="L2925" s="6"/>
      <c r="M2925" s="6"/>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c r="BU2925" s="6"/>
      <c r="BV2925" s="6"/>
      <c r="BW2925" s="6"/>
      <c r="BX2925" s="6"/>
      <c r="BY2925" s="6"/>
      <c r="BZ2925" s="6"/>
      <c r="CA2925" s="6"/>
      <c r="CB2925" s="6"/>
      <c r="CC2925" s="6"/>
      <c r="CD2925" s="6"/>
      <c r="CE2925" s="6"/>
      <c r="CF2925" s="6"/>
      <c r="CG2925" s="6"/>
      <c r="CH2925" s="6"/>
      <c r="CI2925" s="6"/>
      <c r="CJ2925" s="6"/>
      <c r="CK2925" s="6"/>
      <c r="CL2925" s="6"/>
      <c r="CM2925" s="6"/>
      <c r="CN2925" s="6"/>
      <c r="CO2925" s="6"/>
      <c r="CP2925" s="6"/>
      <c r="CQ2925" s="6"/>
      <c r="CR2925" s="6"/>
      <c r="CS2925" s="6"/>
      <c r="CT2925" s="6"/>
      <c r="CU2925" s="6"/>
      <c r="CV2925" s="6"/>
      <c r="CW2925" s="6"/>
      <c r="CX2925" s="6"/>
      <c r="CY2925" s="6"/>
      <c r="CZ2925" s="6"/>
      <c r="DA2925" s="6"/>
      <c r="DB2925" s="6"/>
      <c r="DC2925" s="6"/>
      <c r="DD2925" s="6"/>
    </row>
    <row r="2926" spans="1:108" ht="12.75" hidden="1" customHeight="1" outlineLevel="5">
      <c r="A2926" s="104" t="s">
        <v>236</v>
      </c>
      <c r="B2926" s="28">
        <f t="shared" si="168"/>
        <v>0</v>
      </c>
      <c r="C2926" s="11"/>
      <c r="D2926" s="18" t="str">
        <f>"&lt;" &amp; A2926 &amp; "&gt;" &amp; TEXT(B2926,0) &amp; "&lt;/" &amp; A2926 &amp; "&gt;"</f>
        <v>&lt;Inlet_XY_Sym_Flag&gt;0&lt;/Inlet_XY_Sym_Flag&gt;</v>
      </c>
      <c r="F2926" s="6"/>
      <c r="G2926" s="6"/>
      <c r="H2926" s="6"/>
      <c r="I2926" s="6"/>
      <c r="J2926" s="6"/>
      <c r="K2926" s="6"/>
      <c r="L2926" s="6"/>
      <c r="M2926" s="6"/>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c r="BU2926" s="6"/>
      <c r="BV2926" s="6"/>
      <c r="BW2926" s="6"/>
      <c r="BX2926" s="6"/>
      <c r="BY2926" s="6"/>
      <c r="BZ2926" s="6"/>
      <c r="CA2926" s="6"/>
      <c r="CB2926" s="6"/>
      <c r="CC2926" s="6"/>
      <c r="CD2926" s="6"/>
      <c r="CE2926" s="6"/>
      <c r="CF2926" s="6"/>
      <c r="CG2926" s="6"/>
      <c r="CH2926" s="6"/>
      <c r="CI2926" s="6"/>
      <c r="CJ2926" s="6"/>
      <c r="CK2926" s="6"/>
      <c r="CL2926" s="6"/>
      <c r="CM2926" s="6"/>
      <c r="CN2926" s="6"/>
      <c r="CO2926" s="6"/>
      <c r="CP2926" s="6"/>
      <c r="CQ2926" s="6"/>
      <c r="CR2926" s="6"/>
      <c r="CS2926" s="6"/>
      <c r="CT2926" s="6"/>
      <c r="CU2926" s="6"/>
      <c r="CV2926" s="6"/>
      <c r="CW2926" s="6"/>
      <c r="CX2926" s="6"/>
      <c r="CY2926" s="6"/>
      <c r="CZ2926" s="6"/>
      <c r="DA2926" s="6"/>
      <c r="DB2926" s="6"/>
      <c r="DC2926" s="6"/>
      <c r="DD2926" s="6"/>
    </row>
    <row r="2927" spans="1:108" ht="12.75" hidden="1" customHeight="1" outlineLevel="5">
      <c r="A2927" s="104" t="s">
        <v>237</v>
      </c>
      <c r="B2927" s="28">
        <f t="shared" si="168"/>
        <v>0</v>
      </c>
      <c r="C2927" s="11"/>
      <c r="D2927" s="18" t="str">
        <f>"&lt;" &amp; A2927 &amp; "&gt;" &amp; TEXT(B2927,0) &amp; "&lt;/" &amp; A2927 &amp; "&gt;"</f>
        <v>&lt;Inlet_Half_Split_Flag&gt;0&lt;/Inlet_Half_Split_Flag&gt;</v>
      </c>
      <c r="F2927" s="6"/>
      <c r="G2927" s="6"/>
      <c r="H2927" s="6"/>
      <c r="I2927" s="6"/>
      <c r="J2927" s="6"/>
      <c r="K2927" s="6"/>
      <c r="L2927" s="6"/>
      <c r="M2927" s="6"/>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c r="BU2927" s="6"/>
      <c r="BV2927" s="6"/>
      <c r="BW2927" s="6"/>
      <c r="BX2927" s="6"/>
      <c r="BY2927" s="6"/>
      <c r="BZ2927" s="6"/>
      <c r="CA2927" s="6"/>
      <c r="CB2927" s="6"/>
      <c r="CC2927" s="6"/>
      <c r="CD2927" s="6"/>
      <c r="CE2927" s="6"/>
      <c r="CF2927" s="6"/>
      <c r="CG2927" s="6"/>
      <c r="CH2927" s="6"/>
      <c r="CI2927" s="6"/>
      <c r="CJ2927" s="6"/>
      <c r="CK2927" s="6"/>
      <c r="CL2927" s="6"/>
      <c r="CM2927" s="6"/>
      <c r="CN2927" s="6"/>
      <c r="CO2927" s="6"/>
      <c r="CP2927" s="6"/>
      <c r="CQ2927" s="6"/>
      <c r="CR2927" s="6"/>
      <c r="CS2927" s="6"/>
      <c r="CT2927" s="6"/>
      <c r="CU2927" s="6"/>
      <c r="CV2927" s="6"/>
      <c r="CW2927" s="6"/>
      <c r="CX2927" s="6"/>
      <c r="CY2927" s="6"/>
      <c r="CZ2927" s="6"/>
      <c r="DA2927" s="6"/>
      <c r="DB2927" s="6"/>
      <c r="DC2927" s="6"/>
      <c r="DD2927" s="6"/>
    </row>
    <row r="2928" spans="1:108" ht="12.75" hidden="1" customHeight="1" outlineLevel="5">
      <c r="A2928" s="104" t="s">
        <v>238</v>
      </c>
      <c r="B2928" s="28">
        <f t="shared" si="168"/>
        <v>1E-3</v>
      </c>
      <c r="C2928" s="11"/>
      <c r="D2928" s="18" t="str">
        <f t="shared" ref="D2928:D2936" si="169">"&lt;" &amp; A2928 &amp; "&gt;" &amp; TEXT(B2928,"0.000000") &amp; "&lt;/" &amp; A2928 &amp; "&gt;"</f>
        <v>&lt;Cowl_Length&gt;0.001000&lt;/Cowl_Length&gt;</v>
      </c>
      <c r="F2928" s="6"/>
      <c r="G2928" s="6"/>
      <c r="H2928" s="6"/>
      <c r="I2928" s="6"/>
      <c r="J2928" s="6"/>
      <c r="K2928" s="6"/>
      <c r="L2928" s="6"/>
      <c r="M2928" s="6"/>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c r="BU2928" s="6"/>
      <c r="BV2928" s="6"/>
      <c r="BW2928" s="6"/>
      <c r="BX2928" s="6"/>
      <c r="BY2928" s="6"/>
      <c r="BZ2928" s="6"/>
      <c r="CA2928" s="6"/>
      <c r="CB2928" s="6"/>
      <c r="CC2928" s="6"/>
      <c r="CD2928" s="6"/>
      <c r="CE2928" s="6"/>
      <c r="CF2928" s="6"/>
      <c r="CG2928" s="6"/>
      <c r="CH2928" s="6"/>
      <c r="CI2928" s="6"/>
      <c r="CJ2928" s="6"/>
      <c r="CK2928" s="6"/>
      <c r="CL2928" s="6"/>
      <c r="CM2928" s="6"/>
      <c r="CN2928" s="6"/>
      <c r="CO2928" s="6"/>
      <c r="CP2928" s="6"/>
      <c r="CQ2928" s="6"/>
      <c r="CR2928" s="6"/>
      <c r="CS2928" s="6"/>
      <c r="CT2928" s="6"/>
      <c r="CU2928" s="6"/>
      <c r="CV2928" s="6"/>
      <c r="CW2928" s="6"/>
      <c r="CX2928" s="6"/>
      <c r="CY2928" s="6"/>
      <c r="CZ2928" s="6"/>
      <c r="DA2928" s="6"/>
      <c r="DB2928" s="6"/>
      <c r="DC2928" s="6"/>
      <c r="DD2928" s="6"/>
    </row>
    <row r="2929" spans="1:108" ht="12.75" hidden="1" customHeight="1" outlineLevel="5">
      <c r="A2929" s="104" t="s">
        <v>239</v>
      </c>
      <c r="B2929" s="28">
        <f t="shared" si="168"/>
        <v>1.5</v>
      </c>
      <c r="C2929" s="11"/>
      <c r="D2929" s="18" t="str">
        <f t="shared" si="169"/>
        <v>&lt;Eng_Thrt_Ratio&gt;1.500000&lt;/Eng_Thrt_Ratio&gt;</v>
      </c>
      <c r="F2929" s="6"/>
      <c r="G2929" s="6"/>
      <c r="H2929" s="6"/>
      <c r="I2929" s="6"/>
      <c r="J2929" s="6"/>
      <c r="K2929" s="6"/>
      <c r="L2929" s="6"/>
      <c r="M2929" s="6"/>
      <c r="N2929" s="6"/>
      <c r="O2929" s="6"/>
      <c r="P2929" s="6"/>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c r="BU2929" s="6"/>
      <c r="BV2929" s="6"/>
      <c r="BW2929" s="6"/>
      <c r="BX2929" s="6"/>
      <c r="BY2929" s="6"/>
      <c r="BZ2929" s="6"/>
      <c r="CA2929" s="6"/>
      <c r="CB2929" s="6"/>
      <c r="CC2929" s="6"/>
      <c r="CD2929" s="6"/>
      <c r="CE2929" s="6"/>
      <c r="CF2929" s="6"/>
      <c r="CG2929" s="6"/>
      <c r="CH2929" s="6"/>
      <c r="CI2929" s="6"/>
      <c r="CJ2929" s="6"/>
      <c r="CK2929" s="6"/>
      <c r="CL2929" s="6"/>
      <c r="CM2929" s="6"/>
      <c r="CN2929" s="6"/>
      <c r="CO2929" s="6"/>
      <c r="CP2929" s="6"/>
      <c r="CQ2929" s="6"/>
      <c r="CR2929" s="6"/>
      <c r="CS2929" s="6"/>
      <c r="CT2929" s="6"/>
      <c r="CU2929" s="6"/>
      <c r="CV2929" s="6"/>
      <c r="CW2929" s="6"/>
      <c r="CX2929" s="6"/>
      <c r="CY2929" s="6"/>
      <c r="CZ2929" s="6"/>
      <c r="DA2929" s="6"/>
      <c r="DB2929" s="6"/>
      <c r="DC2929" s="6"/>
      <c r="DD2929" s="6"/>
    </row>
    <row r="2930" spans="1:108" ht="12.75" hidden="1" customHeight="1" outlineLevel="5">
      <c r="A2930" s="104" t="s">
        <v>240</v>
      </c>
      <c r="B2930" s="28">
        <f t="shared" si="168"/>
        <v>1.3</v>
      </c>
      <c r="C2930" s="11"/>
      <c r="D2930" s="18" t="str">
        <f t="shared" si="169"/>
        <v>&lt;Hilight_Thrt_Ratio&gt;1.300000&lt;/Hilight_Thrt_Ratio&gt;</v>
      </c>
      <c r="F2930" s="6"/>
      <c r="G2930" s="6"/>
      <c r="H2930" s="6"/>
      <c r="I2930" s="6"/>
      <c r="J2930" s="6"/>
      <c r="K2930" s="6"/>
      <c r="L2930" s="6"/>
      <c r="M2930" s="6"/>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c r="BU2930" s="6"/>
      <c r="BV2930" s="6"/>
      <c r="BW2930" s="6"/>
      <c r="BX2930" s="6"/>
      <c r="BY2930" s="6"/>
      <c r="BZ2930" s="6"/>
      <c r="CA2930" s="6"/>
      <c r="CB2930" s="6"/>
      <c r="CC2930" s="6"/>
      <c r="CD2930" s="6"/>
      <c r="CE2930" s="6"/>
      <c r="CF2930" s="6"/>
      <c r="CG2930" s="6"/>
      <c r="CH2930" s="6"/>
      <c r="CI2930" s="6"/>
      <c r="CJ2930" s="6"/>
      <c r="CK2930" s="6"/>
      <c r="CL2930" s="6"/>
      <c r="CM2930" s="6"/>
      <c r="CN2930" s="6"/>
      <c r="CO2930" s="6"/>
      <c r="CP2930" s="6"/>
      <c r="CQ2930" s="6"/>
      <c r="CR2930" s="6"/>
      <c r="CS2930" s="6"/>
      <c r="CT2930" s="6"/>
      <c r="CU2930" s="6"/>
      <c r="CV2930" s="6"/>
      <c r="CW2930" s="6"/>
      <c r="CX2930" s="6"/>
      <c r="CY2930" s="6"/>
      <c r="CZ2930" s="6"/>
      <c r="DA2930" s="6"/>
      <c r="DB2930" s="6"/>
      <c r="DC2930" s="6"/>
      <c r="DD2930" s="6"/>
    </row>
    <row r="2931" spans="1:108" ht="12.75" hidden="1" customHeight="1" outlineLevel="5">
      <c r="A2931" s="104" t="s">
        <v>241</v>
      </c>
      <c r="B2931" s="28">
        <f t="shared" si="168"/>
        <v>1.9</v>
      </c>
      <c r="C2931" s="11"/>
      <c r="D2931" s="18" t="str">
        <f t="shared" si="169"/>
        <v>&lt;Lip_Finess_Ratio&gt;1.900000&lt;/Lip_Finess_Ratio&gt;</v>
      </c>
      <c r="F2931" s="6"/>
      <c r="G2931" s="6"/>
      <c r="H2931" s="6"/>
      <c r="I2931" s="6"/>
      <c r="J2931" s="6"/>
      <c r="K2931" s="6"/>
      <c r="L2931" s="6"/>
      <c r="M2931" s="6"/>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c r="BU2931" s="6"/>
      <c r="BV2931" s="6"/>
      <c r="BW2931" s="6"/>
      <c r="BX2931" s="6"/>
      <c r="BY2931" s="6"/>
      <c r="BZ2931" s="6"/>
      <c r="CA2931" s="6"/>
      <c r="CB2931" s="6"/>
      <c r="CC2931" s="6"/>
      <c r="CD2931" s="6"/>
      <c r="CE2931" s="6"/>
      <c r="CF2931" s="6"/>
      <c r="CG2931" s="6"/>
      <c r="CH2931" s="6"/>
      <c r="CI2931" s="6"/>
      <c r="CJ2931" s="6"/>
      <c r="CK2931" s="6"/>
      <c r="CL2931" s="6"/>
      <c r="CM2931" s="6"/>
      <c r="CN2931" s="6"/>
      <c r="CO2931" s="6"/>
      <c r="CP2931" s="6"/>
      <c r="CQ2931" s="6"/>
      <c r="CR2931" s="6"/>
      <c r="CS2931" s="6"/>
      <c r="CT2931" s="6"/>
      <c r="CU2931" s="6"/>
      <c r="CV2931" s="6"/>
      <c r="CW2931" s="6"/>
      <c r="CX2931" s="6"/>
      <c r="CY2931" s="6"/>
      <c r="CZ2931" s="6"/>
      <c r="DA2931" s="6"/>
      <c r="DB2931" s="6"/>
      <c r="DC2931" s="6"/>
      <c r="DD2931" s="6"/>
    </row>
    <row r="2932" spans="1:108" ht="12.75" hidden="1" customHeight="1" outlineLevel="5">
      <c r="A2932" s="104" t="s">
        <v>242</v>
      </c>
      <c r="B2932" s="28">
        <f t="shared" si="168"/>
        <v>1</v>
      </c>
      <c r="C2932" s="11"/>
      <c r="D2932" s="18" t="str">
        <f t="shared" si="169"/>
        <v>&lt;Height_Width_Ratio&gt;1.000000&lt;/Height_Width_Ratio&gt;</v>
      </c>
      <c r="F2932" s="6"/>
      <c r="G2932" s="6"/>
      <c r="H2932" s="6"/>
      <c r="I2932" s="6"/>
      <c r="J2932" s="6"/>
      <c r="K2932" s="6"/>
      <c r="L2932" s="6"/>
      <c r="M2932" s="6"/>
      <c r="N2932" s="6"/>
      <c r="O2932" s="6"/>
      <c r="P2932" s="6"/>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c r="BU2932" s="6"/>
      <c r="BV2932" s="6"/>
      <c r="BW2932" s="6"/>
      <c r="BX2932" s="6"/>
      <c r="BY2932" s="6"/>
      <c r="BZ2932" s="6"/>
      <c r="CA2932" s="6"/>
      <c r="CB2932" s="6"/>
      <c r="CC2932" s="6"/>
      <c r="CD2932" s="6"/>
      <c r="CE2932" s="6"/>
      <c r="CF2932" s="6"/>
      <c r="CG2932" s="6"/>
      <c r="CH2932" s="6"/>
      <c r="CI2932" s="6"/>
      <c r="CJ2932" s="6"/>
      <c r="CK2932" s="6"/>
      <c r="CL2932" s="6"/>
      <c r="CM2932" s="6"/>
      <c r="CN2932" s="6"/>
      <c r="CO2932" s="6"/>
      <c r="CP2932" s="6"/>
      <c r="CQ2932" s="6"/>
      <c r="CR2932" s="6"/>
      <c r="CS2932" s="6"/>
      <c r="CT2932" s="6"/>
      <c r="CU2932" s="6"/>
      <c r="CV2932" s="6"/>
      <c r="CW2932" s="6"/>
      <c r="CX2932" s="6"/>
      <c r="CY2932" s="6"/>
      <c r="CZ2932" s="6"/>
      <c r="DA2932" s="6"/>
      <c r="DB2932" s="6"/>
      <c r="DC2932" s="6"/>
      <c r="DD2932" s="6"/>
    </row>
    <row r="2933" spans="1:108" ht="12.75" hidden="1" customHeight="1" outlineLevel="5">
      <c r="A2933" s="104" t="s">
        <v>243</v>
      </c>
      <c r="B2933" s="28">
        <f t="shared" si="168"/>
        <v>-1.3</v>
      </c>
      <c r="C2933" s="11"/>
      <c r="D2933" s="18" t="str">
        <f t="shared" si="169"/>
        <v>&lt;Upper_Surf_Shape_Factor&gt;-1.300000&lt;/Upper_Surf_Shape_Factor&gt;</v>
      </c>
      <c r="F2933" s="6"/>
      <c r="G2933" s="6"/>
      <c r="H2933" s="6"/>
      <c r="I2933" s="6"/>
      <c r="J2933" s="6"/>
      <c r="K2933" s="6"/>
      <c r="L2933" s="6"/>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c r="BU2933" s="6"/>
      <c r="BV2933" s="6"/>
      <c r="BW2933" s="6"/>
      <c r="BX2933" s="6"/>
      <c r="BY2933" s="6"/>
      <c r="BZ2933" s="6"/>
      <c r="CA2933" s="6"/>
      <c r="CB2933" s="6"/>
      <c r="CC2933" s="6"/>
      <c r="CD2933" s="6"/>
      <c r="CE2933" s="6"/>
      <c r="CF2933" s="6"/>
      <c r="CG2933" s="6"/>
      <c r="CH2933" s="6"/>
      <c r="CI2933" s="6"/>
      <c r="CJ2933" s="6"/>
      <c r="CK2933" s="6"/>
      <c r="CL2933" s="6"/>
      <c r="CM2933" s="6"/>
      <c r="CN2933" s="6"/>
      <c r="CO2933" s="6"/>
      <c r="CP2933" s="6"/>
      <c r="CQ2933" s="6"/>
      <c r="CR2933" s="6"/>
      <c r="CS2933" s="6"/>
      <c r="CT2933" s="6"/>
      <c r="CU2933" s="6"/>
      <c r="CV2933" s="6"/>
      <c r="CW2933" s="6"/>
      <c r="CX2933" s="6"/>
      <c r="CY2933" s="6"/>
      <c r="CZ2933" s="6"/>
      <c r="DA2933" s="6"/>
      <c r="DB2933" s="6"/>
      <c r="DC2933" s="6"/>
      <c r="DD2933" s="6"/>
    </row>
    <row r="2934" spans="1:108" ht="12.75" hidden="1" customHeight="1" outlineLevel="5">
      <c r="A2934" s="104" t="s">
        <v>244</v>
      </c>
      <c r="B2934" s="28">
        <f t="shared" si="168"/>
        <v>0.7</v>
      </c>
      <c r="C2934" s="11"/>
      <c r="D2934" s="18" t="str">
        <f t="shared" si="169"/>
        <v>&lt;Lower_Surf_Shape_Factor&gt;0.700000&lt;/Lower_Surf_Shape_Factor&gt;</v>
      </c>
      <c r="F2934" s="6"/>
      <c r="G2934" s="6"/>
      <c r="H2934" s="6"/>
      <c r="I2934" s="6"/>
      <c r="J2934" s="6"/>
      <c r="K2934" s="6"/>
      <c r="L2934" s="6"/>
      <c r="M2934" s="6"/>
      <c r="N2934" s="6"/>
      <c r="O2934" s="6"/>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c r="BU2934" s="6"/>
      <c r="BV2934" s="6"/>
      <c r="BW2934" s="6"/>
      <c r="BX2934" s="6"/>
      <c r="BY2934" s="6"/>
      <c r="BZ2934" s="6"/>
      <c r="CA2934" s="6"/>
      <c r="CB2934" s="6"/>
      <c r="CC2934" s="6"/>
      <c r="CD2934" s="6"/>
      <c r="CE2934" s="6"/>
      <c r="CF2934" s="6"/>
      <c r="CG2934" s="6"/>
      <c r="CH2934" s="6"/>
      <c r="CI2934" s="6"/>
      <c r="CJ2934" s="6"/>
      <c r="CK2934" s="6"/>
      <c r="CL2934" s="6"/>
      <c r="CM2934" s="6"/>
      <c r="CN2934" s="6"/>
      <c r="CO2934" s="6"/>
      <c r="CP2934" s="6"/>
      <c r="CQ2934" s="6"/>
      <c r="CR2934" s="6"/>
      <c r="CS2934" s="6"/>
      <c r="CT2934" s="6"/>
      <c r="CU2934" s="6"/>
      <c r="CV2934" s="6"/>
      <c r="CW2934" s="6"/>
      <c r="CX2934" s="6"/>
      <c r="CY2934" s="6"/>
      <c r="CZ2934" s="6"/>
      <c r="DA2934" s="6"/>
      <c r="DB2934" s="6"/>
      <c r="DC2934" s="6"/>
      <c r="DD2934" s="6"/>
    </row>
    <row r="2935" spans="1:108" ht="12.75" hidden="1" customHeight="1" outlineLevel="5">
      <c r="A2935" s="104" t="s">
        <v>245</v>
      </c>
      <c r="B2935" s="28">
        <f t="shared" si="168"/>
        <v>0</v>
      </c>
      <c r="C2935" s="11"/>
      <c r="D2935" s="18" t="str">
        <f t="shared" si="169"/>
        <v>&lt;Inlet_X_Axis_Rot&gt;0.000000&lt;/Inlet_X_Axis_Rot&gt;</v>
      </c>
      <c r="F2935" s="6"/>
      <c r="G2935" s="6"/>
      <c r="H2935" s="6"/>
      <c r="I2935" s="6"/>
      <c r="J2935" s="6"/>
      <c r="K2935" s="6"/>
      <c r="L2935" s="6"/>
      <c r="M2935" s="6"/>
      <c r="N2935" s="6"/>
      <c r="O2935" s="6"/>
      <c r="P2935" s="6"/>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c r="BU2935" s="6"/>
      <c r="BV2935" s="6"/>
      <c r="BW2935" s="6"/>
      <c r="BX2935" s="6"/>
      <c r="BY2935" s="6"/>
      <c r="BZ2935" s="6"/>
      <c r="CA2935" s="6"/>
      <c r="CB2935" s="6"/>
      <c r="CC2935" s="6"/>
      <c r="CD2935" s="6"/>
      <c r="CE2935" s="6"/>
      <c r="CF2935" s="6"/>
      <c r="CG2935" s="6"/>
      <c r="CH2935" s="6"/>
      <c r="CI2935" s="6"/>
      <c r="CJ2935" s="6"/>
      <c r="CK2935" s="6"/>
      <c r="CL2935" s="6"/>
      <c r="CM2935" s="6"/>
      <c r="CN2935" s="6"/>
      <c r="CO2935" s="6"/>
      <c r="CP2935" s="6"/>
      <c r="CQ2935" s="6"/>
      <c r="CR2935" s="6"/>
      <c r="CS2935" s="6"/>
      <c r="CT2935" s="6"/>
      <c r="CU2935" s="6"/>
      <c r="CV2935" s="6"/>
      <c r="CW2935" s="6"/>
      <c r="CX2935" s="6"/>
      <c r="CY2935" s="6"/>
      <c r="CZ2935" s="6"/>
      <c r="DA2935" s="6"/>
      <c r="DB2935" s="6"/>
      <c r="DC2935" s="6"/>
      <c r="DD2935" s="6"/>
    </row>
    <row r="2936" spans="1:108" ht="12.75" hidden="1" customHeight="1" outlineLevel="5">
      <c r="A2936" s="104" t="s">
        <v>246</v>
      </c>
      <c r="B2936" s="28">
        <f t="shared" si="168"/>
        <v>0</v>
      </c>
      <c r="C2936" s="11"/>
      <c r="D2936" s="18" t="str">
        <f t="shared" si="169"/>
        <v>&lt;Inlet_Scarf_Angle&gt;0.000000&lt;/Inlet_Scarf_Angle&gt;</v>
      </c>
      <c r="F2936" s="6"/>
      <c r="G2936" s="6"/>
      <c r="H2936" s="6"/>
      <c r="I2936" s="6"/>
      <c r="J2936" s="6"/>
      <c r="K2936" s="6"/>
      <c r="L2936" s="6"/>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c r="BU2936" s="6"/>
      <c r="BV2936" s="6"/>
      <c r="BW2936" s="6"/>
      <c r="BX2936" s="6"/>
      <c r="BY2936" s="6"/>
      <c r="BZ2936" s="6"/>
      <c r="CA2936" s="6"/>
      <c r="CB2936" s="6"/>
      <c r="CC2936" s="6"/>
      <c r="CD2936" s="6"/>
      <c r="CE2936" s="6"/>
      <c r="CF2936" s="6"/>
      <c r="CG2936" s="6"/>
      <c r="CH2936" s="6"/>
      <c r="CI2936" s="6"/>
      <c r="CJ2936" s="6"/>
      <c r="CK2936" s="6"/>
      <c r="CL2936" s="6"/>
      <c r="CM2936" s="6"/>
      <c r="CN2936" s="6"/>
      <c r="CO2936" s="6"/>
      <c r="CP2936" s="6"/>
      <c r="CQ2936" s="6"/>
      <c r="CR2936" s="6"/>
      <c r="CS2936" s="6"/>
      <c r="CT2936" s="6"/>
      <c r="CU2936" s="6"/>
      <c r="CV2936" s="6"/>
      <c r="CW2936" s="6"/>
      <c r="CX2936" s="6"/>
      <c r="CY2936" s="6"/>
      <c r="CZ2936" s="6"/>
      <c r="DA2936" s="6"/>
      <c r="DB2936" s="6"/>
      <c r="DC2936" s="6"/>
      <c r="DD2936" s="6"/>
    </row>
    <row r="2937" spans="1:108" ht="12.75" hidden="1" customHeight="1" outlineLevel="5">
      <c r="A2937" s="104" t="s">
        <v>247</v>
      </c>
      <c r="B2937" s="28">
        <f t="shared" si="168"/>
        <v>0</v>
      </c>
      <c r="C2937" s="11"/>
      <c r="D2937" s="18" t="str">
        <f>"&lt;" &amp; A2937 &amp; "&gt;" &amp; TEXT(B2937,0) &amp; "&lt;/" &amp; A2937 &amp; "&gt;"</f>
        <v>&lt;Inlet_Duct_On_Off&gt;0&lt;/Inlet_Duct_On_Off&gt;</v>
      </c>
      <c r="F2937" s="6"/>
      <c r="G2937" s="6"/>
      <c r="H2937" s="6"/>
      <c r="I2937" s="6"/>
      <c r="J2937" s="6"/>
      <c r="K2937" s="6"/>
      <c r="L2937" s="6"/>
      <c r="M2937" s="6"/>
      <c r="N2937" s="6"/>
      <c r="O2937" s="6"/>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c r="BU2937" s="6"/>
      <c r="BV2937" s="6"/>
      <c r="BW2937" s="6"/>
      <c r="BX2937" s="6"/>
      <c r="BY2937" s="6"/>
      <c r="BZ2937" s="6"/>
      <c r="CA2937" s="6"/>
      <c r="CB2937" s="6"/>
      <c r="CC2937" s="6"/>
      <c r="CD2937" s="6"/>
      <c r="CE2937" s="6"/>
      <c r="CF2937" s="6"/>
      <c r="CG2937" s="6"/>
      <c r="CH2937" s="6"/>
      <c r="CI2937" s="6"/>
      <c r="CJ2937" s="6"/>
      <c r="CK2937" s="6"/>
      <c r="CL2937" s="6"/>
      <c r="CM2937" s="6"/>
      <c r="CN2937" s="6"/>
      <c r="CO2937" s="6"/>
      <c r="CP2937" s="6"/>
      <c r="CQ2937" s="6"/>
      <c r="CR2937" s="6"/>
      <c r="CS2937" s="6"/>
      <c r="CT2937" s="6"/>
      <c r="CU2937" s="6"/>
      <c r="CV2937" s="6"/>
      <c r="CW2937" s="6"/>
      <c r="CX2937" s="6"/>
      <c r="CY2937" s="6"/>
      <c r="CZ2937" s="6"/>
      <c r="DA2937" s="6"/>
      <c r="DB2937" s="6"/>
      <c r="DC2937" s="6"/>
      <c r="DD2937" s="6"/>
    </row>
    <row r="2938" spans="1:108" ht="12.75" hidden="1" customHeight="1" outlineLevel="5">
      <c r="A2938" s="104" t="s">
        <v>248</v>
      </c>
      <c r="B2938" s="28">
        <f t="shared" si="168"/>
        <v>3</v>
      </c>
      <c r="C2938" s="11"/>
      <c r="D2938" s="18" t="str">
        <f>"&lt;" &amp; A2938 &amp; "&gt;" &amp; TEXT(B2938,"0.000000") &amp; "&lt;/" &amp; A2938 &amp; "&gt;"</f>
        <v>&lt;Inlet_Duct_X_Offset&gt;3.000000&lt;/Inlet_Duct_X_Offset&gt;</v>
      </c>
      <c r="F2938" s="6"/>
      <c r="G2938" s="6"/>
      <c r="H2938" s="6"/>
      <c r="I2938" s="6"/>
      <c r="J2938" s="6"/>
      <c r="K2938" s="6"/>
      <c r="L2938" s="6"/>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c r="BU2938" s="6"/>
      <c r="BV2938" s="6"/>
      <c r="BW2938" s="6"/>
      <c r="BX2938" s="6"/>
      <c r="BY2938" s="6"/>
      <c r="BZ2938" s="6"/>
      <c r="CA2938" s="6"/>
      <c r="CB2938" s="6"/>
      <c r="CC2938" s="6"/>
      <c r="CD2938" s="6"/>
      <c r="CE2938" s="6"/>
      <c r="CF2938" s="6"/>
      <c r="CG2938" s="6"/>
      <c r="CH2938" s="6"/>
      <c r="CI2938" s="6"/>
      <c r="CJ2938" s="6"/>
      <c r="CK2938" s="6"/>
      <c r="CL2938" s="6"/>
      <c r="CM2938" s="6"/>
      <c r="CN2938" s="6"/>
      <c r="CO2938" s="6"/>
      <c r="CP2938" s="6"/>
      <c r="CQ2938" s="6"/>
      <c r="CR2938" s="6"/>
      <c r="CS2938" s="6"/>
      <c r="CT2938" s="6"/>
      <c r="CU2938" s="6"/>
      <c r="CV2938" s="6"/>
      <c r="CW2938" s="6"/>
      <c r="CX2938" s="6"/>
      <c r="CY2938" s="6"/>
      <c r="CZ2938" s="6"/>
      <c r="DA2938" s="6"/>
      <c r="DB2938" s="6"/>
      <c r="DC2938" s="6"/>
      <c r="DD2938" s="6"/>
    </row>
    <row r="2939" spans="1:108" ht="12.75" hidden="1" customHeight="1" outlineLevel="5">
      <c r="A2939" s="104" t="s">
        <v>249</v>
      </c>
      <c r="B2939" s="28">
        <f t="shared" si="168"/>
        <v>1</v>
      </c>
      <c r="C2939" s="11"/>
      <c r="D2939" s="18" t="str">
        <f>"&lt;" &amp; A2939 &amp; "&gt;" &amp; TEXT(B2939,"0.000000") &amp; "&lt;/" &amp; A2939 &amp; "&gt;"</f>
        <v>&lt;Inlet_Duct_Y_Offset&gt;1.000000&lt;/Inlet_Duct_Y_Offset&gt;</v>
      </c>
      <c r="F2939" s="6"/>
      <c r="G2939" s="6"/>
      <c r="H2939" s="6"/>
      <c r="I2939" s="6"/>
      <c r="J2939" s="6"/>
      <c r="K2939" s="6"/>
      <c r="L2939" s="6"/>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c r="BU2939" s="6"/>
      <c r="BV2939" s="6"/>
      <c r="BW2939" s="6"/>
      <c r="BX2939" s="6"/>
      <c r="BY2939" s="6"/>
      <c r="BZ2939" s="6"/>
      <c r="CA2939" s="6"/>
      <c r="CB2939" s="6"/>
      <c r="CC2939" s="6"/>
      <c r="CD2939" s="6"/>
      <c r="CE2939" s="6"/>
      <c r="CF2939" s="6"/>
      <c r="CG2939" s="6"/>
      <c r="CH2939" s="6"/>
      <c r="CI2939" s="6"/>
      <c r="CJ2939" s="6"/>
      <c r="CK2939" s="6"/>
      <c r="CL2939" s="6"/>
      <c r="CM2939" s="6"/>
      <c r="CN2939" s="6"/>
      <c r="CO2939" s="6"/>
      <c r="CP2939" s="6"/>
      <c r="CQ2939" s="6"/>
      <c r="CR2939" s="6"/>
      <c r="CS2939" s="6"/>
      <c r="CT2939" s="6"/>
      <c r="CU2939" s="6"/>
      <c r="CV2939" s="6"/>
      <c r="CW2939" s="6"/>
      <c r="CX2939" s="6"/>
      <c r="CY2939" s="6"/>
      <c r="CZ2939" s="6"/>
      <c r="DA2939" s="6"/>
      <c r="DB2939" s="6"/>
      <c r="DC2939" s="6"/>
      <c r="DD2939" s="6"/>
    </row>
    <row r="2940" spans="1:108" ht="12.75" hidden="1" customHeight="1" outlineLevel="5">
      <c r="A2940" s="104" t="s">
        <v>250</v>
      </c>
      <c r="B2940" s="28">
        <f t="shared" si="168"/>
        <v>0.5</v>
      </c>
      <c r="C2940" s="11"/>
      <c r="D2940" s="18" t="str">
        <f>"&lt;" &amp; A2940 &amp; "&gt;" &amp; TEXT(B2940,"0.000000") &amp; "&lt;/" &amp; A2940 &amp; "&gt;"</f>
        <v>&lt;Inlet_Duct_Shape_Factor&gt;0.500000&lt;/Inlet_Duct_Shape_Factor&gt;</v>
      </c>
      <c r="F2940" s="6"/>
      <c r="G2940" s="6"/>
      <c r="H2940" s="6"/>
      <c r="I2940" s="6"/>
      <c r="J2940" s="6"/>
      <c r="K2940" s="6"/>
      <c r="L2940" s="6"/>
      <c r="M2940" s="6"/>
      <c r="N2940" s="6"/>
      <c r="O2940" s="6"/>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c r="BU2940" s="6"/>
      <c r="BV2940" s="6"/>
      <c r="BW2940" s="6"/>
      <c r="BX2940" s="6"/>
      <c r="BY2940" s="6"/>
      <c r="BZ2940" s="6"/>
      <c r="CA2940" s="6"/>
      <c r="CB2940" s="6"/>
      <c r="CC2940" s="6"/>
      <c r="CD2940" s="6"/>
      <c r="CE2940" s="6"/>
      <c r="CF2940" s="6"/>
      <c r="CG2940" s="6"/>
      <c r="CH2940" s="6"/>
      <c r="CI2940" s="6"/>
      <c r="CJ2940" s="6"/>
      <c r="CK2940" s="6"/>
      <c r="CL2940" s="6"/>
      <c r="CM2940" s="6"/>
      <c r="CN2940" s="6"/>
      <c r="CO2940" s="6"/>
      <c r="CP2940" s="6"/>
      <c r="CQ2940" s="6"/>
      <c r="CR2940" s="6"/>
      <c r="CS2940" s="6"/>
      <c r="CT2940" s="6"/>
      <c r="CU2940" s="6"/>
      <c r="CV2940" s="6"/>
      <c r="CW2940" s="6"/>
      <c r="CX2940" s="6"/>
      <c r="CY2940" s="6"/>
      <c r="CZ2940" s="6"/>
      <c r="DA2940" s="6"/>
      <c r="DB2940" s="6"/>
      <c r="DC2940" s="6"/>
      <c r="DD2940" s="6"/>
    </row>
    <row r="2941" spans="1:108" ht="12.75" hidden="1" customHeight="1" outlineLevel="5">
      <c r="A2941" s="104" t="s">
        <v>251</v>
      </c>
      <c r="B2941" s="28">
        <f t="shared" si="168"/>
        <v>0</v>
      </c>
      <c r="C2941" s="11"/>
      <c r="D2941" s="18" t="str">
        <f>"&lt;" &amp; A2941 &amp; "&gt;" &amp; TEXT(B2941,0) &amp; "&lt;/" &amp; A2941 &amp; "&gt;"</f>
        <v>&lt;Divertor_On_Off&gt;0&lt;/Divertor_On_Off&gt;</v>
      </c>
      <c r="F2941" s="6"/>
      <c r="G2941" s="6"/>
      <c r="H2941" s="6"/>
      <c r="I2941" s="6"/>
      <c r="J2941" s="6"/>
      <c r="K2941" s="6"/>
      <c r="L2941" s="6"/>
      <c r="M2941" s="6"/>
      <c r="N2941" s="6"/>
      <c r="O2941" s="6"/>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c r="BU2941" s="6"/>
      <c r="BV2941" s="6"/>
      <c r="BW2941" s="6"/>
      <c r="BX2941" s="6"/>
      <c r="BY2941" s="6"/>
      <c r="BZ2941" s="6"/>
      <c r="CA2941" s="6"/>
      <c r="CB2941" s="6"/>
      <c r="CC2941" s="6"/>
      <c r="CD2941" s="6"/>
      <c r="CE2941" s="6"/>
      <c r="CF2941" s="6"/>
      <c r="CG2941" s="6"/>
      <c r="CH2941" s="6"/>
      <c r="CI2941" s="6"/>
      <c r="CJ2941" s="6"/>
      <c r="CK2941" s="6"/>
      <c r="CL2941" s="6"/>
      <c r="CM2941" s="6"/>
      <c r="CN2941" s="6"/>
      <c r="CO2941" s="6"/>
      <c r="CP2941" s="6"/>
      <c r="CQ2941" s="6"/>
      <c r="CR2941" s="6"/>
      <c r="CS2941" s="6"/>
      <c r="CT2941" s="6"/>
      <c r="CU2941" s="6"/>
      <c r="CV2941" s="6"/>
      <c r="CW2941" s="6"/>
      <c r="CX2941" s="6"/>
      <c r="CY2941" s="6"/>
      <c r="CZ2941" s="6"/>
      <c r="DA2941" s="6"/>
      <c r="DB2941" s="6"/>
      <c r="DC2941" s="6"/>
      <c r="DD2941" s="6"/>
    </row>
    <row r="2942" spans="1:108" ht="12.75" hidden="1" customHeight="1" outlineLevel="5">
      <c r="A2942" s="104" t="s">
        <v>252</v>
      </c>
      <c r="B2942" s="28">
        <f t="shared" si="168"/>
        <v>0.5</v>
      </c>
      <c r="C2942" s="11"/>
      <c r="D2942" s="18" t="str">
        <f>"&lt;" &amp; A2942 &amp; "&gt;" &amp; TEXT(B2942,"0.000000") &amp; "&lt;/" &amp; A2942 &amp; "&gt;"</f>
        <v>&lt;Divertor_Height&gt;0.500000&lt;/Divertor_Height&gt;</v>
      </c>
      <c r="F2942" s="6"/>
      <c r="G2942" s="6"/>
      <c r="H2942" s="6"/>
      <c r="I2942" s="6"/>
      <c r="J2942" s="6"/>
      <c r="K2942" s="6"/>
      <c r="L2942" s="6"/>
      <c r="M2942" s="6"/>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c r="BU2942" s="6"/>
      <c r="BV2942" s="6"/>
      <c r="BW2942" s="6"/>
      <c r="BX2942" s="6"/>
      <c r="BY2942" s="6"/>
      <c r="BZ2942" s="6"/>
      <c r="CA2942" s="6"/>
      <c r="CB2942" s="6"/>
      <c r="CC2942" s="6"/>
      <c r="CD2942" s="6"/>
      <c r="CE2942" s="6"/>
      <c r="CF2942" s="6"/>
      <c r="CG2942" s="6"/>
      <c r="CH2942" s="6"/>
      <c r="CI2942" s="6"/>
      <c r="CJ2942" s="6"/>
      <c r="CK2942" s="6"/>
      <c r="CL2942" s="6"/>
      <c r="CM2942" s="6"/>
      <c r="CN2942" s="6"/>
      <c r="CO2942" s="6"/>
      <c r="CP2942" s="6"/>
      <c r="CQ2942" s="6"/>
      <c r="CR2942" s="6"/>
      <c r="CS2942" s="6"/>
      <c r="CT2942" s="6"/>
      <c r="CU2942" s="6"/>
      <c r="CV2942" s="6"/>
      <c r="CW2942" s="6"/>
      <c r="CX2942" s="6"/>
      <c r="CY2942" s="6"/>
      <c r="CZ2942" s="6"/>
      <c r="DA2942" s="6"/>
      <c r="DB2942" s="6"/>
      <c r="DC2942" s="6"/>
      <c r="DD2942" s="6"/>
    </row>
    <row r="2943" spans="1:108" ht="12.75" hidden="1" customHeight="1" outlineLevel="5">
      <c r="A2943" s="104" t="s">
        <v>253</v>
      </c>
      <c r="B2943" s="28">
        <f t="shared" si="168"/>
        <v>1</v>
      </c>
      <c r="C2943" s="11"/>
      <c r="D2943" s="18" t="str">
        <f>"&lt;" &amp; A2943 &amp; "&gt;" &amp; TEXT(B2943,"0.000000") &amp; "&lt;/" &amp; A2943 &amp; "&gt;"</f>
        <v>&lt;Divertor_Length&gt;1.000000&lt;/Divertor_Length&gt;</v>
      </c>
      <c r="F2943" s="6"/>
      <c r="G2943" s="6"/>
      <c r="H2943" s="6"/>
      <c r="I2943" s="6"/>
      <c r="J2943" s="6"/>
      <c r="K2943" s="6"/>
      <c r="L2943" s="6"/>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c r="BU2943" s="6"/>
      <c r="BV2943" s="6"/>
      <c r="BW2943" s="6"/>
      <c r="BX2943" s="6"/>
      <c r="BY2943" s="6"/>
      <c r="BZ2943" s="6"/>
      <c r="CA2943" s="6"/>
      <c r="CB2943" s="6"/>
      <c r="CC2943" s="6"/>
      <c r="CD2943" s="6"/>
      <c r="CE2943" s="6"/>
      <c r="CF2943" s="6"/>
      <c r="CG2943" s="6"/>
      <c r="CH2943" s="6"/>
      <c r="CI2943" s="6"/>
      <c r="CJ2943" s="6"/>
      <c r="CK2943" s="6"/>
      <c r="CL2943" s="6"/>
      <c r="CM2943" s="6"/>
      <c r="CN2943" s="6"/>
      <c r="CO2943" s="6"/>
      <c r="CP2943" s="6"/>
      <c r="CQ2943" s="6"/>
      <c r="CR2943" s="6"/>
      <c r="CS2943" s="6"/>
      <c r="CT2943" s="6"/>
      <c r="CU2943" s="6"/>
      <c r="CV2943" s="6"/>
      <c r="CW2943" s="6"/>
      <c r="CX2943" s="6"/>
      <c r="CY2943" s="6"/>
      <c r="CZ2943" s="6"/>
      <c r="DA2943" s="6"/>
      <c r="DB2943" s="6"/>
      <c r="DC2943" s="6"/>
      <c r="DD2943" s="6"/>
    </row>
    <row r="2944" spans="1:108" ht="12.75" hidden="1" customHeight="1" outlineLevel="5">
      <c r="A2944" s="104" t="s">
        <v>254</v>
      </c>
      <c r="B2944" s="28">
        <f t="shared" si="168"/>
        <v>0</v>
      </c>
      <c r="C2944" s="11"/>
      <c r="D2944" s="18" t="str">
        <f>"&lt;" &amp; A2944 &amp; "&gt;" &amp; TEXT(B2944,0) &amp; "&lt;/" &amp; A2944 &amp; "&gt;"</f>
        <v>&lt;Nozzle_Type&gt;0&lt;/Nozzle_Type&gt;</v>
      </c>
      <c r="F2944" s="6"/>
      <c r="G2944" s="6"/>
      <c r="H2944" s="6"/>
      <c r="I2944" s="6"/>
      <c r="J2944" s="6"/>
      <c r="K2944" s="6"/>
      <c r="L2944" s="6"/>
      <c r="M2944" s="6"/>
      <c r="N2944" s="6"/>
      <c r="O2944" s="6"/>
      <c r="P2944" s="6"/>
      <c r="Q2944" s="6"/>
      <c r="R2944" s="6"/>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c r="BU2944" s="6"/>
      <c r="BV2944" s="6"/>
      <c r="BW2944" s="6"/>
      <c r="BX2944" s="6"/>
      <c r="BY2944" s="6"/>
      <c r="BZ2944" s="6"/>
      <c r="CA2944" s="6"/>
      <c r="CB2944" s="6"/>
      <c r="CC2944" s="6"/>
      <c r="CD2944" s="6"/>
      <c r="CE2944" s="6"/>
      <c r="CF2944" s="6"/>
      <c r="CG2944" s="6"/>
      <c r="CH2944" s="6"/>
      <c r="CI2944" s="6"/>
      <c r="CJ2944" s="6"/>
      <c r="CK2944" s="6"/>
      <c r="CL2944" s="6"/>
      <c r="CM2944" s="6"/>
      <c r="CN2944" s="6"/>
      <c r="CO2944" s="6"/>
      <c r="CP2944" s="6"/>
      <c r="CQ2944" s="6"/>
      <c r="CR2944" s="6"/>
      <c r="CS2944" s="6"/>
      <c r="CT2944" s="6"/>
      <c r="CU2944" s="6"/>
      <c r="CV2944" s="6"/>
      <c r="CW2944" s="6"/>
      <c r="CX2944" s="6"/>
      <c r="CY2944" s="6"/>
      <c r="CZ2944" s="6"/>
      <c r="DA2944" s="6"/>
      <c r="DB2944" s="6"/>
      <c r="DC2944" s="6"/>
      <c r="DD2944" s="6"/>
    </row>
    <row r="2945" spans="1:108" ht="12.75" hidden="1" customHeight="1" outlineLevel="5">
      <c r="A2945" s="104" t="s">
        <v>255</v>
      </c>
      <c r="B2945" s="94">
        <f t="shared" si="168"/>
        <v>7.2987836711348555</v>
      </c>
      <c r="C2945" s="11"/>
      <c r="D2945" s="18" t="str">
        <f>"&lt;" &amp; A2945 &amp; "&gt;" &amp; TEXT(B2945,"0.000000") &amp; "&lt;/" &amp; A2945 &amp; "&gt;"</f>
        <v>&lt;Nozzle_Length&gt;7.298784&lt;/Nozzle_Length&gt;</v>
      </c>
      <c r="F2945" s="6"/>
      <c r="G2945" s="6"/>
      <c r="H2945" s="6"/>
      <c r="I2945" s="6"/>
      <c r="J2945" s="6"/>
      <c r="K2945" s="6"/>
      <c r="L2945" s="6"/>
      <c r="M2945" s="6"/>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c r="BU2945" s="6"/>
      <c r="BV2945" s="6"/>
      <c r="BW2945" s="6"/>
      <c r="BX2945" s="6"/>
      <c r="BY2945" s="6"/>
      <c r="BZ2945" s="6"/>
      <c r="CA2945" s="6"/>
      <c r="CB2945" s="6"/>
      <c r="CC2945" s="6"/>
      <c r="CD2945" s="6"/>
      <c r="CE2945" s="6"/>
      <c r="CF2945" s="6"/>
      <c r="CG2945" s="6"/>
      <c r="CH2945" s="6"/>
      <c r="CI2945" s="6"/>
      <c r="CJ2945" s="6"/>
      <c r="CK2945" s="6"/>
      <c r="CL2945" s="6"/>
      <c r="CM2945" s="6"/>
      <c r="CN2945" s="6"/>
      <c r="CO2945" s="6"/>
      <c r="CP2945" s="6"/>
      <c r="CQ2945" s="6"/>
      <c r="CR2945" s="6"/>
      <c r="CS2945" s="6"/>
      <c r="CT2945" s="6"/>
      <c r="CU2945" s="6"/>
      <c r="CV2945" s="6"/>
      <c r="CW2945" s="6"/>
      <c r="CX2945" s="6"/>
      <c r="CY2945" s="6"/>
      <c r="CZ2945" s="6"/>
      <c r="DA2945" s="6"/>
      <c r="DB2945" s="6"/>
      <c r="DC2945" s="6"/>
      <c r="DD2945" s="6"/>
    </row>
    <row r="2946" spans="1:108" ht="12.75" hidden="1" customHeight="1" outlineLevel="5">
      <c r="A2946" s="104" t="s">
        <v>256</v>
      </c>
      <c r="B2946" s="28">
        <f t="shared" si="168"/>
        <v>3</v>
      </c>
      <c r="C2946" s="11"/>
      <c r="D2946" s="18" t="str">
        <f>"&lt;" &amp; A2946 &amp; "&gt;" &amp; TEXT(B2946,"0.000000") &amp; "&lt;/" &amp; A2946 &amp; "&gt;"</f>
        <v>&lt;Exit_Area_Ratio&gt;3.000000&lt;/Exit_Area_Ratio&gt;</v>
      </c>
      <c r="F2946" s="6"/>
      <c r="G2946" s="6"/>
      <c r="H2946" s="6"/>
      <c r="I2946" s="6"/>
      <c r="J2946" s="6"/>
      <c r="K2946" s="6"/>
      <c r="L2946" s="6"/>
      <c r="M2946" s="6"/>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c r="BU2946" s="6"/>
      <c r="BV2946" s="6"/>
      <c r="BW2946" s="6"/>
      <c r="BX2946" s="6"/>
      <c r="BY2946" s="6"/>
      <c r="BZ2946" s="6"/>
      <c r="CA2946" s="6"/>
      <c r="CB2946" s="6"/>
      <c r="CC2946" s="6"/>
      <c r="CD2946" s="6"/>
      <c r="CE2946" s="6"/>
      <c r="CF2946" s="6"/>
      <c r="CG2946" s="6"/>
      <c r="CH2946" s="6"/>
      <c r="CI2946" s="6"/>
      <c r="CJ2946" s="6"/>
      <c r="CK2946" s="6"/>
      <c r="CL2946" s="6"/>
      <c r="CM2946" s="6"/>
      <c r="CN2946" s="6"/>
      <c r="CO2946" s="6"/>
      <c r="CP2946" s="6"/>
      <c r="CQ2946" s="6"/>
      <c r="CR2946" s="6"/>
      <c r="CS2946" s="6"/>
      <c r="CT2946" s="6"/>
      <c r="CU2946" s="6"/>
      <c r="CV2946" s="6"/>
      <c r="CW2946" s="6"/>
      <c r="CX2946" s="6"/>
      <c r="CY2946" s="6"/>
      <c r="CZ2946" s="6"/>
      <c r="DA2946" s="6"/>
      <c r="DB2946" s="6"/>
      <c r="DC2946" s="6"/>
      <c r="DD2946" s="6"/>
    </row>
    <row r="2947" spans="1:108" ht="12.75" hidden="1" customHeight="1" outlineLevel="5">
      <c r="A2947" s="104" t="s">
        <v>257</v>
      </c>
      <c r="B2947" s="28">
        <f t="shared" si="168"/>
        <v>1</v>
      </c>
      <c r="C2947" s="11"/>
      <c r="D2947" s="18" t="str">
        <f>"&lt;" &amp; A2947 &amp; "&gt;" &amp; TEXT(B2947,"0.000000") &amp; "&lt;/" &amp; A2947 &amp; "&gt;"</f>
        <v>&lt;Nozzle_Height_Width_Ratio&gt;1.000000&lt;/Nozzle_Height_Width_Ratio&gt;</v>
      </c>
      <c r="F2947" s="6"/>
      <c r="G2947" s="6"/>
      <c r="H2947" s="6"/>
      <c r="I2947" s="6"/>
      <c r="J2947" s="6"/>
      <c r="K2947" s="6"/>
      <c r="L2947" s="6"/>
      <c r="M2947" s="6"/>
      <c r="N2947" s="6"/>
      <c r="O2947" s="6"/>
      <c r="P2947" s="6"/>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c r="BU2947" s="6"/>
      <c r="BV2947" s="6"/>
      <c r="BW2947" s="6"/>
      <c r="BX2947" s="6"/>
      <c r="BY2947" s="6"/>
      <c r="BZ2947" s="6"/>
      <c r="CA2947" s="6"/>
      <c r="CB2947" s="6"/>
      <c r="CC2947" s="6"/>
      <c r="CD2947" s="6"/>
      <c r="CE2947" s="6"/>
      <c r="CF2947" s="6"/>
      <c r="CG2947" s="6"/>
      <c r="CH2947" s="6"/>
      <c r="CI2947" s="6"/>
      <c r="CJ2947" s="6"/>
      <c r="CK2947" s="6"/>
      <c r="CL2947" s="6"/>
      <c r="CM2947" s="6"/>
      <c r="CN2947" s="6"/>
      <c r="CO2947" s="6"/>
      <c r="CP2947" s="6"/>
      <c r="CQ2947" s="6"/>
      <c r="CR2947" s="6"/>
      <c r="CS2947" s="6"/>
      <c r="CT2947" s="6"/>
      <c r="CU2947" s="6"/>
      <c r="CV2947" s="6"/>
      <c r="CW2947" s="6"/>
      <c r="CX2947" s="6"/>
      <c r="CY2947" s="6"/>
      <c r="CZ2947" s="6"/>
      <c r="DA2947" s="6"/>
      <c r="DB2947" s="6"/>
      <c r="DC2947" s="6"/>
      <c r="DD2947" s="6"/>
    </row>
    <row r="2948" spans="1:108" ht="12.75" hidden="1" customHeight="1" outlineLevel="5">
      <c r="A2948" s="104" t="s">
        <v>258</v>
      </c>
      <c r="B2948" s="28">
        <f t="shared" si="168"/>
        <v>1.5</v>
      </c>
      <c r="C2948" s="11"/>
      <c r="D2948" s="18" t="str">
        <f>"&lt;" &amp; A2948 &amp; "&gt;" &amp; TEXT(B2948,"0.000000") &amp; "&lt;/" &amp; A2948 &amp; "&gt;"</f>
        <v>&lt;Exit_Throat_Ratio&gt;1.500000&lt;/Exit_Throat_Ratio&gt;</v>
      </c>
      <c r="F2948" s="6"/>
      <c r="G2948" s="6"/>
      <c r="H2948" s="6"/>
      <c r="I2948" s="6"/>
      <c r="J2948" s="6"/>
      <c r="K2948" s="6"/>
      <c r="L2948" s="6"/>
      <c r="M2948" s="6"/>
      <c r="N2948" s="6"/>
      <c r="O2948" s="6"/>
      <c r="P2948" s="6"/>
      <c r="Q2948" s="6"/>
      <c r="R2948" s="6"/>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c r="BU2948" s="6"/>
      <c r="BV2948" s="6"/>
      <c r="BW2948" s="6"/>
      <c r="BX2948" s="6"/>
      <c r="BY2948" s="6"/>
      <c r="BZ2948" s="6"/>
      <c r="CA2948" s="6"/>
      <c r="CB2948" s="6"/>
      <c r="CC2948" s="6"/>
      <c r="CD2948" s="6"/>
      <c r="CE2948" s="6"/>
      <c r="CF2948" s="6"/>
      <c r="CG2948" s="6"/>
      <c r="CH2948" s="6"/>
      <c r="CI2948" s="6"/>
      <c r="CJ2948" s="6"/>
      <c r="CK2948" s="6"/>
      <c r="CL2948" s="6"/>
      <c r="CM2948" s="6"/>
      <c r="CN2948" s="6"/>
      <c r="CO2948" s="6"/>
      <c r="CP2948" s="6"/>
      <c r="CQ2948" s="6"/>
      <c r="CR2948" s="6"/>
      <c r="CS2948" s="6"/>
      <c r="CT2948" s="6"/>
      <c r="CU2948" s="6"/>
      <c r="CV2948" s="6"/>
      <c r="CW2948" s="6"/>
      <c r="CX2948" s="6"/>
      <c r="CY2948" s="6"/>
      <c r="CZ2948" s="6"/>
      <c r="DA2948" s="6"/>
      <c r="DB2948" s="6"/>
      <c r="DC2948" s="6"/>
      <c r="DD2948" s="6"/>
    </row>
    <row r="2949" spans="1:108" ht="12.75" hidden="1" customHeight="1" outlineLevel="5">
      <c r="A2949" s="104" t="s">
        <v>259</v>
      </c>
      <c r="B2949" s="28">
        <f t="shared" si="168"/>
        <v>1</v>
      </c>
      <c r="C2949" s="11"/>
      <c r="D2949" s="18" t="str">
        <f>"&lt;" &amp; A2949 &amp; "&gt;" &amp; TEXT(B2949,"0.000000") &amp; "&lt;/" &amp; A2949 &amp; "&gt;"</f>
        <v>&lt;Dive_Flap_Ratio&gt;1.000000&lt;/Dive_Flap_Ratio&gt;</v>
      </c>
      <c r="F2949" s="6"/>
      <c r="G2949" s="6"/>
      <c r="H2949" s="6"/>
      <c r="I2949" s="6"/>
      <c r="J2949" s="6"/>
      <c r="K2949" s="6"/>
      <c r="L2949" s="6"/>
      <c r="M2949" s="6"/>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c r="BU2949" s="6"/>
      <c r="BV2949" s="6"/>
      <c r="BW2949" s="6"/>
      <c r="BX2949" s="6"/>
      <c r="BY2949" s="6"/>
      <c r="BZ2949" s="6"/>
      <c r="CA2949" s="6"/>
      <c r="CB2949" s="6"/>
      <c r="CC2949" s="6"/>
      <c r="CD2949" s="6"/>
      <c r="CE2949" s="6"/>
      <c r="CF2949" s="6"/>
      <c r="CG2949" s="6"/>
      <c r="CH2949" s="6"/>
      <c r="CI2949" s="6"/>
      <c r="CJ2949" s="6"/>
      <c r="CK2949" s="6"/>
      <c r="CL2949" s="6"/>
      <c r="CM2949" s="6"/>
      <c r="CN2949" s="6"/>
      <c r="CO2949" s="6"/>
      <c r="CP2949" s="6"/>
      <c r="CQ2949" s="6"/>
      <c r="CR2949" s="6"/>
      <c r="CS2949" s="6"/>
      <c r="CT2949" s="6"/>
      <c r="CU2949" s="6"/>
      <c r="CV2949" s="6"/>
      <c r="CW2949" s="6"/>
      <c r="CX2949" s="6"/>
      <c r="CY2949" s="6"/>
      <c r="CZ2949" s="6"/>
      <c r="DA2949" s="6"/>
      <c r="DB2949" s="6"/>
      <c r="DC2949" s="6"/>
      <c r="DD2949" s="6"/>
    </row>
    <row r="2950" spans="1:108" ht="12.75" hidden="1" customHeight="1" outlineLevel="5">
      <c r="A2950" s="104" t="s">
        <v>260</v>
      </c>
      <c r="B2950" s="28">
        <f t="shared" si="168"/>
        <v>0</v>
      </c>
      <c r="C2950" s="11"/>
      <c r="D2950" s="18" t="str">
        <f>"&lt;" &amp; A2950 &amp; "&gt;" &amp; TEXT(B2950,0) &amp; "&lt;/" &amp; A2950 &amp; "&gt;"</f>
        <v>&lt;Nozzle_Duct_On_Off&gt;0&lt;/Nozzle_Duct_On_Off&gt;</v>
      </c>
      <c r="F2950" s="6"/>
      <c r="G2950" s="6"/>
      <c r="H2950" s="6"/>
      <c r="I2950" s="6"/>
      <c r="J2950" s="6"/>
      <c r="K2950" s="6"/>
      <c r="L2950" s="6"/>
      <c r="M2950" s="6"/>
      <c r="N2950" s="6"/>
      <c r="O2950" s="6"/>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c r="BU2950" s="6"/>
      <c r="BV2950" s="6"/>
      <c r="BW2950" s="6"/>
      <c r="BX2950" s="6"/>
      <c r="BY2950" s="6"/>
      <c r="BZ2950" s="6"/>
      <c r="CA2950" s="6"/>
      <c r="CB2950" s="6"/>
      <c r="CC2950" s="6"/>
      <c r="CD2950" s="6"/>
      <c r="CE2950" s="6"/>
      <c r="CF2950" s="6"/>
      <c r="CG2950" s="6"/>
      <c r="CH2950" s="6"/>
      <c r="CI2950" s="6"/>
      <c r="CJ2950" s="6"/>
      <c r="CK2950" s="6"/>
      <c r="CL2950" s="6"/>
      <c r="CM2950" s="6"/>
      <c r="CN2950" s="6"/>
      <c r="CO2950" s="6"/>
      <c r="CP2950" s="6"/>
      <c r="CQ2950" s="6"/>
      <c r="CR2950" s="6"/>
      <c r="CS2950" s="6"/>
      <c r="CT2950" s="6"/>
      <c r="CU2950" s="6"/>
      <c r="CV2950" s="6"/>
      <c r="CW2950" s="6"/>
      <c r="CX2950" s="6"/>
      <c r="CY2950" s="6"/>
      <c r="CZ2950" s="6"/>
      <c r="DA2950" s="6"/>
      <c r="DB2950" s="6"/>
      <c r="DC2950" s="6"/>
      <c r="DD2950" s="6"/>
    </row>
    <row r="2951" spans="1:108" ht="12.75" hidden="1" customHeight="1" outlineLevel="5">
      <c r="A2951" s="104" t="s">
        <v>261</v>
      </c>
      <c r="B2951" s="28">
        <f t="shared" si="168"/>
        <v>1</v>
      </c>
      <c r="C2951" s="11"/>
      <c r="D2951" s="18" t="str">
        <f>"&lt;" &amp; A2951 &amp; "&gt;" &amp; TEXT(B2951,"0.000000") &amp; "&lt;/" &amp; A2951 &amp; "&gt;"</f>
        <v>&lt;Nozzle_Duct_X_Offset&gt;1.000000&lt;/Nozzle_Duct_X_Offset&gt;</v>
      </c>
      <c r="F2951" s="6"/>
      <c r="G2951" s="6"/>
      <c r="H2951" s="6"/>
      <c r="I2951" s="6"/>
      <c r="J2951" s="6"/>
      <c r="K2951" s="6"/>
      <c r="L2951" s="6"/>
      <c r="M2951" s="6"/>
      <c r="N2951" s="6"/>
      <c r="O2951" s="6"/>
      <c r="P2951" s="6"/>
      <c r="Q2951" s="6"/>
      <c r="R2951" s="6"/>
      <c r="S2951" s="6"/>
      <c r="T2951" s="6"/>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c r="BU2951" s="6"/>
      <c r="BV2951" s="6"/>
      <c r="BW2951" s="6"/>
      <c r="BX2951" s="6"/>
      <c r="BY2951" s="6"/>
      <c r="BZ2951" s="6"/>
      <c r="CA2951" s="6"/>
      <c r="CB2951" s="6"/>
      <c r="CC2951" s="6"/>
      <c r="CD2951" s="6"/>
      <c r="CE2951" s="6"/>
      <c r="CF2951" s="6"/>
      <c r="CG2951" s="6"/>
      <c r="CH2951" s="6"/>
      <c r="CI2951" s="6"/>
      <c r="CJ2951" s="6"/>
      <c r="CK2951" s="6"/>
      <c r="CL2951" s="6"/>
      <c r="CM2951" s="6"/>
      <c r="CN2951" s="6"/>
      <c r="CO2951" s="6"/>
      <c r="CP2951" s="6"/>
      <c r="CQ2951" s="6"/>
      <c r="CR2951" s="6"/>
      <c r="CS2951" s="6"/>
      <c r="CT2951" s="6"/>
      <c r="CU2951" s="6"/>
      <c r="CV2951" s="6"/>
      <c r="CW2951" s="6"/>
      <c r="CX2951" s="6"/>
      <c r="CY2951" s="6"/>
      <c r="CZ2951" s="6"/>
      <c r="DA2951" s="6"/>
      <c r="DB2951" s="6"/>
      <c r="DC2951" s="6"/>
      <c r="DD2951" s="6"/>
    </row>
    <row r="2952" spans="1:108" ht="12.75" hidden="1" customHeight="1" outlineLevel="5">
      <c r="A2952" s="104" t="s">
        <v>262</v>
      </c>
      <c r="B2952" s="28">
        <f t="shared" si="168"/>
        <v>0</v>
      </c>
      <c r="C2952" s="11"/>
      <c r="D2952" s="18" t="str">
        <f>"&lt;" &amp; A2952 &amp; "&gt;" &amp; TEXT(B2952,"0.000000") &amp; "&lt;/" &amp; A2952 &amp; "&gt;"</f>
        <v>&lt;Nozzle_Duct_Y_Offset&gt;0.000000&lt;/Nozzle_Duct_Y_Offset&gt;</v>
      </c>
      <c r="F2952" s="6"/>
      <c r="G2952" s="6"/>
      <c r="H2952" s="6"/>
      <c r="I2952" s="6"/>
      <c r="J2952" s="6"/>
      <c r="K2952" s="6"/>
      <c r="L2952" s="6"/>
      <c r="M2952" s="6"/>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c r="BU2952" s="6"/>
      <c r="BV2952" s="6"/>
      <c r="BW2952" s="6"/>
      <c r="BX2952" s="6"/>
      <c r="BY2952" s="6"/>
      <c r="BZ2952" s="6"/>
      <c r="CA2952" s="6"/>
      <c r="CB2952" s="6"/>
      <c r="CC2952" s="6"/>
      <c r="CD2952" s="6"/>
      <c r="CE2952" s="6"/>
      <c r="CF2952" s="6"/>
      <c r="CG2952" s="6"/>
      <c r="CH2952" s="6"/>
      <c r="CI2952" s="6"/>
      <c r="CJ2952" s="6"/>
      <c r="CK2952" s="6"/>
      <c r="CL2952" s="6"/>
      <c r="CM2952" s="6"/>
      <c r="CN2952" s="6"/>
      <c r="CO2952" s="6"/>
      <c r="CP2952" s="6"/>
      <c r="CQ2952" s="6"/>
      <c r="CR2952" s="6"/>
      <c r="CS2952" s="6"/>
      <c r="CT2952" s="6"/>
      <c r="CU2952" s="6"/>
      <c r="CV2952" s="6"/>
      <c r="CW2952" s="6"/>
      <c r="CX2952" s="6"/>
      <c r="CY2952" s="6"/>
      <c r="CZ2952" s="6"/>
      <c r="DA2952" s="6"/>
      <c r="DB2952" s="6"/>
      <c r="DC2952" s="6"/>
      <c r="DD2952" s="6"/>
    </row>
    <row r="2953" spans="1:108" ht="12.75" hidden="1" customHeight="1" outlineLevel="5">
      <c r="A2953" s="104" t="s">
        <v>263</v>
      </c>
      <c r="B2953" s="28">
        <f t="shared" si="168"/>
        <v>0</v>
      </c>
      <c r="C2953" s="11"/>
      <c r="D2953" s="18" t="str">
        <f>"&lt;" &amp; A2953 &amp; "&gt;" &amp; TEXT(B2953,"0.000000") &amp; "&lt;/" &amp; A2953 &amp; "&gt;"</f>
        <v>&lt;Nozzle_Duct_Shape_Factor&gt;0.000000&lt;/Nozzle_Duct_Shape_Factor&gt;</v>
      </c>
      <c r="F2953" s="6"/>
      <c r="G2953" s="6"/>
      <c r="H2953" s="6"/>
      <c r="I2953" s="6"/>
      <c r="J2953" s="6"/>
      <c r="K2953" s="6"/>
      <c r="L2953" s="6"/>
      <c r="M2953" s="6"/>
      <c r="N2953" s="6"/>
      <c r="O2953" s="6"/>
      <c r="P2953" s="6"/>
      <c r="Q2953" s="6"/>
      <c r="R2953" s="6"/>
      <c r="S2953" s="6"/>
      <c r="T2953" s="6"/>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c r="BU2953" s="6"/>
      <c r="BV2953" s="6"/>
      <c r="BW2953" s="6"/>
      <c r="BX2953" s="6"/>
      <c r="BY2953" s="6"/>
      <c r="BZ2953" s="6"/>
      <c r="CA2953" s="6"/>
      <c r="CB2953" s="6"/>
      <c r="CC2953" s="6"/>
      <c r="CD2953" s="6"/>
      <c r="CE2953" s="6"/>
      <c r="CF2953" s="6"/>
      <c r="CG2953" s="6"/>
      <c r="CH2953" s="6"/>
      <c r="CI2953" s="6"/>
      <c r="CJ2953" s="6"/>
      <c r="CK2953" s="6"/>
      <c r="CL2953" s="6"/>
      <c r="CM2953" s="6"/>
      <c r="CN2953" s="6"/>
      <c r="CO2953" s="6"/>
      <c r="CP2953" s="6"/>
      <c r="CQ2953" s="6"/>
      <c r="CR2953" s="6"/>
      <c r="CS2953" s="6"/>
      <c r="CT2953" s="6"/>
      <c r="CU2953" s="6"/>
      <c r="CV2953" s="6"/>
      <c r="CW2953" s="6"/>
      <c r="CX2953" s="6"/>
      <c r="CY2953" s="6"/>
      <c r="CZ2953" s="6"/>
      <c r="DA2953" s="6"/>
      <c r="DB2953" s="6"/>
      <c r="DC2953" s="6"/>
      <c r="DD2953" s="6"/>
    </row>
    <row r="2954" spans="1:108" ht="12.75" hidden="1" customHeight="1" outlineLevel="5">
      <c r="A2954" s="104" t="s">
        <v>264</v>
      </c>
      <c r="B2954" s="100"/>
      <c r="C2954" s="11"/>
      <c r="D2954" s="6" t="str">
        <f>"&lt;" &amp; A2954 &amp; "&gt;"</f>
        <v>&lt;/Engine_Parms&gt;</v>
      </c>
      <c r="F2954" s="6"/>
      <c r="G2954" s="6"/>
      <c r="H2954" s="6"/>
      <c r="I2954" s="6"/>
      <c r="J2954" s="6"/>
      <c r="K2954" s="6"/>
      <c r="L2954" s="6"/>
      <c r="M2954" s="6"/>
      <c r="N2954" s="6"/>
      <c r="O2954" s="6"/>
      <c r="P2954" s="6"/>
      <c r="Q2954" s="6"/>
      <c r="R2954" s="6"/>
      <c r="S2954" s="6"/>
      <c r="T2954" s="6"/>
      <c r="U2954" s="6"/>
      <c r="V2954" s="6"/>
      <c r="W2954" s="6"/>
      <c r="X2954" s="6"/>
      <c r="Y2954" s="6"/>
      <c r="Z2954" s="6"/>
      <c r="AA2954" s="6"/>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c r="BU2954" s="6"/>
      <c r="BV2954" s="6"/>
      <c r="BW2954" s="6"/>
      <c r="BX2954" s="6"/>
      <c r="BY2954" s="6"/>
      <c r="BZ2954" s="6"/>
      <c r="CA2954" s="6"/>
      <c r="CB2954" s="6"/>
      <c r="CC2954" s="6"/>
      <c r="CD2954" s="6"/>
      <c r="CE2954" s="6"/>
      <c r="CF2954" s="6"/>
      <c r="CG2954" s="6"/>
      <c r="CH2954" s="6"/>
      <c r="CI2954" s="6"/>
      <c r="CJ2954" s="6"/>
      <c r="CK2954" s="6"/>
      <c r="CL2954" s="6"/>
      <c r="CM2954" s="6"/>
      <c r="CN2954" s="6"/>
      <c r="CO2954" s="6"/>
      <c r="CP2954" s="6"/>
      <c r="CQ2954" s="6"/>
      <c r="CR2954" s="6"/>
      <c r="CS2954" s="6"/>
      <c r="CT2954" s="6"/>
      <c r="CU2954" s="6"/>
      <c r="CV2954" s="6"/>
      <c r="CW2954" s="6"/>
      <c r="CX2954" s="6"/>
      <c r="CY2954" s="6"/>
      <c r="CZ2954" s="6"/>
      <c r="DA2954" s="6"/>
      <c r="DB2954" s="6"/>
      <c r="DC2954" s="6"/>
      <c r="DD2954" s="6"/>
    </row>
    <row r="2955" spans="1:108" ht="12.75" hidden="1" customHeight="1" outlineLevel="4">
      <c r="A2955" s="104" t="s">
        <v>138</v>
      </c>
      <c r="B2955" s="100"/>
      <c r="C2955" s="11"/>
      <c r="D2955" s="6" t="str">
        <f>"&lt;" &amp; A2955 &amp; "&gt;"</f>
        <v>&lt;/Component&gt;</v>
      </c>
      <c r="F2955" s="6"/>
      <c r="G2955" s="6"/>
      <c r="H2955" s="6"/>
      <c r="I2955" s="6"/>
      <c r="J2955" s="6"/>
      <c r="K2955" s="6"/>
      <c r="L2955" s="6"/>
      <c r="M2955" s="6"/>
      <c r="N2955" s="6"/>
      <c r="O2955" s="6"/>
      <c r="P2955" s="6"/>
      <c r="Q2955" s="6"/>
      <c r="R2955" s="6"/>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c r="BU2955" s="6"/>
      <c r="BV2955" s="6"/>
      <c r="BW2955" s="6"/>
      <c r="BX2955" s="6"/>
      <c r="BY2955" s="6"/>
      <c r="BZ2955" s="6"/>
      <c r="CA2955" s="6"/>
      <c r="CB2955" s="6"/>
      <c r="CC2955" s="6"/>
      <c r="CD2955" s="6"/>
      <c r="CE2955" s="6"/>
      <c r="CF2955" s="6"/>
      <c r="CG2955" s="6"/>
      <c r="CH2955" s="6"/>
      <c r="CI2955" s="6"/>
      <c r="CJ2955" s="6"/>
      <c r="CK2955" s="6"/>
      <c r="CL2955" s="6"/>
      <c r="CM2955" s="6"/>
      <c r="CN2955" s="6"/>
      <c r="CO2955" s="6"/>
      <c r="CP2955" s="6"/>
      <c r="CQ2955" s="6"/>
      <c r="CR2955" s="6"/>
      <c r="CS2955" s="6"/>
      <c r="CT2955" s="6"/>
      <c r="CU2955" s="6"/>
      <c r="CV2955" s="6"/>
      <c r="CW2955" s="6"/>
      <c r="CX2955" s="6"/>
      <c r="CY2955" s="6"/>
      <c r="CZ2955" s="6"/>
      <c r="DA2955" s="6"/>
      <c r="DB2955" s="6"/>
      <c r="DC2955" s="6"/>
      <c r="DD2955" s="6"/>
    </row>
    <row r="2956" spans="1:108" ht="12.75" hidden="1" customHeight="1" outlineLevel="3" collapsed="1">
      <c r="A2956" s="104" t="s">
        <v>40</v>
      </c>
      <c r="B2956" s="110" t="s">
        <v>367</v>
      </c>
      <c r="C2956" s="27" t="str">
        <f>IF(Input!$D$27&gt;=4,IF(Input!$D$26="Jet","No","Yes"),"Yes")</f>
        <v>Yes</v>
      </c>
      <c r="D2956" s="6" t="str">
        <f>IF(C2956="Yes",("&lt;"&amp;A2956&amp;"&gt;"),("&lt;!--"&amp;A2956&amp;"&gt;"))</f>
        <v>&lt;Component&gt;</v>
      </c>
      <c r="F2956" s="6"/>
      <c r="G2956" s="6"/>
      <c r="H2956" s="6"/>
      <c r="I2956" s="6"/>
      <c r="J2956" s="6"/>
      <c r="K2956" s="6"/>
      <c r="L2956" s="6"/>
      <c r="M2956" s="6"/>
      <c r="N2956" s="6"/>
      <c r="O2956" s="6"/>
      <c r="P2956" s="6"/>
      <c r="Q2956" s="6"/>
      <c r="R2956" s="6"/>
      <c r="S2956" s="6"/>
      <c r="T2956" s="6"/>
      <c r="U2956" s="6"/>
      <c r="V2956" s="6"/>
      <c r="W2956" s="6"/>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c r="BU2956" s="6"/>
      <c r="BV2956" s="6"/>
      <c r="BW2956" s="6"/>
      <c r="BX2956" s="6"/>
      <c r="BY2956" s="6"/>
      <c r="BZ2956" s="6"/>
      <c r="CA2956" s="6"/>
      <c r="CB2956" s="6"/>
      <c r="CC2956" s="6"/>
      <c r="CD2956" s="6"/>
      <c r="CE2956" s="6"/>
      <c r="CF2956" s="6"/>
      <c r="CG2956" s="6"/>
      <c r="CH2956" s="6"/>
      <c r="CI2956" s="6"/>
      <c r="CJ2956" s="6"/>
      <c r="CK2956" s="6"/>
      <c r="CL2956" s="6"/>
      <c r="CM2956" s="6"/>
      <c r="CN2956" s="6"/>
      <c r="CO2956" s="6"/>
      <c r="CP2956" s="6"/>
      <c r="CQ2956" s="6"/>
      <c r="CR2956" s="6"/>
      <c r="CS2956" s="6"/>
      <c r="CT2956" s="6"/>
      <c r="CU2956" s="6"/>
      <c r="CV2956" s="6"/>
      <c r="CW2956" s="6"/>
      <c r="CX2956" s="6"/>
      <c r="CY2956" s="6"/>
      <c r="CZ2956" s="6"/>
      <c r="DA2956" s="6"/>
      <c r="DB2956" s="6"/>
      <c r="DC2956" s="6"/>
      <c r="DD2956" s="6"/>
    </row>
    <row r="2957" spans="1:108" ht="12.75" hidden="1" customHeight="1" outlineLevel="4">
      <c r="A2957" s="104" t="s">
        <v>14</v>
      </c>
      <c r="B2957" s="104" t="s">
        <v>294</v>
      </c>
      <c r="C2957" s="11"/>
      <c r="D2957" s="18" t="str">
        <f>"&lt;" &amp; A2957 &amp; "&gt;" &amp; TEXT(B2957,"0.000000") &amp; "&lt;/" &amp; A2957 &amp; "&gt;"</f>
        <v>&lt;Type&gt;Prop&lt;/Type&gt;</v>
      </c>
      <c r="F2957" s="6"/>
      <c r="G2957" s="6"/>
      <c r="H2957" s="6"/>
      <c r="I2957" s="6"/>
      <c r="J2957" s="6"/>
      <c r="K2957" s="6"/>
      <c r="L2957" s="6"/>
      <c r="M2957" s="6"/>
      <c r="N2957" s="6"/>
      <c r="O2957" s="6"/>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c r="BU2957" s="6"/>
      <c r="BV2957" s="6"/>
      <c r="BW2957" s="6"/>
      <c r="BX2957" s="6"/>
      <c r="BY2957" s="6"/>
      <c r="BZ2957" s="6"/>
      <c r="CA2957" s="6"/>
      <c r="CB2957" s="6"/>
      <c r="CC2957" s="6"/>
      <c r="CD2957" s="6"/>
      <c r="CE2957" s="6"/>
      <c r="CF2957" s="6"/>
      <c r="CG2957" s="6"/>
      <c r="CH2957" s="6"/>
      <c r="CI2957" s="6"/>
      <c r="CJ2957" s="6"/>
      <c r="CK2957" s="6"/>
      <c r="CL2957" s="6"/>
      <c r="CM2957" s="6"/>
      <c r="CN2957" s="6"/>
      <c r="CO2957" s="6"/>
      <c r="CP2957" s="6"/>
      <c r="CQ2957" s="6"/>
      <c r="CR2957" s="6"/>
      <c r="CS2957" s="6"/>
      <c r="CT2957" s="6"/>
      <c r="CU2957" s="6"/>
      <c r="CV2957" s="6"/>
      <c r="CW2957" s="6"/>
      <c r="CX2957" s="6"/>
      <c r="CY2957" s="6"/>
      <c r="CZ2957" s="6"/>
      <c r="DA2957" s="6"/>
      <c r="DB2957" s="6"/>
      <c r="DC2957" s="6"/>
      <c r="DD2957" s="6"/>
    </row>
    <row r="2958" spans="1:108" ht="12.75" hidden="1" customHeight="1" outlineLevel="4">
      <c r="A2958" s="104" t="s">
        <v>42</v>
      </c>
      <c r="B2958" s="104"/>
      <c r="C2958" s="11"/>
      <c r="D2958" s="6" t="str">
        <f>"&lt;" &amp; A2958 &amp; "&gt;"</f>
        <v>&lt;General_Parms&gt;</v>
      </c>
      <c r="F2958" s="6"/>
      <c r="G2958" s="6"/>
      <c r="H2958" s="6"/>
      <c r="I2958" s="6"/>
      <c r="J2958" s="6"/>
      <c r="K2958" s="6"/>
      <c r="L2958" s="6"/>
      <c r="M2958" s="6"/>
      <c r="N2958" s="6"/>
      <c r="O2958" s="6"/>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c r="BU2958" s="6"/>
      <c r="BV2958" s="6"/>
      <c r="BW2958" s="6"/>
      <c r="BX2958" s="6"/>
      <c r="BY2958" s="6"/>
      <c r="BZ2958" s="6"/>
      <c r="CA2958" s="6"/>
      <c r="CB2958" s="6"/>
      <c r="CC2958" s="6"/>
      <c r="CD2958" s="6"/>
      <c r="CE2958" s="6"/>
      <c r="CF2958" s="6"/>
      <c r="CG2958" s="6"/>
      <c r="CH2958" s="6"/>
      <c r="CI2958" s="6"/>
      <c r="CJ2958" s="6"/>
      <c r="CK2958" s="6"/>
      <c r="CL2958" s="6"/>
      <c r="CM2958" s="6"/>
      <c r="CN2958" s="6"/>
      <c r="CO2958" s="6"/>
      <c r="CP2958" s="6"/>
      <c r="CQ2958" s="6"/>
      <c r="CR2958" s="6"/>
      <c r="CS2958" s="6"/>
      <c r="CT2958" s="6"/>
      <c r="CU2958" s="6"/>
      <c r="CV2958" s="6"/>
      <c r="CW2958" s="6"/>
      <c r="CX2958" s="6"/>
      <c r="CY2958" s="6"/>
      <c r="CZ2958" s="6"/>
      <c r="DA2958" s="6"/>
      <c r="DB2958" s="6"/>
      <c r="DC2958" s="6"/>
      <c r="DD2958" s="6"/>
    </row>
    <row r="2959" spans="1:108" ht="12.75" hidden="1" customHeight="1" outlineLevel="5">
      <c r="A2959" s="104" t="s">
        <v>1</v>
      </c>
      <c r="B2959" s="100" t="str">
        <f t="shared" ref="B2959:B3002" si="170">B1360</f>
        <v>Rotor</v>
      </c>
      <c r="C2959" s="11"/>
      <c r="D2959" s="18" t="str">
        <f>"&lt;" &amp; A2959 &amp; "&gt;" &amp; TEXT(B2959,"0.000000") &amp; "&lt;/" &amp; A2959 &amp; "&gt;"</f>
        <v>&lt;Name&gt;Rotor&lt;/Name&gt;</v>
      </c>
      <c r="F2959" s="6"/>
      <c r="G2959" s="6"/>
      <c r="H2959" s="6"/>
      <c r="I2959" s="6"/>
      <c r="J2959" s="6"/>
      <c r="K2959" s="6"/>
      <c r="L2959" s="6"/>
      <c r="M2959" s="6"/>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c r="BU2959" s="6"/>
      <c r="BV2959" s="6"/>
      <c r="BW2959" s="6"/>
      <c r="BX2959" s="6"/>
      <c r="BY2959" s="6"/>
      <c r="BZ2959" s="6"/>
      <c r="CA2959" s="6"/>
      <c r="CB2959" s="6"/>
      <c r="CC2959" s="6"/>
      <c r="CD2959" s="6"/>
      <c r="CE2959" s="6"/>
      <c r="CF2959" s="6"/>
      <c r="CG2959" s="6"/>
      <c r="CH2959" s="6"/>
      <c r="CI2959" s="6"/>
      <c r="CJ2959" s="6"/>
      <c r="CK2959" s="6"/>
      <c r="CL2959" s="6"/>
      <c r="CM2959" s="6"/>
      <c r="CN2959" s="6"/>
      <c r="CO2959" s="6"/>
      <c r="CP2959" s="6"/>
      <c r="CQ2959" s="6"/>
      <c r="CR2959" s="6"/>
      <c r="CS2959" s="6"/>
      <c r="CT2959" s="6"/>
      <c r="CU2959" s="6"/>
      <c r="CV2959" s="6"/>
      <c r="CW2959" s="6"/>
      <c r="CX2959" s="6"/>
      <c r="CY2959" s="6"/>
      <c r="CZ2959" s="6"/>
      <c r="DA2959" s="6"/>
      <c r="DB2959" s="6"/>
      <c r="DC2959" s="6"/>
      <c r="DD2959" s="6"/>
    </row>
    <row r="2960" spans="1:108" ht="12.75" hidden="1" customHeight="1" outlineLevel="5">
      <c r="A2960" s="104" t="s">
        <v>43</v>
      </c>
      <c r="B2960" s="28">
        <f t="shared" si="170"/>
        <v>127</v>
      </c>
      <c r="C2960" s="11"/>
      <c r="D2960" s="18" t="str">
        <f>"&lt;" &amp; A2960 &amp; "&gt;" &amp; TEXT(B2960,"0.000000") &amp; "&lt;/" &amp; A2960 &amp; "&gt;"</f>
        <v>&lt;ColorR&gt;127.000000&lt;/ColorR&gt;</v>
      </c>
      <c r="F2960" s="6"/>
      <c r="G2960" s="6"/>
      <c r="H2960" s="6"/>
      <c r="I2960" s="6"/>
      <c r="J2960" s="6"/>
      <c r="K2960" s="6"/>
      <c r="L2960" s="6"/>
      <c r="M2960" s="6"/>
      <c r="N2960" s="6"/>
      <c r="O2960" s="6"/>
      <c r="P2960" s="6"/>
      <c r="Q2960" s="6"/>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c r="BU2960" s="6"/>
      <c r="BV2960" s="6"/>
      <c r="BW2960" s="6"/>
      <c r="BX2960" s="6"/>
      <c r="BY2960" s="6"/>
      <c r="BZ2960" s="6"/>
      <c r="CA2960" s="6"/>
      <c r="CB2960" s="6"/>
      <c r="CC2960" s="6"/>
      <c r="CD2960" s="6"/>
      <c r="CE2960" s="6"/>
      <c r="CF2960" s="6"/>
      <c r="CG2960" s="6"/>
      <c r="CH2960" s="6"/>
      <c r="CI2960" s="6"/>
      <c r="CJ2960" s="6"/>
      <c r="CK2960" s="6"/>
      <c r="CL2960" s="6"/>
      <c r="CM2960" s="6"/>
      <c r="CN2960" s="6"/>
      <c r="CO2960" s="6"/>
      <c r="CP2960" s="6"/>
      <c r="CQ2960" s="6"/>
      <c r="CR2960" s="6"/>
      <c r="CS2960" s="6"/>
      <c r="CT2960" s="6"/>
      <c r="CU2960" s="6"/>
      <c r="CV2960" s="6"/>
      <c r="CW2960" s="6"/>
      <c r="CX2960" s="6"/>
      <c r="CY2960" s="6"/>
      <c r="CZ2960" s="6"/>
      <c r="DA2960" s="6"/>
      <c r="DB2960" s="6"/>
      <c r="DC2960" s="6"/>
      <c r="DD2960" s="6"/>
    </row>
    <row r="2961" spans="1:108" ht="12.75" hidden="1" customHeight="1" outlineLevel="5">
      <c r="A2961" s="104" t="s">
        <v>44</v>
      </c>
      <c r="B2961" s="28">
        <f t="shared" si="170"/>
        <v>127</v>
      </c>
      <c r="C2961" s="11"/>
      <c r="D2961" s="18" t="str">
        <f>"&lt;" &amp; A2961 &amp; "&gt;" &amp; TEXT(B2961,"0.000000") &amp; "&lt;/" &amp; A2961 &amp; "&gt;"</f>
        <v>&lt;ColorG&gt;127.000000&lt;/ColorG&gt;</v>
      </c>
      <c r="F2961" s="6"/>
      <c r="G2961" s="6"/>
      <c r="H2961" s="6"/>
      <c r="I2961" s="6"/>
      <c r="J2961" s="6"/>
      <c r="K2961" s="6"/>
      <c r="L2961" s="6"/>
      <c r="M2961" s="6"/>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c r="BU2961" s="6"/>
      <c r="BV2961" s="6"/>
      <c r="BW2961" s="6"/>
      <c r="BX2961" s="6"/>
      <c r="BY2961" s="6"/>
      <c r="BZ2961" s="6"/>
      <c r="CA2961" s="6"/>
      <c r="CB2961" s="6"/>
      <c r="CC2961" s="6"/>
      <c r="CD2961" s="6"/>
      <c r="CE2961" s="6"/>
      <c r="CF2961" s="6"/>
      <c r="CG2961" s="6"/>
      <c r="CH2961" s="6"/>
      <c r="CI2961" s="6"/>
      <c r="CJ2961" s="6"/>
      <c r="CK2961" s="6"/>
      <c r="CL2961" s="6"/>
      <c r="CM2961" s="6"/>
      <c r="CN2961" s="6"/>
      <c r="CO2961" s="6"/>
      <c r="CP2961" s="6"/>
      <c r="CQ2961" s="6"/>
      <c r="CR2961" s="6"/>
      <c r="CS2961" s="6"/>
      <c r="CT2961" s="6"/>
      <c r="CU2961" s="6"/>
      <c r="CV2961" s="6"/>
      <c r="CW2961" s="6"/>
      <c r="CX2961" s="6"/>
      <c r="CY2961" s="6"/>
      <c r="CZ2961" s="6"/>
      <c r="DA2961" s="6"/>
      <c r="DB2961" s="6"/>
      <c r="DC2961" s="6"/>
      <c r="DD2961" s="6"/>
    </row>
    <row r="2962" spans="1:108" ht="12.75" hidden="1" customHeight="1" outlineLevel="5">
      <c r="A2962" s="104" t="s">
        <v>45</v>
      </c>
      <c r="B2962" s="28">
        <f t="shared" si="170"/>
        <v>127</v>
      </c>
      <c r="C2962" s="11"/>
      <c r="D2962" s="18" t="str">
        <f>"&lt;" &amp; A2962 &amp; "&gt;" &amp; TEXT(B2962,"0.000000") &amp; "&lt;/" &amp; A2962 &amp; "&gt;"</f>
        <v>&lt;ColorB&gt;127.000000&lt;/ColorB&gt;</v>
      </c>
      <c r="F2962" s="6"/>
      <c r="G2962" s="6"/>
      <c r="H2962" s="6"/>
      <c r="I2962" s="6"/>
      <c r="J2962" s="6"/>
      <c r="K2962" s="6"/>
      <c r="L2962" s="6"/>
      <c r="M2962" s="6"/>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c r="BU2962" s="6"/>
      <c r="BV2962" s="6"/>
      <c r="BW2962" s="6"/>
      <c r="BX2962" s="6"/>
      <c r="BY2962" s="6"/>
      <c r="BZ2962" s="6"/>
      <c r="CA2962" s="6"/>
      <c r="CB2962" s="6"/>
      <c r="CC2962" s="6"/>
      <c r="CD2962" s="6"/>
      <c r="CE2962" s="6"/>
      <c r="CF2962" s="6"/>
      <c r="CG2962" s="6"/>
      <c r="CH2962" s="6"/>
      <c r="CI2962" s="6"/>
      <c r="CJ2962" s="6"/>
      <c r="CK2962" s="6"/>
      <c r="CL2962" s="6"/>
      <c r="CM2962" s="6"/>
      <c r="CN2962" s="6"/>
      <c r="CO2962" s="6"/>
      <c r="CP2962" s="6"/>
      <c r="CQ2962" s="6"/>
      <c r="CR2962" s="6"/>
      <c r="CS2962" s="6"/>
      <c r="CT2962" s="6"/>
      <c r="CU2962" s="6"/>
      <c r="CV2962" s="6"/>
      <c r="CW2962" s="6"/>
      <c r="CX2962" s="6"/>
      <c r="CY2962" s="6"/>
      <c r="CZ2962" s="6"/>
      <c r="DA2962" s="6"/>
      <c r="DB2962" s="6"/>
      <c r="DC2962" s="6"/>
      <c r="DD2962" s="6"/>
    </row>
    <row r="2963" spans="1:108" ht="12.75" hidden="1" customHeight="1" outlineLevel="5">
      <c r="A2963" s="104" t="s">
        <v>46</v>
      </c>
      <c r="B2963" s="28">
        <f t="shared" si="170"/>
        <v>0</v>
      </c>
      <c r="C2963" s="11"/>
      <c r="D2963" s="18" t="str">
        <f t="shared" ref="D2963:D2972" si="171">"&lt;" &amp; A2963 &amp; "&gt;" &amp; TEXT(B2963,0) &amp; "&lt;/" &amp; A2963 &amp; "&gt;"</f>
        <v>&lt;Symmetry&gt;0&lt;/Symmetry&gt;</v>
      </c>
      <c r="F2963" s="6"/>
      <c r="G2963" s="6"/>
      <c r="H2963" s="6"/>
      <c r="I2963" s="6"/>
      <c r="J2963" s="6"/>
      <c r="K2963" s="6"/>
      <c r="L2963" s="6"/>
      <c r="M2963" s="6"/>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c r="BU2963" s="6"/>
      <c r="BV2963" s="6"/>
      <c r="BW2963" s="6"/>
      <c r="BX2963" s="6"/>
      <c r="BY2963" s="6"/>
      <c r="BZ2963" s="6"/>
      <c r="CA2963" s="6"/>
      <c r="CB2963" s="6"/>
      <c r="CC2963" s="6"/>
      <c r="CD2963" s="6"/>
      <c r="CE2963" s="6"/>
      <c r="CF2963" s="6"/>
      <c r="CG2963" s="6"/>
      <c r="CH2963" s="6"/>
      <c r="CI2963" s="6"/>
      <c r="CJ2963" s="6"/>
      <c r="CK2963" s="6"/>
      <c r="CL2963" s="6"/>
      <c r="CM2963" s="6"/>
      <c r="CN2963" s="6"/>
      <c r="CO2963" s="6"/>
      <c r="CP2963" s="6"/>
      <c r="CQ2963" s="6"/>
      <c r="CR2963" s="6"/>
      <c r="CS2963" s="6"/>
      <c r="CT2963" s="6"/>
      <c r="CU2963" s="6"/>
      <c r="CV2963" s="6"/>
      <c r="CW2963" s="6"/>
      <c r="CX2963" s="6"/>
      <c r="CY2963" s="6"/>
      <c r="CZ2963" s="6"/>
      <c r="DA2963" s="6"/>
      <c r="DB2963" s="6"/>
      <c r="DC2963" s="6"/>
      <c r="DD2963" s="6"/>
    </row>
    <row r="2964" spans="1:108" ht="12.75" hidden="1" customHeight="1" outlineLevel="5">
      <c r="A2964" s="104" t="s">
        <v>47</v>
      </c>
      <c r="B2964" s="28">
        <f t="shared" si="170"/>
        <v>0</v>
      </c>
      <c r="C2964" s="11"/>
      <c r="D2964" s="18" t="str">
        <f t="shared" si="171"/>
        <v>&lt;RelXFormFlag&gt;0&lt;/RelXFormFlag&gt;</v>
      </c>
      <c r="F2964" s="6"/>
      <c r="G2964" s="6"/>
      <c r="H2964" s="6"/>
      <c r="I2964" s="6"/>
      <c r="J2964" s="6"/>
      <c r="K2964" s="6"/>
      <c r="L2964" s="6"/>
      <c r="M2964" s="6"/>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c r="BU2964" s="6"/>
      <c r="BV2964" s="6"/>
      <c r="BW2964" s="6"/>
      <c r="BX2964" s="6"/>
      <c r="BY2964" s="6"/>
      <c r="BZ2964" s="6"/>
      <c r="CA2964" s="6"/>
      <c r="CB2964" s="6"/>
      <c r="CC2964" s="6"/>
      <c r="CD2964" s="6"/>
      <c r="CE2964" s="6"/>
      <c r="CF2964" s="6"/>
      <c r="CG2964" s="6"/>
      <c r="CH2964" s="6"/>
      <c r="CI2964" s="6"/>
      <c r="CJ2964" s="6"/>
      <c r="CK2964" s="6"/>
      <c r="CL2964" s="6"/>
      <c r="CM2964" s="6"/>
      <c r="CN2964" s="6"/>
      <c r="CO2964" s="6"/>
      <c r="CP2964" s="6"/>
      <c r="CQ2964" s="6"/>
      <c r="CR2964" s="6"/>
      <c r="CS2964" s="6"/>
      <c r="CT2964" s="6"/>
      <c r="CU2964" s="6"/>
      <c r="CV2964" s="6"/>
      <c r="CW2964" s="6"/>
      <c r="CX2964" s="6"/>
      <c r="CY2964" s="6"/>
      <c r="CZ2964" s="6"/>
      <c r="DA2964" s="6"/>
      <c r="DB2964" s="6"/>
      <c r="DC2964" s="6"/>
      <c r="DD2964" s="6"/>
    </row>
    <row r="2965" spans="1:108" ht="12.75" hidden="1" customHeight="1" outlineLevel="5">
      <c r="A2965" s="104" t="s">
        <v>48</v>
      </c>
      <c r="B2965" s="28">
        <f t="shared" si="170"/>
        <v>0</v>
      </c>
      <c r="C2965" s="11"/>
      <c r="D2965" s="18" t="str">
        <f t="shared" si="171"/>
        <v>&lt;MaterialID&gt;0&lt;/MaterialID&gt;</v>
      </c>
      <c r="F2965" s="6"/>
      <c r="G2965" s="6"/>
      <c r="H2965" s="6"/>
      <c r="I2965" s="6"/>
      <c r="J2965" s="6"/>
      <c r="K2965" s="6"/>
      <c r="L2965" s="6"/>
      <c r="M2965" s="6"/>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c r="BU2965" s="6"/>
      <c r="BV2965" s="6"/>
      <c r="BW2965" s="6"/>
      <c r="BX2965" s="6"/>
      <c r="BY2965" s="6"/>
      <c r="BZ2965" s="6"/>
      <c r="CA2965" s="6"/>
      <c r="CB2965" s="6"/>
      <c r="CC2965" s="6"/>
      <c r="CD2965" s="6"/>
      <c r="CE2965" s="6"/>
      <c r="CF2965" s="6"/>
      <c r="CG2965" s="6"/>
      <c r="CH2965" s="6"/>
      <c r="CI2965" s="6"/>
      <c r="CJ2965" s="6"/>
      <c r="CK2965" s="6"/>
      <c r="CL2965" s="6"/>
      <c r="CM2965" s="6"/>
      <c r="CN2965" s="6"/>
      <c r="CO2965" s="6"/>
      <c r="CP2965" s="6"/>
      <c r="CQ2965" s="6"/>
      <c r="CR2965" s="6"/>
      <c r="CS2965" s="6"/>
      <c r="CT2965" s="6"/>
      <c r="CU2965" s="6"/>
      <c r="CV2965" s="6"/>
      <c r="CW2965" s="6"/>
      <c r="CX2965" s="6"/>
      <c r="CY2965" s="6"/>
      <c r="CZ2965" s="6"/>
      <c r="DA2965" s="6"/>
      <c r="DB2965" s="6"/>
      <c r="DC2965" s="6"/>
      <c r="DD2965" s="6"/>
    </row>
    <row r="2966" spans="1:108" ht="12.75" hidden="1" customHeight="1" outlineLevel="5">
      <c r="A2966" s="104" t="s">
        <v>49</v>
      </c>
      <c r="B2966" s="28">
        <f t="shared" si="170"/>
        <v>1</v>
      </c>
      <c r="C2966" s="11"/>
      <c r="D2966" s="18" t="str">
        <f t="shared" si="171"/>
        <v>&lt;OutputFlag&gt;1&lt;/OutputFlag&gt;</v>
      </c>
      <c r="F2966" s="6"/>
      <c r="G2966" s="6"/>
      <c r="H2966" s="6"/>
      <c r="I2966" s="6"/>
      <c r="J2966" s="6"/>
      <c r="K2966" s="6"/>
      <c r="L2966" s="6"/>
      <c r="M2966" s="6"/>
      <c r="N2966" s="6"/>
      <c r="O2966" s="6"/>
      <c r="P2966" s="6"/>
      <c r="Q2966" s="6"/>
      <c r="R2966" s="6"/>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c r="BU2966" s="6"/>
      <c r="BV2966" s="6"/>
      <c r="BW2966" s="6"/>
      <c r="BX2966" s="6"/>
      <c r="BY2966" s="6"/>
      <c r="BZ2966" s="6"/>
      <c r="CA2966" s="6"/>
      <c r="CB2966" s="6"/>
      <c r="CC2966" s="6"/>
      <c r="CD2966" s="6"/>
      <c r="CE2966" s="6"/>
      <c r="CF2966" s="6"/>
      <c r="CG2966" s="6"/>
      <c r="CH2966" s="6"/>
      <c r="CI2966" s="6"/>
      <c r="CJ2966" s="6"/>
      <c r="CK2966" s="6"/>
      <c r="CL2966" s="6"/>
      <c r="CM2966" s="6"/>
      <c r="CN2966" s="6"/>
      <c r="CO2966" s="6"/>
      <c r="CP2966" s="6"/>
      <c r="CQ2966" s="6"/>
      <c r="CR2966" s="6"/>
      <c r="CS2966" s="6"/>
      <c r="CT2966" s="6"/>
      <c r="CU2966" s="6"/>
      <c r="CV2966" s="6"/>
      <c r="CW2966" s="6"/>
      <c r="CX2966" s="6"/>
      <c r="CY2966" s="6"/>
      <c r="CZ2966" s="6"/>
      <c r="DA2966" s="6"/>
      <c r="DB2966" s="6"/>
      <c r="DC2966" s="6"/>
      <c r="DD2966" s="6"/>
    </row>
    <row r="2967" spans="1:108" ht="12.75" hidden="1" customHeight="1" outlineLevel="5">
      <c r="A2967" s="104" t="s">
        <v>50</v>
      </c>
      <c r="B2967" s="28">
        <f t="shared" si="170"/>
        <v>0</v>
      </c>
      <c r="C2967" s="11"/>
      <c r="D2967" s="18" t="str">
        <f t="shared" si="171"/>
        <v>&lt;OutputNameID&gt;0&lt;/OutputNameID&gt;</v>
      </c>
      <c r="F2967" s="6"/>
      <c r="G2967" s="6"/>
      <c r="H2967" s="6"/>
      <c r="I2967" s="6"/>
      <c r="J2967" s="6"/>
      <c r="K2967" s="6"/>
      <c r="L2967" s="6"/>
      <c r="M2967" s="6"/>
      <c r="N2967" s="6"/>
      <c r="O2967" s="6"/>
      <c r="P2967" s="6"/>
      <c r="Q2967" s="6"/>
      <c r="R2967" s="6"/>
      <c r="S2967" s="6"/>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c r="BU2967" s="6"/>
      <c r="BV2967" s="6"/>
      <c r="BW2967" s="6"/>
      <c r="BX2967" s="6"/>
      <c r="BY2967" s="6"/>
      <c r="BZ2967" s="6"/>
      <c r="CA2967" s="6"/>
      <c r="CB2967" s="6"/>
      <c r="CC2967" s="6"/>
      <c r="CD2967" s="6"/>
      <c r="CE2967" s="6"/>
      <c r="CF2967" s="6"/>
      <c r="CG2967" s="6"/>
      <c r="CH2967" s="6"/>
      <c r="CI2967" s="6"/>
      <c r="CJ2967" s="6"/>
      <c r="CK2967" s="6"/>
      <c r="CL2967" s="6"/>
      <c r="CM2967" s="6"/>
      <c r="CN2967" s="6"/>
      <c r="CO2967" s="6"/>
      <c r="CP2967" s="6"/>
      <c r="CQ2967" s="6"/>
      <c r="CR2967" s="6"/>
      <c r="CS2967" s="6"/>
      <c r="CT2967" s="6"/>
      <c r="CU2967" s="6"/>
      <c r="CV2967" s="6"/>
      <c r="CW2967" s="6"/>
      <c r="CX2967" s="6"/>
      <c r="CY2967" s="6"/>
      <c r="CZ2967" s="6"/>
      <c r="DA2967" s="6"/>
      <c r="DB2967" s="6"/>
      <c r="DC2967" s="6"/>
      <c r="DD2967" s="6"/>
    </row>
    <row r="2968" spans="1:108" ht="12.75" hidden="1" customHeight="1" outlineLevel="5">
      <c r="A2968" s="104" t="s">
        <v>51</v>
      </c>
      <c r="B2968" s="28">
        <f t="shared" si="170"/>
        <v>1</v>
      </c>
      <c r="C2968" s="11"/>
      <c r="D2968" s="18" t="str">
        <f t="shared" si="171"/>
        <v>&lt;DisplayChildrenFlag&gt;1&lt;/DisplayChildrenFlag&gt;</v>
      </c>
      <c r="F2968" s="6"/>
      <c r="G2968" s="6"/>
      <c r="H2968" s="6"/>
      <c r="I2968" s="6"/>
      <c r="J2968" s="6"/>
      <c r="K2968" s="6"/>
      <c r="L2968" s="6"/>
      <c r="M2968" s="6"/>
      <c r="N2968" s="6"/>
      <c r="O2968" s="6"/>
      <c r="P2968" s="6"/>
      <c r="Q2968" s="6"/>
      <c r="R2968" s="6"/>
      <c r="S2968" s="6"/>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c r="BU2968" s="6"/>
      <c r="BV2968" s="6"/>
      <c r="BW2968" s="6"/>
      <c r="BX2968" s="6"/>
      <c r="BY2968" s="6"/>
      <c r="BZ2968" s="6"/>
      <c r="CA2968" s="6"/>
      <c r="CB2968" s="6"/>
      <c r="CC2968" s="6"/>
      <c r="CD2968" s="6"/>
      <c r="CE2968" s="6"/>
      <c r="CF2968" s="6"/>
      <c r="CG2968" s="6"/>
      <c r="CH2968" s="6"/>
      <c r="CI2968" s="6"/>
      <c r="CJ2968" s="6"/>
      <c r="CK2968" s="6"/>
      <c r="CL2968" s="6"/>
      <c r="CM2968" s="6"/>
      <c r="CN2968" s="6"/>
      <c r="CO2968" s="6"/>
      <c r="CP2968" s="6"/>
      <c r="CQ2968" s="6"/>
      <c r="CR2968" s="6"/>
      <c r="CS2968" s="6"/>
      <c r="CT2968" s="6"/>
      <c r="CU2968" s="6"/>
      <c r="CV2968" s="6"/>
      <c r="CW2968" s="6"/>
      <c r="CX2968" s="6"/>
      <c r="CY2968" s="6"/>
      <c r="CZ2968" s="6"/>
      <c r="DA2968" s="6"/>
      <c r="DB2968" s="6"/>
      <c r="DC2968" s="6"/>
      <c r="DD2968" s="6"/>
    </row>
    <row r="2969" spans="1:108" ht="12.75" hidden="1" customHeight="1" outlineLevel="5">
      <c r="A2969" s="104" t="s">
        <v>52</v>
      </c>
      <c r="B2969" s="28">
        <f t="shared" si="170"/>
        <v>21</v>
      </c>
      <c r="C2969" s="11"/>
      <c r="D2969" s="18" t="str">
        <f t="shared" si="171"/>
        <v>&lt;NumPnts&gt;21&lt;/NumPnts&gt;</v>
      </c>
      <c r="F2969" s="6"/>
      <c r="G2969" s="6"/>
      <c r="H2969" s="6"/>
      <c r="I2969" s="6"/>
      <c r="J2969" s="6"/>
      <c r="K2969" s="6"/>
      <c r="L2969" s="6"/>
      <c r="M2969" s="6"/>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c r="BU2969" s="6"/>
      <c r="BV2969" s="6"/>
      <c r="BW2969" s="6"/>
      <c r="BX2969" s="6"/>
      <c r="BY2969" s="6"/>
      <c r="BZ2969" s="6"/>
      <c r="CA2969" s="6"/>
      <c r="CB2969" s="6"/>
      <c r="CC2969" s="6"/>
      <c r="CD2969" s="6"/>
      <c r="CE2969" s="6"/>
      <c r="CF2969" s="6"/>
      <c r="CG2969" s="6"/>
      <c r="CH2969" s="6"/>
      <c r="CI2969" s="6"/>
      <c r="CJ2969" s="6"/>
      <c r="CK2969" s="6"/>
      <c r="CL2969" s="6"/>
      <c r="CM2969" s="6"/>
      <c r="CN2969" s="6"/>
      <c r="CO2969" s="6"/>
      <c r="CP2969" s="6"/>
      <c r="CQ2969" s="6"/>
      <c r="CR2969" s="6"/>
      <c r="CS2969" s="6"/>
      <c r="CT2969" s="6"/>
      <c r="CU2969" s="6"/>
      <c r="CV2969" s="6"/>
      <c r="CW2969" s="6"/>
      <c r="CX2969" s="6"/>
      <c r="CY2969" s="6"/>
      <c r="CZ2969" s="6"/>
      <c r="DA2969" s="6"/>
      <c r="DB2969" s="6"/>
      <c r="DC2969" s="6"/>
      <c r="DD2969" s="6"/>
    </row>
    <row r="2970" spans="1:108" ht="12.75" hidden="1" customHeight="1" outlineLevel="5">
      <c r="A2970" s="104" t="s">
        <v>53</v>
      </c>
      <c r="B2970" s="28">
        <f t="shared" si="170"/>
        <v>11</v>
      </c>
      <c r="C2970" s="11"/>
      <c r="D2970" s="18" t="str">
        <f t="shared" si="171"/>
        <v>&lt;NumXsecs&gt;11&lt;/NumXsecs&gt;</v>
      </c>
      <c r="F2970" s="6"/>
      <c r="G2970" s="6"/>
      <c r="H2970" s="6"/>
      <c r="I2970" s="6"/>
      <c r="J2970" s="6"/>
      <c r="K2970" s="6"/>
      <c r="L2970" s="6"/>
      <c r="M2970" s="6"/>
      <c r="N2970" s="6"/>
      <c r="O2970" s="6"/>
      <c r="P2970" s="6"/>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c r="BU2970" s="6"/>
      <c r="BV2970" s="6"/>
      <c r="BW2970" s="6"/>
      <c r="BX2970" s="6"/>
      <c r="BY2970" s="6"/>
      <c r="BZ2970" s="6"/>
      <c r="CA2970" s="6"/>
      <c r="CB2970" s="6"/>
      <c r="CC2970" s="6"/>
      <c r="CD2970" s="6"/>
      <c r="CE2970" s="6"/>
      <c r="CF2970" s="6"/>
      <c r="CG2970" s="6"/>
      <c r="CH2970" s="6"/>
      <c r="CI2970" s="6"/>
      <c r="CJ2970" s="6"/>
      <c r="CK2970" s="6"/>
      <c r="CL2970" s="6"/>
      <c r="CM2970" s="6"/>
      <c r="CN2970" s="6"/>
      <c r="CO2970" s="6"/>
      <c r="CP2970" s="6"/>
      <c r="CQ2970" s="6"/>
      <c r="CR2970" s="6"/>
      <c r="CS2970" s="6"/>
      <c r="CT2970" s="6"/>
      <c r="CU2970" s="6"/>
      <c r="CV2970" s="6"/>
      <c r="CW2970" s="6"/>
      <c r="CX2970" s="6"/>
      <c r="CY2970" s="6"/>
      <c r="CZ2970" s="6"/>
      <c r="DA2970" s="6"/>
      <c r="DB2970" s="6"/>
      <c r="DC2970" s="6"/>
      <c r="DD2970" s="6"/>
    </row>
    <row r="2971" spans="1:108" ht="12.75" hidden="1" customHeight="1" outlineLevel="5">
      <c r="A2971" s="104" t="s">
        <v>54</v>
      </c>
      <c r="B2971" s="28">
        <f t="shared" si="170"/>
        <v>0</v>
      </c>
      <c r="C2971" s="11"/>
      <c r="D2971" s="18" t="str">
        <f t="shared" si="171"/>
        <v>&lt;MassPrior&gt;0&lt;/MassPrior&gt;</v>
      </c>
      <c r="F2971" s="6"/>
      <c r="G2971" s="6"/>
      <c r="H2971" s="6"/>
      <c r="I2971" s="6"/>
      <c r="J2971" s="6"/>
      <c r="K2971" s="6"/>
      <c r="L2971" s="6"/>
      <c r="M2971" s="6"/>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c r="BU2971" s="6"/>
      <c r="BV2971" s="6"/>
      <c r="BW2971" s="6"/>
      <c r="BX2971" s="6"/>
      <c r="BY2971" s="6"/>
      <c r="BZ2971" s="6"/>
      <c r="CA2971" s="6"/>
      <c r="CB2971" s="6"/>
      <c r="CC2971" s="6"/>
      <c r="CD2971" s="6"/>
      <c r="CE2971" s="6"/>
      <c r="CF2971" s="6"/>
      <c r="CG2971" s="6"/>
      <c r="CH2971" s="6"/>
      <c r="CI2971" s="6"/>
      <c r="CJ2971" s="6"/>
      <c r="CK2971" s="6"/>
      <c r="CL2971" s="6"/>
      <c r="CM2971" s="6"/>
      <c r="CN2971" s="6"/>
      <c r="CO2971" s="6"/>
      <c r="CP2971" s="6"/>
      <c r="CQ2971" s="6"/>
      <c r="CR2971" s="6"/>
      <c r="CS2971" s="6"/>
      <c r="CT2971" s="6"/>
      <c r="CU2971" s="6"/>
      <c r="CV2971" s="6"/>
      <c r="CW2971" s="6"/>
      <c r="CX2971" s="6"/>
      <c r="CY2971" s="6"/>
      <c r="CZ2971" s="6"/>
      <c r="DA2971" s="6"/>
      <c r="DB2971" s="6"/>
      <c r="DC2971" s="6"/>
      <c r="DD2971" s="6"/>
    </row>
    <row r="2972" spans="1:108" ht="12.75" hidden="1" customHeight="1" outlineLevel="5">
      <c r="A2972" s="104" t="s">
        <v>55</v>
      </c>
      <c r="B2972" s="28">
        <f t="shared" si="170"/>
        <v>0</v>
      </c>
      <c r="C2972" s="11"/>
      <c r="D2972" s="18" t="str">
        <f t="shared" si="171"/>
        <v>&lt;ShellFlag&gt;0&lt;/ShellFlag&gt;</v>
      </c>
      <c r="F2972" s="6"/>
      <c r="G2972" s="6"/>
      <c r="H2972" s="6"/>
      <c r="I2972" s="6"/>
      <c r="J2972" s="6"/>
      <c r="K2972" s="6"/>
      <c r="L2972" s="6"/>
      <c r="M2972" s="6"/>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c r="BU2972" s="6"/>
      <c r="BV2972" s="6"/>
      <c r="BW2972" s="6"/>
      <c r="BX2972" s="6"/>
      <c r="BY2972" s="6"/>
      <c r="BZ2972" s="6"/>
      <c r="CA2972" s="6"/>
      <c r="CB2972" s="6"/>
      <c r="CC2972" s="6"/>
      <c r="CD2972" s="6"/>
      <c r="CE2972" s="6"/>
      <c r="CF2972" s="6"/>
      <c r="CG2972" s="6"/>
      <c r="CH2972" s="6"/>
      <c r="CI2972" s="6"/>
      <c r="CJ2972" s="6"/>
      <c r="CK2972" s="6"/>
      <c r="CL2972" s="6"/>
      <c r="CM2972" s="6"/>
      <c r="CN2972" s="6"/>
      <c r="CO2972" s="6"/>
      <c r="CP2972" s="6"/>
      <c r="CQ2972" s="6"/>
      <c r="CR2972" s="6"/>
      <c r="CS2972" s="6"/>
      <c r="CT2972" s="6"/>
      <c r="CU2972" s="6"/>
      <c r="CV2972" s="6"/>
      <c r="CW2972" s="6"/>
      <c r="CX2972" s="6"/>
      <c r="CY2972" s="6"/>
      <c r="CZ2972" s="6"/>
      <c r="DA2972" s="6"/>
      <c r="DB2972" s="6"/>
      <c r="DC2972" s="6"/>
      <c r="DD2972" s="6"/>
    </row>
    <row r="2973" spans="1:108" ht="12.75" hidden="1" customHeight="1" outlineLevel="5">
      <c r="A2973" s="104" t="s">
        <v>56</v>
      </c>
      <c r="B2973" s="28">
        <f t="shared" si="170"/>
        <v>0</v>
      </c>
      <c r="C2973" s="11"/>
      <c r="D2973" s="18" t="str">
        <f t="shared" ref="D2973:D2987" si="172">"&lt;" &amp; A2973 &amp; "&gt;" &amp; TEXT(B2973,"0.000000") &amp; "&lt;/" &amp; A2973 &amp; "&gt;"</f>
        <v>&lt;Tran_X&gt;0.000000&lt;/Tran_X&gt;</v>
      </c>
      <c r="F2973" s="6"/>
      <c r="G2973" s="6"/>
      <c r="H2973" s="6"/>
      <c r="I2973" s="6"/>
      <c r="J2973" s="6"/>
      <c r="K2973" s="6"/>
      <c r="L2973" s="6"/>
      <c r="M2973" s="6"/>
      <c r="N2973" s="6"/>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c r="BU2973" s="6"/>
      <c r="BV2973" s="6"/>
      <c r="BW2973" s="6"/>
      <c r="BX2973" s="6"/>
      <c r="BY2973" s="6"/>
      <c r="BZ2973" s="6"/>
      <c r="CA2973" s="6"/>
      <c r="CB2973" s="6"/>
      <c r="CC2973" s="6"/>
      <c r="CD2973" s="6"/>
      <c r="CE2973" s="6"/>
      <c r="CF2973" s="6"/>
      <c r="CG2973" s="6"/>
      <c r="CH2973" s="6"/>
      <c r="CI2973" s="6"/>
      <c r="CJ2973" s="6"/>
      <c r="CK2973" s="6"/>
      <c r="CL2973" s="6"/>
      <c r="CM2973" s="6"/>
      <c r="CN2973" s="6"/>
      <c r="CO2973" s="6"/>
      <c r="CP2973" s="6"/>
      <c r="CQ2973" s="6"/>
      <c r="CR2973" s="6"/>
      <c r="CS2973" s="6"/>
      <c r="CT2973" s="6"/>
      <c r="CU2973" s="6"/>
      <c r="CV2973" s="6"/>
      <c r="CW2973" s="6"/>
      <c r="CX2973" s="6"/>
      <c r="CY2973" s="6"/>
      <c r="CZ2973" s="6"/>
      <c r="DA2973" s="6"/>
      <c r="DB2973" s="6"/>
      <c r="DC2973" s="6"/>
      <c r="DD2973" s="6"/>
    </row>
    <row r="2974" spans="1:108" ht="12.75" hidden="1" customHeight="1" outlineLevel="5">
      <c r="A2974" s="104" t="s">
        <v>57</v>
      </c>
      <c r="B2974" s="28">
        <f t="shared" si="170"/>
        <v>0</v>
      </c>
      <c r="C2974" s="11"/>
      <c r="D2974" s="18" t="str">
        <f t="shared" si="172"/>
        <v>&lt;Tran_Y&gt;0.000000&lt;/Tran_Y&gt;</v>
      </c>
      <c r="F2974" s="6"/>
      <c r="G2974" s="6"/>
      <c r="H2974" s="6"/>
      <c r="I2974" s="6"/>
      <c r="J2974" s="6"/>
      <c r="K2974" s="6"/>
      <c r="L2974" s="6"/>
      <c r="M2974" s="6"/>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c r="BU2974" s="6"/>
      <c r="BV2974" s="6"/>
      <c r="BW2974" s="6"/>
      <c r="BX2974" s="6"/>
      <c r="BY2974" s="6"/>
      <c r="BZ2974" s="6"/>
      <c r="CA2974" s="6"/>
      <c r="CB2974" s="6"/>
      <c r="CC2974" s="6"/>
      <c r="CD2974" s="6"/>
      <c r="CE2974" s="6"/>
      <c r="CF2974" s="6"/>
      <c r="CG2974" s="6"/>
      <c r="CH2974" s="6"/>
      <c r="CI2974" s="6"/>
      <c r="CJ2974" s="6"/>
      <c r="CK2974" s="6"/>
      <c r="CL2974" s="6"/>
      <c r="CM2974" s="6"/>
      <c r="CN2974" s="6"/>
      <c r="CO2974" s="6"/>
      <c r="CP2974" s="6"/>
      <c r="CQ2974" s="6"/>
      <c r="CR2974" s="6"/>
      <c r="CS2974" s="6"/>
      <c r="CT2974" s="6"/>
      <c r="CU2974" s="6"/>
      <c r="CV2974" s="6"/>
      <c r="CW2974" s="6"/>
      <c r="CX2974" s="6"/>
      <c r="CY2974" s="6"/>
      <c r="CZ2974" s="6"/>
      <c r="DA2974" s="6"/>
      <c r="DB2974" s="6"/>
      <c r="DC2974" s="6"/>
      <c r="DD2974" s="6"/>
    </row>
    <row r="2975" spans="1:108" ht="12.75" hidden="1" customHeight="1" outlineLevel="5">
      <c r="A2975" s="104" t="s">
        <v>58</v>
      </c>
      <c r="B2975" s="28">
        <f t="shared" si="170"/>
        <v>0</v>
      </c>
      <c r="C2975" s="11"/>
      <c r="D2975" s="18" t="str">
        <f t="shared" si="172"/>
        <v>&lt;Tran_Z&gt;0.000000&lt;/Tran_Z&gt;</v>
      </c>
      <c r="F2975" s="6"/>
      <c r="G2975" s="6"/>
      <c r="H2975" s="6"/>
      <c r="I2975" s="6"/>
      <c r="J2975" s="6"/>
      <c r="K2975" s="6"/>
      <c r="L2975" s="6"/>
      <c r="M2975" s="6"/>
      <c r="N2975" s="6"/>
      <c r="O2975" s="6"/>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c r="BU2975" s="6"/>
      <c r="BV2975" s="6"/>
      <c r="BW2975" s="6"/>
      <c r="BX2975" s="6"/>
      <c r="BY2975" s="6"/>
      <c r="BZ2975" s="6"/>
      <c r="CA2975" s="6"/>
      <c r="CB2975" s="6"/>
      <c r="CC2975" s="6"/>
      <c r="CD2975" s="6"/>
      <c r="CE2975" s="6"/>
      <c r="CF2975" s="6"/>
      <c r="CG2975" s="6"/>
      <c r="CH2975" s="6"/>
      <c r="CI2975" s="6"/>
      <c r="CJ2975" s="6"/>
      <c r="CK2975" s="6"/>
      <c r="CL2975" s="6"/>
      <c r="CM2975" s="6"/>
      <c r="CN2975" s="6"/>
      <c r="CO2975" s="6"/>
      <c r="CP2975" s="6"/>
      <c r="CQ2975" s="6"/>
      <c r="CR2975" s="6"/>
      <c r="CS2975" s="6"/>
      <c r="CT2975" s="6"/>
      <c r="CU2975" s="6"/>
      <c r="CV2975" s="6"/>
      <c r="CW2975" s="6"/>
      <c r="CX2975" s="6"/>
      <c r="CY2975" s="6"/>
      <c r="CZ2975" s="6"/>
      <c r="DA2975" s="6"/>
      <c r="DB2975" s="6"/>
      <c r="DC2975" s="6"/>
      <c r="DD2975" s="6"/>
    </row>
    <row r="2976" spans="1:108" ht="12.75" hidden="1" customHeight="1" outlineLevel="5">
      <c r="A2976" s="104" t="s">
        <v>59</v>
      </c>
      <c r="B2976" s="28">
        <f t="shared" si="170"/>
        <v>0</v>
      </c>
      <c r="C2976" s="11"/>
      <c r="D2976" s="18" t="str">
        <f t="shared" si="172"/>
        <v>&lt;TranRel_X&gt;0.000000&lt;/TranRel_X&gt;</v>
      </c>
      <c r="F2976" s="6"/>
      <c r="G2976" s="6"/>
      <c r="H2976" s="6"/>
      <c r="I2976" s="6"/>
      <c r="J2976" s="6"/>
      <c r="K2976" s="6"/>
      <c r="L2976" s="6"/>
      <c r="M2976" s="6"/>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c r="BU2976" s="6"/>
      <c r="BV2976" s="6"/>
      <c r="BW2976" s="6"/>
      <c r="BX2976" s="6"/>
      <c r="BY2976" s="6"/>
      <c r="BZ2976" s="6"/>
      <c r="CA2976" s="6"/>
      <c r="CB2976" s="6"/>
      <c r="CC2976" s="6"/>
      <c r="CD2976" s="6"/>
      <c r="CE2976" s="6"/>
      <c r="CF2976" s="6"/>
      <c r="CG2976" s="6"/>
      <c r="CH2976" s="6"/>
      <c r="CI2976" s="6"/>
      <c r="CJ2976" s="6"/>
      <c r="CK2976" s="6"/>
      <c r="CL2976" s="6"/>
      <c r="CM2976" s="6"/>
      <c r="CN2976" s="6"/>
      <c r="CO2976" s="6"/>
      <c r="CP2976" s="6"/>
      <c r="CQ2976" s="6"/>
      <c r="CR2976" s="6"/>
      <c r="CS2976" s="6"/>
      <c r="CT2976" s="6"/>
      <c r="CU2976" s="6"/>
      <c r="CV2976" s="6"/>
      <c r="CW2976" s="6"/>
      <c r="CX2976" s="6"/>
      <c r="CY2976" s="6"/>
      <c r="CZ2976" s="6"/>
      <c r="DA2976" s="6"/>
      <c r="DB2976" s="6"/>
      <c r="DC2976" s="6"/>
      <c r="DD2976" s="6"/>
    </row>
    <row r="2977" spans="1:108" ht="12.75" hidden="1" customHeight="1" outlineLevel="5">
      <c r="A2977" s="104" t="s">
        <v>60</v>
      </c>
      <c r="B2977" s="28">
        <f t="shared" si="170"/>
        <v>0</v>
      </c>
      <c r="C2977" s="11"/>
      <c r="D2977" s="18" t="str">
        <f t="shared" si="172"/>
        <v>&lt;TranRel_Y&gt;0.000000&lt;/TranRel_Y&gt;</v>
      </c>
      <c r="F2977" s="6"/>
      <c r="G2977" s="6"/>
      <c r="H2977" s="6"/>
      <c r="I2977" s="6"/>
      <c r="J2977" s="6"/>
      <c r="K2977" s="6"/>
      <c r="L2977" s="6"/>
      <c r="M2977" s="6"/>
      <c r="N2977" s="6"/>
      <c r="O2977" s="6"/>
      <c r="P2977" s="6"/>
      <c r="Q2977" s="6"/>
      <c r="R2977" s="6"/>
      <c r="S2977" s="6"/>
      <c r="T2977" s="6"/>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c r="BU2977" s="6"/>
      <c r="BV2977" s="6"/>
      <c r="BW2977" s="6"/>
      <c r="BX2977" s="6"/>
      <c r="BY2977" s="6"/>
      <c r="BZ2977" s="6"/>
      <c r="CA2977" s="6"/>
      <c r="CB2977" s="6"/>
      <c r="CC2977" s="6"/>
      <c r="CD2977" s="6"/>
      <c r="CE2977" s="6"/>
      <c r="CF2977" s="6"/>
      <c r="CG2977" s="6"/>
      <c r="CH2977" s="6"/>
      <c r="CI2977" s="6"/>
      <c r="CJ2977" s="6"/>
      <c r="CK2977" s="6"/>
      <c r="CL2977" s="6"/>
      <c r="CM2977" s="6"/>
      <c r="CN2977" s="6"/>
      <c r="CO2977" s="6"/>
      <c r="CP2977" s="6"/>
      <c r="CQ2977" s="6"/>
      <c r="CR2977" s="6"/>
      <c r="CS2977" s="6"/>
      <c r="CT2977" s="6"/>
      <c r="CU2977" s="6"/>
      <c r="CV2977" s="6"/>
      <c r="CW2977" s="6"/>
      <c r="CX2977" s="6"/>
      <c r="CY2977" s="6"/>
      <c r="CZ2977" s="6"/>
      <c r="DA2977" s="6"/>
      <c r="DB2977" s="6"/>
      <c r="DC2977" s="6"/>
      <c r="DD2977" s="6"/>
    </row>
    <row r="2978" spans="1:108" ht="12.75" hidden="1" customHeight="1" outlineLevel="5">
      <c r="A2978" s="104" t="s">
        <v>61</v>
      </c>
      <c r="B2978" s="28">
        <f t="shared" si="170"/>
        <v>0</v>
      </c>
      <c r="C2978" s="11"/>
      <c r="D2978" s="18" t="str">
        <f t="shared" si="172"/>
        <v>&lt;TranRel_Z&gt;0.000000&lt;/TranRel_Z&gt;</v>
      </c>
      <c r="F2978" s="6"/>
      <c r="G2978" s="6"/>
      <c r="H2978" s="6"/>
      <c r="I2978" s="6"/>
      <c r="J2978" s="6"/>
      <c r="K2978" s="6"/>
      <c r="L2978" s="6"/>
      <c r="M2978" s="6"/>
      <c r="N2978" s="6"/>
      <c r="O2978" s="6"/>
      <c r="P2978" s="6"/>
      <c r="Q2978" s="6"/>
      <c r="R2978" s="6"/>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c r="BU2978" s="6"/>
      <c r="BV2978" s="6"/>
      <c r="BW2978" s="6"/>
      <c r="BX2978" s="6"/>
      <c r="BY2978" s="6"/>
      <c r="BZ2978" s="6"/>
      <c r="CA2978" s="6"/>
      <c r="CB2978" s="6"/>
      <c r="CC2978" s="6"/>
      <c r="CD2978" s="6"/>
      <c r="CE2978" s="6"/>
      <c r="CF2978" s="6"/>
      <c r="CG2978" s="6"/>
      <c r="CH2978" s="6"/>
      <c r="CI2978" s="6"/>
      <c r="CJ2978" s="6"/>
      <c r="CK2978" s="6"/>
      <c r="CL2978" s="6"/>
      <c r="CM2978" s="6"/>
      <c r="CN2978" s="6"/>
      <c r="CO2978" s="6"/>
      <c r="CP2978" s="6"/>
      <c r="CQ2978" s="6"/>
      <c r="CR2978" s="6"/>
      <c r="CS2978" s="6"/>
      <c r="CT2978" s="6"/>
      <c r="CU2978" s="6"/>
      <c r="CV2978" s="6"/>
      <c r="CW2978" s="6"/>
      <c r="CX2978" s="6"/>
      <c r="CY2978" s="6"/>
      <c r="CZ2978" s="6"/>
      <c r="DA2978" s="6"/>
      <c r="DB2978" s="6"/>
      <c r="DC2978" s="6"/>
      <c r="DD2978" s="6"/>
    </row>
    <row r="2979" spans="1:108" ht="12.75" hidden="1" customHeight="1" outlineLevel="5">
      <c r="A2979" s="104" t="s">
        <v>62</v>
      </c>
      <c r="B2979" s="28">
        <f t="shared" si="170"/>
        <v>0</v>
      </c>
      <c r="C2979" s="11"/>
      <c r="D2979" s="18" t="str">
        <f t="shared" si="172"/>
        <v>&lt;Rot_X&gt;0.000000&lt;/Rot_X&gt;</v>
      </c>
      <c r="F2979" s="6"/>
      <c r="G2979" s="6"/>
      <c r="H2979" s="6"/>
      <c r="I2979" s="6"/>
      <c r="J2979" s="6"/>
      <c r="K2979" s="6"/>
      <c r="L2979" s="6"/>
      <c r="M2979" s="6"/>
      <c r="N2979" s="6"/>
      <c r="O2979" s="6"/>
      <c r="P2979" s="6"/>
      <c r="Q2979" s="6"/>
      <c r="R2979" s="6"/>
      <c r="S2979" s="6"/>
      <c r="T2979" s="6"/>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c r="BU2979" s="6"/>
      <c r="BV2979" s="6"/>
      <c r="BW2979" s="6"/>
      <c r="BX2979" s="6"/>
      <c r="BY2979" s="6"/>
      <c r="BZ2979" s="6"/>
      <c r="CA2979" s="6"/>
      <c r="CB2979" s="6"/>
      <c r="CC2979" s="6"/>
      <c r="CD2979" s="6"/>
      <c r="CE2979" s="6"/>
      <c r="CF2979" s="6"/>
      <c r="CG2979" s="6"/>
      <c r="CH2979" s="6"/>
      <c r="CI2979" s="6"/>
      <c r="CJ2979" s="6"/>
      <c r="CK2979" s="6"/>
      <c r="CL2979" s="6"/>
      <c r="CM2979" s="6"/>
      <c r="CN2979" s="6"/>
      <c r="CO2979" s="6"/>
      <c r="CP2979" s="6"/>
      <c r="CQ2979" s="6"/>
      <c r="CR2979" s="6"/>
      <c r="CS2979" s="6"/>
      <c r="CT2979" s="6"/>
      <c r="CU2979" s="6"/>
      <c r="CV2979" s="6"/>
      <c r="CW2979" s="6"/>
      <c r="CX2979" s="6"/>
      <c r="CY2979" s="6"/>
      <c r="CZ2979" s="6"/>
      <c r="DA2979" s="6"/>
      <c r="DB2979" s="6"/>
      <c r="DC2979" s="6"/>
      <c r="DD2979" s="6"/>
    </row>
    <row r="2980" spans="1:108" ht="12.75" hidden="1" customHeight="1" outlineLevel="5">
      <c r="A2980" s="104" t="s">
        <v>63</v>
      </c>
      <c r="B2980" s="28">
        <f t="shared" si="170"/>
        <v>0</v>
      </c>
      <c r="C2980" s="11"/>
      <c r="D2980" s="18" t="str">
        <f t="shared" si="172"/>
        <v>&lt;Rot_Y&gt;0.000000&lt;/Rot_Y&gt;</v>
      </c>
      <c r="F2980" s="6"/>
      <c r="G2980" s="6"/>
      <c r="H2980" s="6"/>
      <c r="I2980" s="6"/>
      <c r="J2980" s="6"/>
      <c r="K2980" s="6"/>
      <c r="L2980" s="6"/>
      <c r="M2980" s="6"/>
      <c r="N2980" s="6"/>
      <c r="O2980" s="6"/>
      <c r="P2980" s="6"/>
      <c r="Q2980" s="6"/>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c r="BU2980" s="6"/>
      <c r="BV2980" s="6"/>
      <c r="BW2980" s="6"/>
      <c r="BX2980" s="6"/>
      <c r="BY2980" s="6"/>
      <c r="BZ2980" s="6"/>
      <c r="CA2980" s="6"/>
      <c r="CB2980" s="6"/>
      <c r="CC2980" s="6"/>
      <c r="CD2980" s="6"/>
      <c r="CE2980" s="6"/>
      <c r="CF2980" s="6"/>
      <c r="CG2980" s="6"/>
      <c r="CH2980" s="6"/>
      <c r="CI2980" s="6"/>
      <c r="CJ2980" s="6"/>
      <c r="CK2980" s="6"/>
      <c r="CL2980" s="6"/>
      <c r="CM2980" s="6"/>
      <c r="CN2980" s="6"/>
      <c r="CO2980" s="6"/>
      <c r="CP2980" s="6"/>
      <c r="CQ2980" s="6"/>
      <c r="CR2980" s="6"/>
      <c r="CS2980" s="6"/>
      <c r="CT2980" s="6"/>
      <c r="CU2980" s="6"/>
      <c r="CV2980" s="6"/>
      <c r="CW2980" s="6"/>
      <c r="CX2980" s="6"/>
      <c r="CY2980" s="6"/>
      <c r="CZ2980" s="6"/>
      <c r="DA2980" s="6"/>
      <c r="DB2980" s="6"/>
      <c r="DC2980" s="6"/>
      <c r="DD2980" s="6"/>
    </row>
    <row r="2981" spans="1:108" ht="12.75" hidden="1" customHeight="1" outlineLevel="5">
      <c r="A2981" s="104" t="s">
        <v>64</v>
      </c>
      <c r="B2981" s="28">
        <f t="shared" si="170"/>
        <v>0</v>
      </c>
      <c r="C2981" s="11"/>
      <c r="D2981" s="18" t="str">
        <f t="shared" si="172"/>
        <v>&lt;Rot_Z&gt;0.000000&lt;/Rot_Z&gt;</v>
      </c>
      <c r="F2981" s="6"/>
      <c r="G2981" s="6"/>
      <c r="H2981" s="6"/>
      <c r="I2981" s="6"/>
      <c r="J2981" s="6"/>
      <c r="K2981" s="6"/>
      <c r="L2981" s="6"/>
      <c r="M2981" s="6"/>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c r="BU2981" s="6"/>
      <c r="BV2981" s="6"/>
      <c r="BW2981" s="6"/>
      <c r="BX2981" s="6"/>
      <c r="BY2981" s="6"/>
      <c r="BZ2981" s="6"/>
      <c r="CA2981" s="6"/>
      <c r="CB2981" s="6"/>
      <c r="CC2981" s="6"/>
      <c r="CD2981" s="6"/>
      <c r="CE2981" s="6"/>
      <c r="CF2981" s="6"/>
      <c r="CG2981" s="6"/>
      <c r="CH2981" s="6"/>
      <c r="CI2981" s="6"/>
      <c r="CJ2981" s="6"/>
      <c r="CK2981" s="6"/>
      <c r="CL2981" s="6"/>
      <c r="CM2981" s="6"/>
      <c r="CN2981" s="6"/>
      <c r="CO2981" s="6"/>
      <c r="CP2981" s="6"/>
      <c r="CQ2981" s="6"/>
      <c r="CR2981" s="6"/>
      <c r="CS2981" s="6"/>
      <c r="CT2981" s="6"/>
      <c r="CU2981" s="6"/>
      <c r="CV2981" s="6"/>
      <c r="CW2981" s="6"/>
      <c r="CX2981" s="6"/>
      <c r="CY2981" s="6"/>
      <c r="CZ2981" s="6"/>
      <c r="DA2981" s="6"/>
      <c r="DB2981" s="6"/>
      <c r="DC2981" s="6"/>
      <c r="DD2981" s="6"/>
    </row>
    <row r="2982" spans="1:108" ht="12.75" hidden="1" customHeight="1" outlineLevel="5">
      <c r="A2982" s="104" t="s">
        <v>65</v>
      </c>
      <c r="B2982" s="28">
        <f t="shared" si="170"/>
        <v>0</v>
      </c>
      <c r="C2982" s="11"/>
      <c r="D2982" s="18" t="str">
        <f t="shared" si="172"/>
        <v>&lt;RotRel_X&gt;0.000000&lt;/RotRel_X&gt;</v>
      </c>
      <c r="F2982" s="6"/>
      <c r="G2982" s="6"/>
      <c r="H2982" s="6"/>
      <c r="I2982" s="6"/>
      <c r="J2982" s="6"/>
      <c r="K2982" s="6"/>
      <c r="L2982" s="6"/>
      <c r="M2982" s="6"/>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c r="BU2982" s="6"/>
      <c r="BV2982" s="6"/>
      <c r="BW2982" s="6"/>
      <c r="BX2982" s="6"/>
      <c r="BY2982" s="6"/>
      <c r="BZ2982" s="6"/>
      <c r="CA2982" s="6"/>
      <c r="CB2982" s="6"/>
      <c r="CC2982" s="6"/>
      <c r="CD2982" s="6"/>
      <c r="CE2982" s="6"/>
      <c r="CF2982" s="6"/>
      <c r="CG2982" s="6"/>
      <c r="CH2982" s="6"/>
      <c r="CI2982" s="6"/>
      <c r="CJ2982" s="6"/>
      <c r="CK2982" s="6"/>
      <c r="CL2982" s="6"/>
      <c r="CM2982" s="6"/>
      <c r="CN2982" s="6"/>
      <c r="CO2982" s="6"/>
      <c r="CP2982" s="6"/>
      <c r="CQ2982" s="6"/>
      <c r="CR2982" s="6"/>
      <c r="CS2982" s="6"/>
      <c r="CT2982" s="6"/>
      <c r="CU2982" s="6"/>
      <c r="CV2982" s="6"/>
      <c r="CW2982" s="6"/>
      <c r="CX2982" s="6"/>
      <c r="CY2982" s="6"/>
      <c r="CZ2982" s="6"/>
      <c r="DA2982" s="6"/>
      <c r="DB2982" s="6"/>
      <c r="DC2982" s="6"/>
      <c r="DD2982" s="6"/>
    </row>
    <row r="2983" spans="1:108" ht="12.75" hidden="1" customHeight="1" outlineLevel="5">
      <c r="A2983" s="104" t="s">
        <v>66</v>
      </c>
      <c r="B2983" s="28">
        <f t="shared" si="170"/>
        <v>0</v>
      </c>
      <c r="C2983" s="11"/>
      <c r="D2983" s="18" t="str">
        <f t="shared" si="172"/>
        <v>&lt;RotRel_Y&gt;0.000000&lt;/RotRel_Y&gt;</v>
      </c>
      <c r="F2983" s="6"/>
      <c r="G2983" s="6"/>
      <c r="H2983" s="6"/>
      <c r="I2983" s="6"/>
      <c r="J2983" s="6"/>
      <c r="K2983" s="6"/>
      <c r="L2983" s="6"/>
      <c r="M2983" s="6"/>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c r="BU2983" s="6"/>
      <c r="BV2983" s="6"/>
      <c r="BW2983" s="6"/>
      <c r="BX2983" s="6"/>
      <c r="BY2983" s="6"/>
      <c r="BZ2983" s="6"/>
      <c r="CA2983" s="6"/>
      <c r="CB2983" s="6"/>
      <c r="CC2983" s="6"/>
      <c r="CD2983" s="6"/>
      <c r="CE2983" s="6"/>
      <c r="CF2983" s="6"/>
      <c r="CG2983" s="6"/>
      <c r="CH2983" s="6"/>
      <c r="CI2983" s="6"/>
      <c r="CJ2983" s="6"/>
      <c r="CK2983" s="6"/>
      <c r="CL2983" s="6"/>
      <c r="CM2983" s="6"/>
      <c r="CN2983" s="6"/>
      <c r="CO2983" s="6"/>
      <c r="CP2983" s="6"/>
      <c r="CQ2983" s="6"/>
      <c r="CR2983" s="6"/>
      <c r="CS2983" s="6"/>
      <c r="CT2983" s="6"/>
      <c r="CU2983" s="6"/>
      <c r="CV2983" s="6"/>
      <c r="CW2983" s="6"/>
      <c r="CX2983" s="6"/>
      <c r="CY2983" s="6"/>
      <c r="CZ2983" s="6"/>
      <c r="DA2983" s="6"/>
      <c r="DB2983" s="6"/>
      <c r="DC2983" s="6"/>
      <c r="DD2983" s="6"/>
    </row>
    <row r="2984" spans="1:108" ht="12.75" hidden="1" customHeight="1" outlineLevel="5">
      <c r="A2984" s="104" t="s">
        <v>67</v>
      </c>
      <c r="B2984" s="28">
        <f t="shared" si="170"/>
        <v>0</v>
      </c>
      <c r="C2984" s="11"/>
      <c r="D2984" s="18" t="str">
        <f t="shared" si="172"/>
        <v>&lt;RotRel_Z&gt;0.000000&lt;/RotRel_Z&gt;</v>
      </c>
      <c r="F2984" s="6"/>
      <c r="G2984" s="6"/>
      <c r="H2984" s="6"/>
      <c r="I2984" s="6"/>
      <c r="J2984" s="6"/>
      <c r="K2984" s="6"/>
      <c r="L2984" s="6"/>
      <c r="M2984" s="6"/>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c r="BU2984" s="6"/>
      <c r="BV2984" s="6"/>
      <c r="BW2984" s="6"/>
      <c r="BX2984" s="6"/>
      <c r="BY2984" s="6"/>
      <c r="BZ2984" s="6"/>
      <c r="CA2984" s="6"/>
      <c r="CB2984" s="6"/>
      <c r="CC2984" s="6"/>
      <c r="CD2984" s="6"/>
      <c r="CE2984" s="6"/>
      <c r="CF2984" s="6"/>
      <c r="CG2984" s="6"/>
      <c r="CH2984" s="6"/>
      <c r="CI2984" s="6"/>
      <c r="CJ2984" s="6"/>
      <c r="CK2984" s="6"/>
      <c r="CL2984" s="6"/>
      <c r="CM2984" s="6"/>
      <c r="CN2984" s="6"/>
      <c r="CO2984" s="6"/>
      <c r="CP2984" s="6"/>
      <c r="CQ2984" s="6"/>
      <c r="CR2984" s="6"/>
      <c r="CS2984" s="6"/>
      <c r="CT2984" s="6"/>
      <c r="CU2984" s="6"/>
      <c r="CV2984" s="6"/>
      <c r="CW2984" s="6"/>
      <c r="CX2984" s="6"/>
      <c r="CY2984" s="6"/>
      <c r="CZ2984" s="6"/>
      <c r="DA2984" s="6"/>
      <c r="DB2984" s="6"/>
      <c r="DC2984" s="6"/>
      <c r="DD2984" s="6"/>
    </row>
    <row r="2985" spans="1:108" ht="12.75" hidden="1" customHeight="1" outlineLevel="5">
      <c r="A2985" s="104" t="s">
        <v>68</v>
      </c>
      <c r="B2985" s="28">
        <f t="shared" si="170"/>
        <v>0</v>
      </c>
      <c r="C2985" s="11"/>
      <c r="D2985" s="18" t="str">
        <f t="shared" si="172"/>
        <v>&lt;Origin&gt;0.000000&lt;/Origin&gt;</v>
      </c>
      <c r="F2985" s="6"/>
      <c r="G2985" s="6"/>
      <c r="H2985" s="6"/>
      <c r="I2985" s="6"/>
      <c r="J2985" s="6"/>
      <c r="K2985" s="6"/>
      <c r="L2985" s="6"/>
      <c r="M2985" s="6"/>
      <c r="N2985" s="6"/>
      <c r="O2985" s="6"/>
      <c r="P2985" s="6"/>
      <c r="Q2985" s="6"/>
      <c r="R2985" s="6"/>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c r="BU2985" s="6"/>
      <c r="BV2985" s="6"/>
      <c r="BW2985" s="6"/>
      <c r="BX2985" s="6"/>
      <c r="BY2985" s="6"/>
      <c r="BZ2985" s="6"/>
      <c r="CA2985" s="6"/>
      <c r="CB2985" s="6"/>
      <c r="CC2985" s="6"/>
      <c r="CD2985" s="6"/>
      <c r="CE2985" s="6"/>
      <c r="CF2985" s="6"/>
      <c r="CG2985" s="6"/>
      <c r="CH2985" s="6"/>
      <c r="CI2985" s="6"/>
      <c r="CJ2985" s="6"/>
      <c r="CK2985" s="6"/>
      <c r="CL2985" s="6"/>
      <c r="CM2985" s="6"/>
      <c r="CN2985" s="6"/>
      <c r="CO2985" s="6"/>
      <c r="CP2985" s="6"/>
      <c r="CQ2985" s="6"/>
      <c r="CR2985" s="6"/>
      <c r="CS2985" s="6"/>
      <c r="CT2985" s="6"/>
      <c r="CU2985" s="6"/>
      <c r="CV2985" s="6"/>
      <c r="CW2985" s="6"/>
      <c r="CX2985" s="6"/>
      <c r="CY2985" s="6"/>
      <c r="CZ2985" s="6"/>
      <c r="DA2985" s="6"/>
      <c r="DB2985" s="6"/>
      <c r="DC2985" s="6"/>
      <c r="DD2985" s="6"/>
    </row>
    <row r="2986" spans="1:108" ht="12.75" hidden="1" customHeight="1" outlineLevel="5">
      <c r="A2986" s="104" t="s">
        <v>69</v>
      </c>
      <c r="B2986" s="28">
        <f t="shared" si="170"/>
        <v>1</v>
      </c>
      <c r="C2986" s="11"/>
      <c r="D2986" s="18" t="str">
        <f t="shared" si="172"/>
        <v>&lt;Density&gt;1.000000&lt;/Density&gt;</v>
      </c>
      <c r="F2986" s="6"/>
      <c r="G2986" s="6"/>
      <c r="H2986" s="6"/>
      <c r="I2986" s="6"/>
      <c r="J2986" s="6"/>
      <c r="K2986" s="6"/>
      <c r="L2986" s="6"/>
      <c r="M2986" s="6"/>
      <c r="N2986" s="6"/>
      <c r="O2986" s="6"/>
      <c r="P2986" s="6"/>
      <c r="Q2986" s="6"/>
      <c r="R2986" s="6"/>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c r="BU2986" s="6"/>
      <c r="BV2986" s="6"/>
      <c r="BW2986" s="6"/>
      <c r="BX2986" s="6"/>
      <c r="BY2986" s="6"/>
      <c r="BZ2986" s="6"/>
      <c r="CA2986" s="6"/>
      <c r="CB2986" s="6"/>
      <c r="CC2986" s="6"/>
      <c r="CD2986" s="6"/>
      <c r="CE2986" s="6"/>
      <c r="CF2986" s="6"/>
      <c r="CG2986" s="6"/>
      <c r="CH2986" s="6"/>
      <c r="CI2986" s="6"/>
      <c r="CJ2986" s="6"/>
      <c r="CK2986" s="6"/>
      <c r="CL2986" s="6"/>
      <c r="CM2986" s="6"/>
      <c r="CN2986" s="6"/>
      <c r="CO2986" s="6"/>
      <c r="CP2986" s="6"/>
      <c r="CQ2986" s="6"/>
      <c r="CR2986" s="6"/>
      <c r="CS2986" s="6"/>
      <c r="CT2986" s="6"/>
      <c r="CU2986" s="6"/>
      <c r="CV2986" s="6"/>
      <c r="CW2986" s="6"/>
      <c r="CX2986" s="6"/>
      <c r="CY2986" s="6"/>
      <c r="CZ2986" s="6"/>
      <c r="DA2986" s="6"/>
      <c r="DB2986" s="6"/>
      <c r="DC2986" s="6"/>
      <c r="DD2986" s="6"/>
    </row>
    <row r="2987" spans="1:108" ht="12.75" hidden="1" customHeight="1" outlineLevel="5">
      <c r="A2987" s="104" t="s">
        <v>70</v>
      </c>
      <c r="B2987" s="28">
        <f t="shared" si="170"/>
        <v>1</v>
      </c>
      <c r="C2987" s="11"/>
      <c r="D2987" s="18" t="str">
        <f t="shared" si="172"/>
        <v>&lt;ShellMassArea&gt;1.000000&lt;/ShellMassArea&gt;</v>
      </c>
      <c r="F2987" s="6"/>
      <c r="G2987" s="6"/>
      <c r="H2987" s="6"/>
      <c r="I2987" s="6"/>
      <c r="J2987" s="6"/>
      <c r="K2987" s="6"/>
      <c r="L2987" s="6"/>
      <c r="M2987" s="6"/>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c r="BU2987" s="6"/>
      <c r="BV2987" s="6"/>
      <c r="BW2987" s="6"/>
      <c r="BX2987" s="6"/>
      <c r="BY2987" s="6"/>
      <c r="BZ2987" s="6"/>
      <c r="CA2987" s="6"/>
      <c r="CB2987" s="6"/>
      <c r="CC2987" s="6"/>
      <c r="CD2987" s="6"/>
      <c r="CE2987" s="6"/>
      <c r="CF2987" s="6"/>
      <c r="CG2987" s="6"/>
      <c r="CH2987" s="6"/>
      <c r="CI2987" s="6"/>
      <c r="CJ2987" s="6"/>
      <c r="CK2987" s="6"/>
      <c r="CL2987" s="6"/>
      <c r="CM2987" s="6"/>
      <c r="CN2987" s="6"/>
      <c r="CO2987" s="6"/>
      <c r="CP2987" s="6"/>
      <c r="CQ2987" s="6"/>
      <c r="CR2987" s="6"/>
      <c r="CS2987" s="6"/>
      <c r="CT2987" s="6"/>
      <c r="CU2987" s="6"/>
      <c r="CV2987" s="6"/>
      <c r="CW2987" s="6"/>
      <c r="CX2987" s="6"/>
      <c r="CY2987" s="6"/>
      <c r="CZ2987" s="6"/>
      <c r="DA2987" s="6"/>
      <c r="DB2987" s="6"/>
      <c r="DC2987" s="6"/>
      <c r="DD2987" s="6"/>
    </row>
    <row r="2988" spans="1:108" ht="12.75" hidden="1" customHeight="1" outlineLevel="5">
      <c r="A2988" s="104" t="s">
        <v>71</v>
      </c>
      <c r="B2988" s="28">
        <f t="shared" si="170"/>
        <v>0</v>
      </c>
      <c r="C2988" s="11"/>
      <c r="D2988" s="18" t="str">
        <f>"&lt;" &amp; A2988 &amp; "&gt;" &amp; TEXT(B2988,0) &amp; "&lt;/" &amp; A2988 &amp; "&gt;"</f>
        <v>&lt;RefFlag&gt;0&lt;/RefFlag&gt;</v>
      </c>
      <c r="F2988" s="6"/>
      <c r="G2988" s="6"/>
      <c r="H2988" s="6"/>
      <c r="I2988" s="6"/>
      <c r="J2988" s="6"/>
      <c r="K2988" s="6"/>
      <c r="L2988" s="6"/>
      <c r="M2988" s="6"/>
      <c r="N2988" s="6"/>
      <c r="O2988" s="6"/>
      <c r="P2988" s="6"/>
      <c r="Q2988" s="6"/>
      <c r="R2988" s="6"/>
      <c r="S2988" s="6"/>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c r="BU2988" s="6"/>
      <c r="BV2988" s="6"/>
      <c r="BW2988" s="6"/>
      <c r="BX2988" s="6"/>
      <c r="BY2988" s="6"/>
      <c r="BZ2988" s="6"/>
      <c r="CA2988" s="6"/>
      <c r="CB2988" s="6"/>
      <c r="CC2988" s="6"/>
      <c r="CD2988" s="6"/>
      <c r="CE2988" s="6"/>
      <c r="CF2988" s="6"/>
      <c r="CG2988" s="6"/>
      <c r="CH2988" s="6"/>
      <c r="CI2988" s="6"/>
      <c r="CJ2988" s="6"/>
      <c r="CK2988" s="6"/>
      <c r="CL2988" s="6"/>
      <c r="CM2988" s="6"/>
      <c r="CN2988" s="6"/>
      <c r="CO2988" s="6"/>
      <c r="CP2988" s="6"/>
      <c r="CQ2988" s="6"/>
      <c r="CR2988" s="6"/>
      <c r="CS2988" s="6"/>
      <c r="CT2988" s="6"/>
      <c r="CU2988" s="6"/>
      <c r="CV2988" s="6"/>
      <c r="CW2988" s="6"/>
      <c r="CX2988" s="6"/>
      <c r="CY2988" s="6"/>
      <c r="CZ2988" s="6"/>
      <c r="DA2988" s="6"/>
      <c r="DB2988" s="6"/>
      <c r="DC2988" s="6"/>
      <c r="DD2988" s="6"/>
    </row>
    <row r="2989" spans="1:108" ht="12.75" hidden="1" customHeight="1" outlineLevel="5">
      <c r="A2989" s="104" t="s">
        <v>72</v>
      </c>
      <c r="B2989" s="28">
        <f t="shared" si="170"/>
        <v>100</v>
      </c>
      <c r="C2989" s="11"/>
      <c r="D2989" s="18" t="str">
        <f>"&lt;" &amp; A2989 &amp; "&gt;" &amp; TEXT(B2989,"0.000000") &amp; "&lt;/" &amp; A2989 &amp; "&gt;"</f>
        <v>&lt;RefArea&gt;100.000000&lt;/RefArea&gt;</v>
      </c>
      <c r="F2989" s="6"/>
      <c r="G2989" s="6"/>
      <c r="H2989" s="6"/>
      <c r="I2989" s="6"/>
      <c r="J2989" s="6"/>
      <c r="K2989" s="6"/>
      <c r="L2989" s="6"/>
      <c r="M2989" s="6"/>
      <c r="N2989" s="6"/>
      <c r="O2989" s="6"/>
      <c r="P2989" s="6"/>
      <c r="Q2989" s="6"/>
      <c r="R2989" s="6"/>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c r="BU2989" s="6"/>
      <c r="BV2989" s="6"/>
      <c r="BW2989" s="6"/>
      <c r="BX2989" s="6"/>
      <c r="BY2989" s="6"/>
      <c r="BZ2989" s="6"/>
      <c r="CA2989" s="6"/>
      <c r="CB2989" s="6"/>
      <c r="CC2989" s="6"/>
      <c r="CD2989" s="6"/>
      <c r="CE2989" s="6"/>
      <c r="CF2989" s="6"/>
      <c r="CG2989" s="6"/>
      <c r="CH2989" s="6"/>
      <c r="CI2989" s="6"/>
      <c r="CJ2989" s="6"/>
      <c r="CK2989" s="6"/>
      <c r="CL2989" s="6"/>
      <c r="CM2989" s="6"/>
      <c r="CN2989" s="6"/>
      <c r="CO2989" s="6"/>
      <c r="CP2989" s="6"/>
      <c r="CQ2989" s="6"/>
      <c r="CR2989" s="6"/>
      <c r="CS2989" s="6"/>
      <c r="CT2989" s="6"/>
      <c r="CU2989" s="6"/>
      <c r="CV2989" s="6"/>
      <c r="CW2989" s="6"/>
      <c r="CX2989" s="6"/>
      <c r="CY2989" s="6"/>
      <c r="CZ2989" s="6"/>
      <c r="DA2989" s="6"/>
      <c r="DB2989" s="6"/>
      <c r="DC2989" s="6"/>
      <c r="DD2989" s="6"/>
    </row>
    <row r="2990" spans="1:108" ht="12.75" hidden="1" customHeight="1" outlineLevel="5">
      <c r="A2990" s="104" t="s">
        <v>73</v>
      </c>
      <c r="B2990" s="28">
        <f t="shared" si="170"/>
        <v>10</v>
      </c>
      <c r="C2990" s="11"/>
      <c r="D2990" s="18" t="str">
        <f>"&lt;" &amp; A2990 &amp; "&gt;" &amp; TEXT(B2990,"0.000000") &amp; "&lt;/" &amp; A2990 &amp; "&gt;"</f>
        <v>&lt;RefSpan&gt;10.000000&lt;/RefSpan&gt;</v>
      </c>
      <c r="F2990" s="6"/>
      <c r="G2990" s="6"/>
      <c r="H2990" s="6"/>
      <c r="I2990" s="6"/>
      <c r="J2990" s="6"/>
      <c r="K2990" s="6"/>
      <c r="L2990" s="6"/>
      <c r="M2990" s="6"/>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c r="BU2990" s="6"/>
      <c r="BV2990" s="6"/>
      <c r="BW2990" s="6"/>
      <c r="BX2990" s="6"/>
      <c r="BY2990" s="6"/>
      <c r="BZ2990" s="6"/>
      <c r="CA2990" s="6"/>
      <c r="CB2990" s="6"/>
      <c r="CC2990" s="6"/>
      <c r="CD2990" s="6"/>
      <c r="CE2990" s="6"/>
      <c r="CF2990" s="6"/>
      <c r="CG2990" s="6"/>
      <c r="CH2990" s="6"/>
      <c r="CI2990" s="6"/>
      <c r="CJ2990" s="6"/>
      <c r="CK2990" s="6"/>
      <c r="CL2990" s="6"/>
      <c r="CM2990" s="6"/>
      <c r="CN2990" s="6"/>
      <c r="CO2990" s="6"/>
      <c r="CP2990" s="6"/>
      <c r="CQ2990" s="6"/>
      <c r="CR2990" s="6"/>
      <c r="CS2990" s="6"/>
      <c r="CT2990" s="6"/>
      <c r="CU2990" s="6"/>
      <c r="CV2990" s="6"/>
      <c r="CW2990" s="6"/>
      <c r="CX2990" s="6"/>
      <c r="CY2990" s="6"/>
      <c r="CZ2990" s="6"/>
      <c r="DA2990" s="6"/>
      <c r="DB2990" s="6"/>
      <c r="DC2990" s="6"/>
      <c r="DD2990" s="6"/>
    </row>
    <row r="2991" spans="1:108" ht="12.75" hidden="1" customHeight="1" outlineLevel="5">
      <c r="A2991" s="104" t="s">
        <v>74</v>
      </c>
      <c r="B2991" s="28">
        <f t="shared" si="170"/>
        <v>1</v>
      </c>
      <c r="C2991" s="11"/>
      <c r="D2991" s="18" t="str">
        <f>"&lt;" &amp; A2991 &amp; "&gt;" &amp; TEXT(B2991,"0.000000") &amp; "&lt;/" &amp; A2991 &amp; "&gt;"</f>
        <v>&lt;RefCbar&gt;1.000000&lt;/RefCbar&gt;</v>
      </c>
      <c r="F2991" s="6"/>
      <c r="G2991" s="6"/>
      <c r="H2991" s="6"/>
      <c r="I2991" s="6"/>
      <c r="J2991" s="6"/>
      <c r="K2991" s="6"/>
      <c r="L2991" s="6"/>
      <c r="M2991" s="6"/>
      <c r="N2991" s="6"/>
      <c r="O2991" s="6"/>
      <c r="P2991" s="6"/>
      <c r="Q2991" s="6"/>
      <c r="R2991" s="6"/>
      <c r="S2991" s="6"/>
      <c r="T2991" s="6"/>
      <c r="U2991" s="6"/>
      <c r="V2991" s="6"/>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c r="BU2991" s="6"/>
      <c r="BV2991" s="6"/>
      <c r="BW2991" s="6"/>
      <c r="BX2991" s="6"/>
      <c r="BY2991" s="6"/>
      <c r="BZ2991" s="6"/>
      <c r="CA2991" s="6"/>
      <c r="CB2991" s="6"/>
      <c r="CC2991" s="6"/>
      <c r="CD2991" s="6"/>
      <c r="CE2991" s="6"/>
      <c r="CF2991" s="6"/>
      <c r="CG2991" s="6"/>
      <c r="CH2991" s="6"/>
      <c r="CI2991" s="6"/>
      <c r="CJ2991" s="6"/>
      <c r="CK2991" s="6"/>
      <c r="CL2991" s="6"/>
      <c r="CM2991" s="6"/>
      <c r="CN2991" s="6"/>
      <c r="CO2991" s="6"/>
      <c r="CP2991" s="6"/>
      <c r="CQ2991" s="6"/>
      <c r="CR2991" s="6"/>
      <c r="CS2991" s="6"/>
      <c r="CT2991" s="6"/>
      <c r="CU2991" s="6"/>
      <c r="CV2991" s="6"/>
      <c r="CW2991" s="6"/>
      <c r="CX2991" s="6"/>
      <c r="CY2991" s="6"/>
      <c r="CZ2991" s="6"/>
      <c r="DA2991" s="6"/>
      <c r="DB2991" s="6"/>
      <c r="DC2991" s="6"/>
      <c r="DD2991" s="6"/>
    </row>
    <row r="2992" spans="1:108" ht="12.75" hidden="1" customHeight="1" outlineLevel="5">
      <c r="A2992" s="104" t="s">
        <v>75</v>
      </c>
      <c r="B2992" s="28">
        <f t="shared" si="170"/>
        <v>1</v>
      </c>
      <c r="C2992" s="11"/>
      <c r="D2992" s="18" t="str">
        <f>"&lt;" &amp; A2992 &amp; "&gt;" &amp; TEXT(B2992,0) &amp; "&lt;/" &amp; A2992 &amp; "&gt;"</f>
        <v>&lt;AutoRefAreaFlag&gt;1&lt;/AutoRefAreaFlag&gt;</v>
      </c>
      <c r="F2992" s="6"/>
      <c r="G2992" s="6"/>
      <c r="H2992" s="6"/>
      <c r="I2992" s="6"/>
      <c r="J2992" s="6"/>
      <c r="K2992" s="6"/>
      <c r="L2992" s="6"/>
      <c r="M2992" s="6"/>
      <c r="N2992" s="6"/>
      <c r="O2992" s="6"/>
      <c r="P2992" s="6"/>
      <c r="Q2992" s="6"/>
      <c r="R2992" s="6"/>
      <c r="S2992" s="6"/>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c r="BU2992" s="6"/>
      <c r="BV2992" s="6"/>
      <c r="BW2992" s="6"/>
      <c r="BX2992" s="6"/>
      <c r="BY2992" s="6"/>
      <c r="BZ2992" s="6"/>
      <c r="CA2992" s="6"/>
      <c r="CB2992" s="6"/>
      <c r="CC2992" s="6"/>
      <c r="CD2992" s="6"/>
      <c r="CE2992" s="6"/>
      <c r="CF2992" s="6"/>
      <c r="CG2992" s="6"/>
      <c r="CH2992" s="6"/>
      <c r="CI2992" s="6"/>
      <c r="CJ2992" s="6"/>
      <c r="CK2992" s="6"/>
      <c r="CL2992" s="6"/>
      <c r="CM2992" s="6"/>
      <c r="CN2992" s="6"/>
      <c r="CO2992" s="6"/>
      <c r="CP2992" s="6"/>
      <c r="CQ2992" s="6"/>
      <c r="CR2992" s="6"/>
      <c r="CS2992" s="6"/>
      <c r="CT2992" s="6"/>
      <c r="CU2992" s="6"/>
      <c r="CV2992" s="6"/>
      <c r="CW2992" s="6"/>
      <c r="CX2992" s="6"/>
      <c r="CY2992" s="6"/>
      <c r="CZ2992" s="6"/>
      <c r="DA2992" s="6"/>
      <c r="DB2992" s="6"/>
      <c r="DC2992" s="6"/>
      <c r="DD2992" s="6"/>
    </row>
    <row r="2993" spans="1:108" ht="12.75" hidden="1" customHeight="1" outlineLevel="5">
      <c r="A2993" s="104" t="s">
        <v>76</v>
      </c>
      <c r="B2993" s="28">
        <f t="shared" si="170"/>
        <v>1</v>
      </c>
      <c r="C2993" s="11"/>
      <c r="D2993" s="18" t="str">
        <f>"&lt;" &amp; A2993 &amp; "&gt;" &amp; TEXT(B2993,0) &amp; "&lt;/" &amp; A2993 &amp; "&gt;"</f>
        <v>&lt;AutoRefSpanFlag&gt;1&lt;/AutoRefSpanFlag&gt;</v>
      </c>
      <c r="F2993" s="6"/>
      <c r="G2993" s="6"/>
      <c r="H2993" s="6"/>
      <c r="I2993" s="6"/>
      <c r="J2993" s="6"/>
      <c r="K2993" s="6"/>
      <c r="L2993" s="6"/>
      <c r="M2993" s="6"/>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c r="BU2993" s="6"/>
      <c r="BV2993" s="6"/>
      <c r="BW2993" s="6"/>
      <c r="BX2993" s="6"/>
      <c r="BY2993" s="6"/>
      <c r="BZ2993" s="6"/>
      <c r="CA2993" s="6"/>
      <c r="CB2993" s="6"/>
      <c r="CC2993" s="6"/>
      <c r="CD2993" s="6"/>
      <c r="CE2993" s="6"/>
      <c r="CF2993" s="6"/>
      <c r="CG2993" s="6"/>
      <c r="CH2993" s="6"/>
      <c r="CI2993" s="6"/>
      <c r="CJ2993" s="6"/>
      <c r="CK2993" s="6"/>
      <c r="CL2993" s="6"/>
      <c r="CM2993" s="6"/>
      <c r="CN2993" s="6"/>
      <c r="CO2993" s="6"/>
      <c r="CP2993" s="6"/>
      <c r="CQ2993" s="6"/>
      <c r="CR2993" s="6"/>
      <c r="CS2993" s="6"/>
      <c r="CT2993" s="6"/>
      <c r="CU2993" s="6"/>
      <c r="CV2993" s="6"/>
      <c r="CW2993" s="6"/>
      <c r="CX2993" s="6"/>
      <c r="CY2993" s="6"/>
      <c r="CZ2993" s="6"/>
      <c r="DA2993" s="6"/>
      <c r="DB2993" s="6"/>
      <c r="DC2993" s="6"/>
      <c r="DD2993" s="6"/>
    </row>
    <row r="2994" spans="1:108" ht="12.75" hidden="1" customHeight="1" outlineLevel="5">
      <c r="A2994" s="104" t="s">
        <v>77</v>
      </c>
      <c r="B2994" s="28">
        <f t="shared" si="170"/>
        <v>1</v>
      </c>
      <c r="C2994" s="11"/>
      <c r="D2994" s="18" t="str">
        <f>"&lt;" &amp; A2994 &amp; "&gt;" &amp; TEXT(B2994,0) &amp; "&lt;/" &amp; A2994 &amp; "&gt;"</f>
        <v>&lt;AutoRefCbarFlag&gt;1&lt;/AutoRefCbarFlag&gt;</v>
      </c>
      <c r="F2994" s="6"/>
      <c r="G2994" s="6"/>
      <c r="H2994" s="6"/>
      <c r="I2994" s="6"/>
      <c r="J2994" s="6"/>
      <c r="K2994" s="6"/>
      <c r="L2994" s="6"/>
      <c r="M2994" s="6"/>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c r="BU2994" s="6"/>
      <c r="BV2994" s="6"/>
      <c r="BW2994" s="6"/>
      <c r="BX2994" s="6"/>
      <c r="BY2994" s="6"/>
      <c r="BZ2994" s="6"/>
      <c r="CA2994" s="6"/>
      <c r="CB2994" s="6"/>
      <c r="CC2994" s="6"/>
      <c r="CD2994" s="6"/>
      <c r="CE2994" s="6"/>
      <c r="CF2994" s="6"/>
      <c r="CG2994" s="6"/>
      <c r="CH2994" s="6"/>
      <c r="CI2994" s="6"/>
      <c r="CJ2994" s="6"/>
      <c r="CK2994" s="6"/>
      <c r="CL2994" s="6"/>
      <c r="CM2994" s="6"/>
      <c r="CN2994" s="6"/>
      <c r="CO2994" s="6"/>
      <c r="CP2994" s="6"/>
      <c r="CQ2994" s="6"/>
      <c r="CR2994" s="6"/>
      <c r="CS2994" s="6"/>
      <c r="CT2994" s="6"/>
      <c r="CU2994" s="6"/>
      <c r="CV2994" s="6"/>
      <c r="CW2994" s="6"/>
      <c r="CX2994" s="6"/>
      <c r="CY2994" s="6"/>
      <c r="CZ2994" s="6"/>
      <c r="DA2994" s="6"/>
      <c r="DB2994" s="6"/>
      <c r="DC2994" s="6"/>
      <c r="DD2994" s="6"/>
    </row>
    <row r="2995" spans="1:108" ht="12.75" hidden="1" customHeight="1" outlineLevel="5">
      <c r="A2995" s="104" t="s">
        <v>78</v>
      </c>
      <c r="B2995" s="28">
        <f t="shared" si="170"/>
        <v>0</v>
      </c>
      <c r="C2995" s="11"/>
      <c r="D2995" s="18" t="str">
        <f>"&lt;" &amp; A2995 &amp; "&gt;" &amp; TEXT(B2995,"0.000000") &amp; "&lt;/" &amp; A2995 &amp; "&gt;"</f>
        <v>&lt;AeroCenter_X&gt;0.000000&lt;/AeroCenter_X&gt;</v>
      </c>
      <c r="F2995" s="6"/>
      <c r="G2995" s="6"/>
      <c r="H2995" s="6"/>
      <c r="I2995" s="6"/>
      <c r="J2995" s="6"/>
      <c r="K2995" s="6"/>
      <c r="L2995" s="6"/>
      <c r="M2995" s="6"/>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c r="BU2995" s="6"/>
      <c r="BV2995" s="6"/>
      <c r="BW2995" s="6"/>
      <c r="BX2995" s="6"/>
      <c r="BY2995" s="6"/>
      <c r="BZ2995" s="6"/>
      <c r="CA2995" s="6"/>
      <c r="CB2995" s="6"/>
      <c r="CC2995" s="6"/>
      <c r="CD2995" s="6"/>
      <c r="CE2995" s="6"/>
      <c r="CF2995" s="6"/>
      <c r="CG2995" s="6"/>
      <c r="CH2995" s="6"/>
      <c r="CI2995" s="6"/>
      <c r="CJ2995" s="6"/>
      <c r="CK2995" s="6"/>
      <c r="CL2995" s="6"/>
      <c r="CM2995" s="6"/>
      <c r="CN2995" s="6"/>
      <c r="CO2995" s="6"/>
      <c r="CP2995" s="6"/>
      <c r="CQ2995" s="6"/>
      <c r="CR2995" s="6"/>
      <c r="CS2995" s="6"/>
      <c r="CT2995" s="6"/>
      <c r="CU2995" s="6"/>
      <c r="CV2995" s="6"/>
      <c r="CW2995" s="6"/>
      <c r="CX2995" s="6"/>
      <c r="CY2995" s="6"/>
      <c r="CZ2995" s="6"/>
      <c r="DA2995" s="6"/>
      <c r="DB2995" s="6"/>
      <c r="DC2995" s="6"/>
      <c r="DD2995" s="6"/>
    </row>
    <row r="2996" spans="1:108" ht="12.75" hidden="1" customHeight="1" outlineLevel="5">
      <c r="A2996" s="104" t="s">
        <v>79</v>
      </c>
      <c r="B2996" s="28">
        <f t="shared" si="170"/>
        <v>0</v>
      </c>
      <c r="C2996" s="11"/>
      <c r="D2996" s="18" t="str">
        <f>"&lt;" &amp; A2996 &amp; "&gt;" &amp; TEXT(B2996,"0.000000") &amp; "&lt;/" &amp; A2996 &amp; "&gt;"</f>
        <v>&lt;AeroCenter_Y&gt;0.000000&lt;/AeroCenter_Y&gt;</v>
      </c>
      <c r="F2996" s="6"/>
      <c r="G2996" s="6"/>
      <c r="H2996" s="6"/>
      <c r="I2996" s="6"/>
      <c r="J2996" s="6"/>
      <c r="K2996" s="6"/>
      <c r="L2996" s="6"/>
      <c r="M2996" s="6"/>
      <c r="N2996" s="6"/>
      <c r="O2996" s="6"/>
      <c r="P2996" s="6"/>
      <c r="Q2996" s="6"/>
      <c r="R2996" s="6"/>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c r="BU2996" s="6"/>
      <c r="BV2996" s="6"/>
      <c r="BW2996" s="6"/>
      <c r="BX2996" s="6"/>
      <c r="BY2996" s="6"/>
      <c r="BZ2996" s="6"/>
      <c r="CA2996" s="6"/>
      <c r="CB2996" s="6"/>
      <c r="CC2996" s="6"/>
      <c r="CD2996" s="6"/>
      <c r="CE2996" s="6"/>
      <c r="CF2996" s="6"/>
      <c r="CG2996" s="6"/>
      <c r="CH2996" s="6"/>
      <c r="CI2996" s="6"/>
      <c r="CJ2996" s="6"/>
      <c r="CK2996" s="6"/>
      <c r="CL2996" s="6"/>
      <c r="CM2996" s="6"/>
      <c r="CN2996" s="6"/>
      <c r="CO2996" s="6"/>
      <c r="CP2996" s="6"/>
      <c r="CQ2996" s="6"/>
      <c r="CR2996" s="6"/>
      <c r="CS2996" s="6"/>
      <c r="CT2996" s="6"/>
      <c r="CU2996" s="6"/>
      <c r="CV2996" s="6"/>
      <c r="CW2996" s="6"/>
      <c r="CX2996" s="6"/>
      <c r="CY2996" s="6"/>
      <c r="CZ2996" s="6"/>
      <c r="DA2996" s="6"/>
      <c r="DB2996" s="6"/>
      <c r="DC2996" s="6"/>
      <c r="DD2996" s="6"/>
    </row>
    <row r="2997" spans="1:108" ht="12.75" hidden="1" customHeight="1" outlineLevel="5">
      <c r="A2997" s="104" t="s">
        <v>80</v>
      </c>
      <c r="B2997" s="28">
        <f t="shared" si="170"/>
        <v>0</v>
      </c>
      <c r="C2997" s="11"/>
      <c r="D2997" s="18" t="str">
        <f>"&lt;" &amp; A2997 &amp; "&gt;" &amp; TEXT(B2997,"0.000000") &amp; "&lt;/" &amp; A2997 &amp; "&gt;"</f>
        <v>&lt;AeroCenter_Z&gt;0.000000&lt;/AeroCenter_Z&gt;</v>
      </c>
      <c r="F2997" s="6"/>
      <c r="G2997" s="6"/>
      <c r="H2997" s="6"/>
      <c r="I2997" s="6"/>
      <c r="J2997" s="6"/>
      <c r="K2997" s="6"/>
      <c r="L2997" s="6"/>
      <c r="M2997" s="6"/>
      <c r="N2997" s="6"/>
      <c r="O2997" s="6"/>
      <c r="P2997" s="6"/>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c r="BU2997" s="6"/>
      <c r="BV2997" s="6"/>
      <c r="BW2997" s="6"/>
      <c r="BX2997" s="6"/>
      <c r="BY2997" s="6"/>
      <c r="BZ2997" s="6"/>
      <c r="CA2997" s="6"/>
      <c r="CB2997" s="6"/>
      <c r="CC2997" s="6"/>
      <c r="CD2997" s="6"/>
      <c r="CE2997" s="6"/>
      <c r="CF2997" s="6"/>
      <c r="CG2997" s="6"/>
      <c r="CH2997" s="6"/>
      <c r="CI2997" s="6"/>
      <c r="CJ2997" s="6"/>
      <c r="CK2997" s="6"/>
      <c r="CL2997" s="6"/>
      <c r="CM2997" s="6"/>
      <c r="CN2997" s="6"/>
      <c r="CO2997" s="6"/>
      <c r="CP2997" s="6"/>
      <c r="CQ2997" s="6"/>
      <c r="CR2997" s="6"/>
      <c r="CS2997" s="6"/>
      <c r="CT2997" s="6"/>
      <c r="CU2997" s="6"/>
      <c r="CV2997" s="6"/>
      <c r="CW2997" s="6"/>
      <c r="CX2997" s="6"/>
      <c r="CY2997" s="6"/>
      <c r="CZ2997" s="6"/>
      <c r="DA2997" s="6"/>
      <c r="DB2997" s="6"/>
      <c r="DC2997" s="6"/>
      <c r="DD2997" s="6"/>
    </row>
    <row r="2998" spans="1:108" ht="12.75" hidden="1" customHeight="1" outlineLevel="5">
      <c r="A2998" s="104" t="s">
        <v>81</v>
      </c>
      <c r="B2998" s="28">
        <f t="shared" si="170"/>
        <v>1</v>
      </c>
      <c r="C2998" s="11"/>
      <c r="D2998" s="18" t="str">
        <f>"&lt;" &amp; A2998 &amp; "&gt;" &amp; TEXT(B2998,0) &amp; "&lt;/" &amp; A2998 &amp; "&gt;"</f>
        <v>&lt;AutoAeroCenterFlag&gt;1&lt;/AutoAeroCenterFlag&gt;</v>
      </c>
      <c r="F2998" s="6"/>
      <c r="G2998" s="6"/>
      <c r="H2998" s="6"/>
      <c r="I2998" s="6"/>
      <c r="J2998" s="6"/>
      <c r="K2998" s="6"/>
      <c r="L2998" s="6"/>
      <c r="M2998" s="6"/>
      <c r="N2998" s="6"/>
      <c r="O2998" s="6"/>
      <c r="P2998" s="6"/>
      <c r="Q2998" s="6"/>
      <c r="R2998" s="6"/>
      <c r="S2998" s="6"/>
      <c r="T2998" s="6"/>
      <c r="U2998" s="6"/>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c r="BU2998" s="6"/>
      <c r="BV2998" s="6"/>
      <c r="BW2998" s="6"/>
      <c r="BX2998" s="6"/>
      <c r="BY2998" s="6"/>
      <c r="BZ2998" s="6"/>
      <c r="CA2998" s="6"/>
      <c r="CB2998" s="6"/>
      <c r="CC2998" s="6"/>
      <c r="CD2998" s="6"/>
      <c r="CE2998" s="6"/>
      <c r="CF2998" s="6"/>
      <c r="CG2998" s="6"/>
      <c r="CH2998" s="6"/>
      <c r="CI2998" s="6"/>
      <c r="CJ2998" s="6"/>
      <c r="CK2998" s="6"/>
      <c r="CL2998" s="6"/>
      <c r="CM2998" s="6"/>
      <c r="CN2998" s="6"/>
      <c r="CO2998" s="6"/>
      <c r="CP2998" s="6"/>
      <c r="CQ2998" s="6"/>
      <c r="CR2998" s="6"/>
      <c r="CS2998" s="6"/>
      <c r="CT2998" s="6"/>
      <c r="CU2998" s="6"/>
      <c r="CV2998" s="6"/>
      <c r="CW2998" s="6"/>
      <c r="CX2998" s="6"/>
      <c r="CY2998" s="6"/>
      <c r="CZ2998" s="6"/>
      <c r="DA2998" s="6"/>
      <c r="DB2998" s="6"/>
      <c r="DC2998" s="6"/>
      <c r="DD2998" s="6"/>
    </row>
    <row r="2999" spans="1:108" ht="12.75" hidden="1" customHeight="1" outlineLevel="5">
      <c r="A2999" s="104" t="s">
        <v>82</v>
      </c>
      <c r="B2999" s="28">
        <f t="shared" si="170"/>
        <v>0</v>
      </c>
      <c r="C2999" s="11"/>
      <c r="D2999" s="18" t="str">
        <f>"&lt;" &amp; A2999 &amp; "&gt;" &amp; TEXT(B2999,0) &amp; "&lt;/" &amp; A2999 &amp; "&gt;"</f>
        <v>&lt;WakeActiveFlag&gt;0&lt;/WakeActiveFlag&gt;</v>
      </c>
      <c r="F2999" s="6"/>
      <c r="G2999" s="6"/>
      <c r="H2999" s="6"/>
      <c r="I2999" s="6"/>
      <c r="J2999" s="6"/>
      <c r="K2999" s="6"/>
      <c r="L2999" s="6"/>
      <c r="M2999" s="6"/>
      <c r="N2999" s="6"/>
      <c r="O2999" s="6"/>
      <c r="P2999" s="6"/>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c r="BU2999" s="6"/>
      <c r="BV2999" s="6"/>
      <c r="BW2999" s="6"/>
      <c r="BX2999" s="6"/>
      <c r="BY2999" s="6"/>
      <c r="BZ2999" s="6"/>
      <c r="CA2999" s="6"/>
      <c r="CB2999" s="6"/>
      <c r="CC2999" s="6"/>
      <c r="CD2999" s="6"/>
      <c r="CE2999" s="6"/>
      <c r="CF2999" s="6"/>
      <c r="CG2999" s="6"/>
      <c r="CH2999" s="6"/>
      <c r="CI2999" s="6"/>
      <c r="CJ2999" s="6"/>
      <c r="CK2999" s="6"/>
      <c r="CL2999" s="6"/>
      <c r="CM2999" s="6"/>
      <c r="CN2999" s="6"/>
      <c r="CO2999" s="6"/>
      <c r="CP2999" s="6"/>
      <c r="CQ2999" s="6"/>
      <c r="CR2999" s="6"/>
      <c r="CS2999" s="6"/>
      <c r="CT2999" s="6"/>
      <c r="CU2999" s="6"/>
      <c r="CV2999" s="6"/>
      <c r="CW2999" s="6"/>
      <c r="CX2999" s="6"/>
      <c r="CY2999" s="6"/>
      <c r="CZ2999" s="6"/>
      <c r="DA2999" s="6"/>
      <c r="DB2999" s="6"/>
      <c r="DC2999" s="6"/>
      <c r="DD2999" s="6"/>
    </row>
    <row r="3000" spans="1:108" ht="12.75" hidden="1" customHeight="1" outlineLevel="5">
      <c r="A3000" s="104" t="s">
        <v>83</v>
      </c>
      <c r="B3000" s="28">
        <f t="shared" si="170"/>
        <v>3</v>
      </c>
      <c r="C3000" s="11"/>
      <c r="D3000" s="18" t="str">
        <f>"&lt;" &amp; A3000 &amp; "&gt;" &amp; TEXT(B3000,0) &amp; "&lt;/" &amp; A3000 &amp; "&gt;"</f>
        <v>&lt;PosAttachFlag&gt;3&lt;/PosAttachFlag&gt;</v>
      </c>
      <c r="F3000" s="6"/>
      <c r="G3000" s="6"/>
      <c r="H3000" s="6"/>
      <c r="I3000" s="6"/>
      <c r="J3000" s="6"/>
      <c r="K3000" s="6"/>
      <c r="L3000" s="6"/>
      <c r="M3000" s="6"/>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c r="BU3000" s="6"/>
      <c r="BV3000" s="6"/>
      <c r="BW3000" s="6"/>
      <c r="BX3000" s="6"/>
      <c r="BY3000" s="6"/>
      <c r="BZ3000" s="6"/>
      <c r="CA3000" s="6"/>
      <c r="CB3000" s="6"/>
      <c r="CC3000" s="6"/>
      <c r="CD3000" s="6"/>
      <c r="CE3000" s="6"/>
      <c r="CF3000" s="6"/>
      <c r="CG3000" s="6"/>
      <c r="CH3000" s="6"/>
      <c r="CI3000" s="6"/>
      <c r="CJ3000" s="6"/>
      <c r="CK3000" s="6"/>
      <c r="CL3000" s="6"/>
      <c r="CM3000" s="6"/>
      <c r="CN3000" s="6"/>
      <c r="CO3000" s="6"/>
      <c r="CP3000" s="6"/>
      <c r="CQ3000" s="6"/>
      <c r="CR3000" s="6"/>
      <c r="CS3000" s="6"/>
      <c r="CT3000" s="6"/>
      <c r="CU3000" s="6"/>
      <c r="CV3000" s="6"/>
      <c r="CW3000" s="6"/>
      <c r="CX3000" s="6"/>
      <c r="CY3000" s="6"/>
      <c r="CZ3000" s="6"/>
      <c r="DA3000" s="6"/>
      <c r="DB3000" s="6"/>
      <c r="DC3000" s="6"/>
      <c r="DD3000" s="6"/>
    </row>
    <row r="3001" spans="1:108" ht="12.75" hidden="1" customHeight="1" outlineLevel="5">
      <c r="A3001" s="104" t="s">
        <v>84</v>
      </c>
      <c r="B3001" s="28">
        <f t="shared" si="170"/>
        <v>0</v>
      </c>
      <c r="C3001" s="11"/>
      <c r="D3001" s="18" t="str">
        <f>"&lt;" &amp; A3001 &amp; "&gt;" &amp; TEXT(B3001,"0.000000") &amp; "&lt;/" &amp; A3001 &amp; "&gt;"</f>
        <v>&lt;U_Attach&gt;0.000000&lt;/U_Attach&gt;</v>
      </c>
      <c r="F3001" s="6"/>
      <c r="G3001" s="6"/>
      <c r="H3001" s="6"/>
      <c r="I3001" s="6"/>
      <c r="J3001" s="6"/>
      <c r="K3001" s="6"/>
      <c r="L3001" s="6"/>
      <c r="M3001" s="6"/>
      <c r="N3001" s="6"/>
      <c r="O3001" s="6"/>
      <c r="P3001" s="6"/>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c r="BU3001" s="6"/>
      <c r="BV3001" s="6"/>
      <c r="BW3001" s="6"/>
      <c r="BX3001" s="6"/>
      <c r="BY3001" s="6"/>
      <c r="BZ3001" s="6"/>
      <c r="CA3001" s="6"/>
      <c r="CB3001" s="6"/>
      <c r="CC3001" s="6"/>
      <c r="CD3001" s="6"/>
      <c r="CE3001" s="6"/>
      <c r="CF3001" s="6"/>
      <c r="CG3001" s="6"/>
      <c r="CH3001" s="6"/>
      <c r="CI3001" s="6"/>
      <c r="CJ3001" s="6"/>
      <c r="CK3001" s="6"/>
      <c r="CL3001" s="6"/>
      <c r="CM3001" s="6"/>
      <c r="CN3001" s="6"/>
      <c r="CO3001" s="6"/>
      <c r="CP3001" s="6"/>
      <c r="CQ3001" s="6"/>
      <c r="CR3001" s="6"/>
      <c r="CS3001" s="6"/>
      <c r="CT3001" s="6"/>
      <c r="CU3001" s="6"/>
      <c r="CV3001" s="6"/>
      <c r="CW3001" s="6"/>
      <c r="CX3001" s="6"/>
      <c r="CY3001" s="6"/>
      <c r="CZ3001" s="6"/>
      <c r="DA3001" s="6"/>
      <c r="DB3001" s="6"/>
      <c r="DC3001" s="6"/>
      <c r="DD3001" s="6"/>
    </row>
    <row r="3002" spans="1:108" ht="12.75" hidden="1" customHeight="1" outlineLevel="5">
      <c r="A3002" s="104" t="s">
        <v>85</v>
      </c>
      <c r="B3002" s="28">
        <f t="shared" si="170"/>
        <v>0</v>
      </c>
      <c r="C3002" s="11"/>
      <c r="D3002" s="18" t="str">
        <f>"&lt;" &amp; A3002 &amp; "&gt;" &amp; TEXT(B3002,"0.000000") &amp; "&lt;/" &amp; A3002 &amp; "&gt;"</f>
        <v>&lt;V_Attach&gt;0.000000&lt;/V_Attach&gt;</v>
      </c>
      <c r="F3002" s="6"/>
      <c r="G3002" s="6"/>
      <c r="H3002" s="6"/>
      <c r="I3002" s="6"/>
      <c r="J3002" s="6"/>
      <c r="K3002" s="6"/>
      <c r="L3002" s="6"/>
      <c r="M3002" s="6"/>
      <c r="N3002" s="6"/>
      <c r="O3002" s="6"/>
      <c r="P3002" s="6"/>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c r="BU3002" s="6"/>
      <c r="BV3002" s="6"/>
      <c r="BW3002" s="6"/>
      <c r="BX3002" s="6"/>
      <c r="BY3002" s="6"/>
      <c r="BZ3002" s="6"/>
      <c r="CA3002" s="6"/>
      <c r="CB3002" s="6"/>
      <c r="CC3002" s="6"/>
      <c r="CD3002" s="6"/>
      <c r="CE3002" s="6"/>
      <c r="CF3002" s="6"/>
      <c r="CG3002" s="6"/>
      <c r="CH3002" s="6"/>
      <c r="CI3002" s="6"/>
      <c r="CJ3002" s="6"/>
      <c r="CK3002" s="6"/>
      <c r="CL3002" s="6"/>
      <c r="CM3002" s="6"/>
      <c r="CN3002" s="6"/>
      <c r="CO3002" s="6"/>
      <c r="CP3002" s="6"/>
      <c r="CQ3002" s="6"/>
      <c r="CR3002" s="6"/>
      <c r="CS3002" s="6"/>
      <c r="CT3002" s="6"/>
      <c r="CU3002" s="6"/>
      <c r="CV3002" s="6"/>
      <c r="CW3002" s="6"/>
      <c r="CX3002" s="6"/>
      <c r="CY3002" s="6"/>
      <c r="CZ3002" s="6"/>
      <c r="DA3002" s="6"/>
      <c r="DB3002" s="6"/>
      <c r="DC3002" s="6"/>
      <c r="DD3002" s="6"/>
    </row>
    <row r="3003" spans="1:108" ht="12.75" hidden="1" customHeight="1" outlineLevel="5">
      <c r="A3003" s="104" t="s">
        <v>86</v>
      </c>
      <c r="B3003" s="28">
        <v>60521</v>
      </c>
      <c r="C3003" s="11"/>
      <c r="D3003" s="18" t="str">
        <f>"&lt;" &amp; A3003 &amp; "&gt;" &amp; TEXT(B3003,0) &amp; "&lt;/" &amp; A3003 &amp; "&gt;"</f>
        <v>&lt;PtrID&gt;60521&lt;/PtrID&gt;</v>
      </c>
      <c r="F3003" s="6"/>
      <c r="G3003" s="6"/>
      <c r="H3003" s="6"/>
      <c r="I3003" s="6"/>
      <c r="J3003" s="6"/>
      <c r="K3003" s="6"/>
      <c r="L3003" s="6"/>
      <c r="M3003" s="6"/>
      <c r="N3003" s="6"/>
      <c r="O3003" s="6"/>
      <c r="P3003" s="6"/>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c r="BU3003" s="6"/>
      <c r="BV3003" s="6"/>
      <c r="BW3003" s="6"/>
      <c r="BX3003" s="6"/>
      <c r="BY3003" s="6"/>
      <c r="BZ3003" s="6"/>
      <c r="CA3003" s="6"/>
      <c r="CB3003" s="6"/>
      <c r="CC3003" s="6"/>
      <c r="CD3003" s="6"/>
      <c r="CE3003" s="6"/>
      <c r="CF3003" s="6"/>
      <c r="CG3003" s="6"/>
      <c r="CH3003" s="6"/>
      <c r="CI3003" s="6"/>
      <c r="CJ3003" s="6"/>
      <c r="CK3003" s="6"/>
      <c r="CL3003" s="6"/>
      <c r="CM3003" s="6"/>
      <c r="CN3003" s="6"/>
      <c r="CO3003" s="6"/>
      <c r="CP3003" s="6"/>
      <c r="CQ3003" s="6"/>
      <c r="CR3003" s="6"/>
      <c r="CS3003" s="6"/>
      <c r="CT3003" s="6"/>
      <c r="CU3003" s="6"/>
      <c r="CV3003" s="6"/>
      <c r="CW3003" s="6"/>
      <c r="CX3003" s="6"/>
      <c r="CY3003" s="6"/>
      <c r="CZ3003" s="6"/>
      <c r="DA3003" s="6"/>
      <c r="DB3003" s="6"/>
      <c r="DC3003" s="6"/>
      <c r="DD3003" s="6"/>
    </row>
    <row r="3004" spans="1:108" ht="12.75" hidden="1" customHeight="1" outlineLevel="5">
      <c r="A3004" s="104" t="s">
        <v>87</v>
      </c>
      <c r="B3004" s="28">
        <v>149518280</v>
      </c>
      <c r="C3004" s="11"/>
      <c r="D3004" s="18" t="str">
        <f>"&lt;" &amp; A3004 &amp; "&gt;" &amp; TEXT(B3004,0) &amp; "&lt;/" &amp; A3004 &amp; "&gt;"</f>
        <v>&lt;Parent_PtrID&gt;149518280&lt;/Parent_PtrID&gt;</v>
      </c>
      <c r="F3004" s="6"/>
      <c r="G3004" s="6"/>
      <c r="H3004" s="6"/>
      <c r="I3004" s="6"/>
      <c r="J3004" s="6"/>
      <c r="K3004" s="6"/>
      <c r="L3004" s="6"/>
      <c r="M3004" s="6"/>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c r="BU3004" s="6"/>
      <c r="BV3004" s="6"/>
      <c r="BW3004" s="6"/>
      <c r="BX3004" s="6"/>
      <c r="BY3004" s="6"/>
      <c r="BZ3004" s="6"/>
      <c r="CA3004" s="6"/>
      <c r="CB3004" s="6"/>
      <c r="CC3004" s="6"/>
      <c r="CD3004" s="6"/>
      <c r="CE3004" s="6"/>
      <c r="CF3004" s="6"/>
      <c r="CG3004" s="6"/>
      <c r="CH3004" s="6"/>
      <c r="CI3004" s="6"/>
      <c r="CJ3004" s="6"/>
      <c r="CK3004" s="6"/>
      <c r="CL3004" s="6"/>
      <c r="CM3004" s="6"/>
      <c r="CN3004" s="6"/>
      <c r="CO3004" s="6"/>
      <c r="CP3004" s="6"/>
      <c r="CQ3004" s="6"/>
      <c r="CR3004" s="6"/>
      <c r="CS3004" s="6"/>
      <c r="CT3004" s="6"/>
      <c r="CU3004" s="6"/>
      <c r="CV3004" s="6"/>
      <c r="CW3004" s="6"/>
      <c r="CX3004" s="6"/>
      <c r="CY3004" s="6"/>
      <c r="CZ3004" s="6"/>
      <c r="DA3004" s="6"/>
      <c r="DB3004" s="6"/>
      <c r="DC3004" s="6"/>
      <c r="DD3004" s="6"/>
    </row>
    <row r="3005" spans="1:108" ht="12.75" hidden="1" customHeight="1" outlineLevel="5">
      <c r="A3005" s="104" t="s">
        <v>88</v>
      </c>
      <c r="B3005" s="100"/>
      <c r="C3005" s="11"/>
      <c r="D3005" s="6" t="str">
        <f>"&lt;" &amp; A3005 &amp; "&gt;"</f>
        <v>&lt;/General_Parms&gt;</v>
      </c>
      <c r="F3005" s="6"/>
      <c r="G3005" s="6"/>
      <c r="H3005" s="6"/>
      <c r="I3005" s="6"/>
      <c r="J3005" s="6"/>
      <c r="K3005" s="6"/>
      <c r="L3005" s="6"/>
      <c r="M3005" s="6"/>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c r="BU3005" s="6"/>
      <c r="BV3005" s="6"/>
      <c r="BW3005" s="6"/>
      <c r="BX3005" s="6"/>
      <c r="BY3005" s="6"/>
      <c r="BZ3005" s="6"/>
      <c r="CA3005" s="6"/>
      <c r="CB3005" s="6"/>
      <c r="CC3005" s="6"/>
      <c r="CD3005" s="6"/>
      <c r="CE3005" s="6"/>
      <c r="CF3005" s="6"/>
      <c r="CG3005" s="6"/>
      <c r="CH3005" s="6"/>
      <c r="CI3005" s="6"/>
      <c r="CJ3005" s="6"/>
      <c r="CK3005" s="6"/>
      <c r="CL3005" s="6"/>
      <c r="CM3005" s="6"/>
      <c r="CN3005" s="6"/>
      <c r="CO3005" s="6"/>
      <c r="CP3005" s="6"/>
      <c r="CQ3005" s="6"/>
      <c r="CR3005" s="6"/>
      <c r="CS3005" s="6"/>
      <c r="CT3005" s="6"/>
      <c r="CU3005" s="6"/>
      <c r="CV3005" s="6"/>
      <c r="CW3005" s="6"/>
      <c r="CX3005" s="6"/>
      <c r="CY3005" s="6"/>
      <c r="CZ3005" s="6"/>
      <c r="DA3005" s="6"/>
      <c r="DB3005" s="6"/>
      <c r="DC3005" s="6"/>
      <c r="DD3005" s="6"/>
    </row>
    <row r="3006" spans="1:108" ht="12.75" hidden="1" customHeight="1" outlineLevel="4">
      <c r="A3006" s="104" t="s">
        <v>297</v>
      </c>
      <c r="B3006" s="100"/>
      <c r="C3006" s="11"/>
      <c r="D3006" s="6" t="str">
        <f>"&lt;" &amp; A3006 &amp; "&gt;"</f>
        <v>&lt;Prop_Parms&gt;</v>
      </c>
      <c r="F3006" s="6"/>
      <c r="G3006" s="6"/>
      <c r="H3006" s="6"/>
      <c r="I3006" s="6"/>
      <c r="J3006" s="6"/>
      <c r="K3006" s="6"/>
      <c r="L3006" s="6"/>
      <c r="M3006" s="6"/>
      <c r="N3006" s="6"/>
      <c r="O3006" s="6"/>
      <c r="P3006" s="6"/>
      <c r="Q3006" s="6"/>
      <c r="R3006" s="6"/>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c r="BU3006" s="6"/>
      <c r="BV3006" s="6"/>
      <c r="BW3006" s="6"/>
      <c r="BX3006" s="6"/>
      <c r="BY3006" s="6"/>
      <c r="BZ3006" s="6"/>
      <c r="CA3006" s="6"/>
      <c r="CB3006" s="6"/>
      <c r="CC3006" s="6"/>
      <c r="CD3006" s="6"/>
      <c r="CE3006" s="6"/>
      <c r="CF3006" s="6"/>
      <c r="CG3006" s="6"/>
      <c r="CH3006" s="6"/>
      <c r="CI3006" s="6"/>
      <c r="CJ3006" s="6"/>
      <c r="CK3006" s="6"/>
      <c r="CL3006" s="6"/>
      <c r="CM3006" s="6"/>
      <c r="CN3006" s="6"/>
      <c r="CO3006" s="6"/>
      <c r="CP3006" s="6"/>
      <c r="CQ3006" s="6"/>
      <c r="CR3006" s="6"/>
      <c r="CS3006" s="6"/>
      <c r="CT3006" s="6"/>
      <c r="CU3006" s="6"/>
      <c r="CV3006" s="6"/>
      <c r="CW3006" s="6"/>
      <c r="CX3006" s="6"/>
      <c r="CY3006" s="6"/>
      <c r="CZ3006" s="6"/>
      <c r="DA3006" s="6"/>
      <c r="DB3006" s="6"/>
      <c r="DC3006" s="6"/>
      <c r="DD3006" s="6"/>
    </row>
    <row r="3007" spans="1:108" ht="12.75" hidden="1" customHeight="1" outlineLevel="5">
      <c r="A3007" s="104" t="s">
        <v>298</v>
      </c>
      <c r="B3007" s="117">
        <f t="shared" ref="B3007:B3013" si="173">B1408</f>
        <v>6</v>
      </c>
      <c r="C3007" s="11"/>
      <c r="D3007" s="18" t="str">
        <f>"&lt;" &amp; A3007 &amp; "&gt;" &amp; TEXT(B3007,0) &amp; "&lt;/" &amp; A3007 &amp; "&gt;"</f>
        <v>&lt;NumBlades&gt;6&lt;/NumBlades&gt;</v>
      </c>
      <c r="F3007" s="6"/>
      <c r="G3007" s="6"/>
      <c r="H3007" s="6"/>
      <c r="I3007" s="6"/>
      <c r="J3007" s="6"/>
      <c r="K3007" s="6"/>
      <c r="L3007" s="6"/>
      <c r="M3007" s="6"/>
      <c r="N3007" s="6"/>
      <c r="O3007" s="6"/>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c r="BU3007" s="6"/>
      <c r="BV3007" s="6"/>
      <c r="BW3007" s="6"/>
      <c r="BX3007" s="6"/>
      <c r="BY3007" s="6"/>
      <c r="BZ3007" s="6"/>
      <c r="CA3007" s="6"/>
      <c r="CB3007" s="6"/>
      <c r="CC3007" s="6"/>
      <c r="CD3007" s="6"/>
      <c r="CE3007" s="6"/>
      <c r="CF3007" s="6"/>
      <c r="CG3007" s="6"/>
      <c r="CH3007" s="6"/>
      <c r="CI3007" s="6"/>
      <c r="CJ3007" s="6"/>
      <c r="CK3007" s="6"/>
      <c r="CL3007" s="6"/>
      <c r="CM3007" s="6"/>
      <c r="CN3007" s="6"/>
      <c r="CO3007" s="6"/>
      <c r="CP3007" s="6"/>
      <c r="CQ3007" s="6"/>
      <c r="CR3007" s="6"/>
      <c r="CS3007" s="6"/>
      <c r="CT3007" s="6"/>
      <c r="CU3007" s="6"/>
      <c r="CV3007" s="6"/>
      <c r="CW3007" s="6"/>
      <c r="CX3007" s="6"/>
      <c r="CY3007" s="6"/>
      <c r="CZ3007" s="6"/>
      <c r="DA3007" s="6"/>
      <c r="DB3007" s="6"/>
      <c r="DC3007" s="6"/>
      <c r="DD3007" s="6"/>
    </row>
    <row r="3008" spans="1:108" ht="12.75" hidden="1" customHeight="1" outlineLevel="5">
      <c r="A3008" s="104" t="s">
        <v>299</v>
      </c>
      <c r="B3008" s="28">
        <f t="shared" si="173"/>
        <v>1</v>
      </c>
      <c r="C3008" s="11"/>
      <c r="D3008" s="18" t="str">
        <f>"&lt;" &amp; A3008 &amp; "&gt;" &amp; TEXT(B3008,0) &amp; "&lt;/" &amp; A3008 &amp; "&gt;"</f>
        <v>&lt;SmoothFlag&gt;1&lt;/SmoothFlag&gt;</v>
      </c>
      <c r="F3008" s="6"/>
      <c r="G3008" s="6"/>
      <c r="H3008" s="6"/>
      <c r="I3008" s="6"/>
      <c r="J3008" s="6"/>
      <c r="K3008" s="6"/>
      <c r="L3008" s="6"/>
      <c r="M3008" s="6"/>
      <c r="N3008" s="6"/>
      <c r="O3008" s="6"/>
      <c r="P3008" s="6"/>
      <c r="Q3008" s="6"/>
      <c r="R3008" s="6"/>
      <c r="S3008" s="6"/>
      <c r="T3008" s="6"/>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c r="BU3008" s="6"/>
      <c r="BV3008" s="6"/>
      <c r="BW3008" s="6"/>
      <c r="BX3008" s="6"/>
      <c r="BY3008" s="6"/>
      <c r="BZ3008" s="6"/>
      <c r="CA3008" s="6"/>
      <c r="CB3008" s="6"/>
      <c r="CC3008" s="6"/>
      <c r="CD3008" s="6"/>
      <c r="CE3008" s="6"/>
      <c r="CF3008" s="6"/>
      <c r="CG3008" s="6"/>
      <c r="CH3008" s="6"/>
      <c r="CI3008" s="6"/>
      <c r="CJ3008" s="6"/>
      <c r="CK3008" s="6"/>
      <c r="CL3008" s="6"/>
      <c r="CM3008" s="6"/>
      <c r="CN3008" s="6"/>
      <c r="CO3008" s="6"/>
      <c r="CP3008" s="6"/>
      <c r="CQ3008" s="6"/>
      <c r="CR3008" s="6"/>
      <c r="CS3008" s="6"/>
      <c r="CT3008" s="6"/>
      <c r="CU3008" s="6"/>
      <c r="CV3008" s="6"/>
      <c r="CW3008" s="6"/>
      <c r="CX3008" s="6"/>
      <c r="CY3008" s="6"/>
      <c r="CZ3008" s="6"/>
      <c r="DA3008" s="6"/>
      <c r="DB3008" s="6"/>
      <c r="DC3008" s="6"/>
      <c r="DD3008" s="6"/>
    </row>
    <row r="3009" spans="1:108" ht="12.75" hidden="1" customHeight="1" outlineLevel="5">
      <c r="A3009" s="104" t="s">
        <v>300</v>
      </c>
      <c r="B3009" s="28">
        <f t="shared" si="173"/>
        <v>3</v>
      </c>
      <c r="C3009" s="11"/>
      <c r="D3009" s="18" t="str">
        <f>"&lt;" &amp; A3009 &amp; "&gt;" &amp; TEXT(B3009,0) &amp; "&lt;/" &amp; A3009 &amp; "&gt;"</f>
        <v>&lt;NumU&gt;3&lt;/NumU&gt;</v>
      </c>
      <c r="F3009" s="6"/>
      <c r="G3009" s="6"/>
      <c r="H3009" s="6"/>
      <c r="I3009" s="6"/>
      <c r="J3009" s="6"/>
      <c r="K3009" s="6"/>
      <c r="L3009" s="6"/>
      <c r="M3009" s="6"/>
      <c r="N3009" s="6"/>
      <c r="O3009" s="6"/>
      <c r="P3009" s="6"/>
      <c r="Q3009" s="6"/>
      <c r="R3009" s="6"/>
      <c r="S3009" s="6"/>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c r="BU3009" s="6"/>
      <c r="BV3009" s="6"/>
      <c r="BW3009" s="6"/>
      <c r="BX3009" s="6"/>
      <c r="BY3009" s="6"/>
      <c r="BZ3009" s="6"/>
      <c r="CA3009" s="6"/>
      <c r="CB3009" s="6"/>
      <c r="CC3009" s="6"/>
      <c r="CD3009" s="6"/>
      <c r="CE3009" s="6"/>
      <c r="CF3009" s="6"/>
      <c r="CG3009" s="6"/>
      <c r="CH3009" s="6"/>
      <c r="CI3009" s="6"/>
      <c r="CJ3009" s="6"/>
      <c r="CK3009" s="6"/>
      <c r="CL3009" s="6"/>
      <c r="CM3009" s="6"/>
      <c r="CN3009" s="6"/>
      <c r="CO3009" s="6"/>
      <c r="CP3009" s="6"/>
      <c r="CQ3009" s="6"/>
      <c r="CR3009" s="6"/>
      <c r="CS3009" s="6"/>
      <c r="CT3009" s="6"/>
      <c r="CU3009" s="6"/>
      <c r="CV3009" s="6"/>
      <c r="CW3009" s="6"/>
      <c r="CX3009" s="6"/>
      <c r="CY3009" s="6"/>
      <c r="CZ3009" s="6"/>
      <c r="DA3009" s="6"/>
      <c r="DB3009" s="6"/>
      <c r="DC3009" s="6"/>
      <c r="DD3009" s="6"/>
    </row>
    <row r="3010" spans="1:108" ht="12.75" hidden="1" customHeight="1" outlineLevel="5">
      <c r="A3010" s="104" t="s">
        <v>301</v>
      </c>
      <c r="B3010" s="28">
        <f t="shared" si="173"/>
        <v>1</v>
      </c>
      <c r="C3010" s="11"/>
      <c r="D3010" s="18" t="str">
        <f>"&lt;" &amp; A3010 &amp; "&gt;" &amp; TEXT(B3010,0) &amp; "&lt;/" &amp; A3010 &amp; "&gt;"</f>
        <v>&lt;NumW&gt;1&lt;/NumW&gt;</v>
      </c>
      <c r="F3010" s="6"/>
      <c r="G3010" s="6"/>
      <c r="H3010" s="6"/>
      <c r="I3010" s="6"/>
      <c r="J3010" s="6"/>
      <c r="K3010" s="6"/>
      <c r="L3010" s="6"/>
      <c r="M3010" s="6"/>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c r="BU3010" s="6"/>
      <c r="BV3010" s="6"/>
      <c r="BW3010" s="6"/>
      <c r="BX3010" s="6"/>
      <c r="BY3010" s="6"/>
      <c r="BZ3010" s="6"/>
      <c r="CA3010" s="6"/>
      <c r="CB3010" s="6"/>
      <c r="CC3010" s="6"/>
      <c r="CD3010" s="6"/>
      <c r="CE3010" s="6"/>
      <c r="CF3010" s="6"/>
      <c r="CG3010" s="6"/>
      <c r="CH3010" s="6"/>
      <c r="CI3010" s="6"/>
      <c r="CJ3010" s="6"/>
      <c r="CK3010" s="6"/>
      <c r="CL3010" s="6"/>
      <c r="CM3010" s="6"/>
      <c r="CN3010" s="6"/>
      <c r="CO3010" s="6"/>
      <c r="CP3010" s="6"/>
      <c r="CQ3010" s="6"/>
      <c r="CR3010" s="6"/>
      <c r="CS3010" s="6"/>
      <c r="CT3010" s="6"/>
      <c r="CU3010" s="6"/>
      <c r="CV3010" s="6"/>
      <c r="CW3010" s="6"/>
      <c r="CX3010" s="6"/>
      <c r="CY3010" s="6"/>
      <c r="CZ3010" s="6"/>
      <c r="DA3010" s="6"/>
      <c r="DB3010" s="6"/>
      <c r="DC3010" s="6"/>
      <c r="DD3010" s="6"/>
    </row>
    <row r="3011" spans="1:108" ht="12.75" hidden="1" customHeight="1" outlineLevel="5">
      <c r="A3011" s="104" t="s">
        <v>302</v>
      </c>
      <c r="B3011" s="94">
        <f t="shared" si="173"/>
        <v>3.1715565509235231</v>
      </c>
      <c r="C3011" s="11"/>
      <c r="D3011" s="18" t="str">
        <f>"&lt;" &amp; A3011 &amp; "&gt;" &amp; TEXT(B3011,"0.000000") &amp; "&lt;/" &amp; A3011 &amp; "&gt;"</f>
        <v>&lt;Diameter&gt;3.171557&lt;/Diameter&gt;</v>
      </c>
      <c r="F3011" s="6"/>
      <c r="G3011" s="6"/>
      <c r="H3011" s="6"/>
      <c r="I3011" s="6"/>
      <c r="J3011" s="6"/>
      <c r="K3011" s="6"/>
      <c r="L3011" s="6"/>
      <c r="M3011" s="6"/>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c r="BU3011" s="6"/>
      <c r="BV3011" s="6"/>
      <c r="BW3011" s="6"/>
      <c r="BX3011" s="6"/>
      <c r="BY3011" s="6"/>
      <c r="BZ3011" s="6"/>
      <c r="CA3011" s="6"/>
      <c r="CB3011" s="6"/>
      <c r="CC3011" s="6"/>
      <c r="CD3011" s="6"/>
      <c r="CE3011" s="6"/>
      <c r="CF3011" s="6"/>
      <c r="CG3011" s="6"/>
      <c r="CH3011" s="6"/>
      <c r="CI3011" s="6"/>
      <c r="CJ3011" s="6"/>
      <c r="CK3011" s="6"/>
      <c r="CL3011" s="6"/>
      <c r="CM3011" s="6"/>
      <c r="CN3011" s="6"/>
      <c r="CO3011" s="6"/>
      <c r="CP3011" s="6"/>
      <c r="CQ3011" s="6"/>
      <c r="CR3011" s="6"/>
      <c r="CS3011" s="6"/>
      <c r="CT3011" s="6"/>
      <c r="CU3011" s="6"/>
      <c r="CV3011" s="6"/>
      <c r="CW3011" s="6"/>
      <c r="CX3011" s="6"/>
      <c r="CY3011" s="6"/>
      <c r="CZ3011" s="6"/>
      <c r="DA3011" s="6"/>
      <c r="DB3011" s="6"/>
      <c r="DC3011" s="6"/>
      <c r="DD3011" s="6"/>
    </row>
    <row r="3012" spans="1:108" ht="12.75" hidden="1" customHeight="1" outlineLevel="5">
      <c r="A3012" s="104" t="s">
        <v>303</v>
      </c>
      <c r="B3012" s="28">
        <f t="shared" si="173"/>
        <v>0</v>
      </c>
      <c r="C3012" s="11"/>
      <c r="D3012" s="18" t="str">
        <f>"&lt;" &amp; A3012 &amp; "&gt;" &amp; TEXT(B3012,"0.000000") &amp; "&lt;/" &amp; A3012 &amp; "&gt;"</f>
        <v>&lt;ConeAngle&gt;0.000000&lt;/ConeAngle&gt;</v>
      </c>
      <c r="F3012" s="6"/>
      <c r="G3012" s="6"/>
      <c r="H3012" s="6"/>
      <c r="I3012" s="6"/>
      <c r="J3012" s="6"/>
      <c r="K3012" s="6"/>
      <c r="L3012" s="6"/>
      <c r="M3012" s="6"/>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c r="BU3012" s="6"/>
      <c r="BV3012" s="6"/>
      <c r="BW3012" s="6"/>
      <c r="BX3012" s="6"/>
      <c r="BY3012" s="6"/>
      <c r="BZ3012" s="6"/>
      <c r="CA3012" s="6"/>
      <c r="CB3012" s="6"/>
      <c r="CC3012" s="6"/>
      <c r="CD3012" s="6"/>
      <c r="CE3012" s="6"/>
      <c r="CF3012" s="6"/>
      <c r="CG3012" s="6"/>
      <c r="CH3012" s="6"/>
      <c r="CI3012" s="6"/>
      <c r="CJ3012" s="6"/>
      <c r="CK3012" s="6"/>
      <c r="CL3012" s="6"/>
      <c r="CM3012" s="6"/>
      <c r="CN3012" s="6"/>
      <c r="CO3012" s="6"/>
      <c r="CP3012" s="6"/>
      <c r="CQ3012" s="6"/>
      <c r="CR3012" s="6"/>
      <c r="CS3012" s="6"/>
      <c r="CT3012" s="6"/>
      <c r="CU3012" s="6"/>
      <c r="CV3012" s="6"/>
      <c r="CW3012" s="6"/>
      <c r="CX3012" s="6"/>
      <c r="CY3012" s="6"/>
      <c r="CZ3012" s="6"/>
      <c r="DA3012" s="6"/>
      <c r="DB3012" s="6"/>
      <c r="DC3012" s="6"/>
      <c r="DD3012" s="6"/>
    </row>
    <row r="3013" spans="1:108" ht="12.75" hidden="1" customHeight="1" outlineLevel="5">
      <c r="A3013" s="104" t="s">
        <v>304</v>
      </c>
      <c r="B3013" s="28">
        <f t="shared" si="173"/>
        <v>0</v>
      </c>
      <c r="C3013" s="11"/>
      <c r="D3013" s="18" t="str">
        <f>"&lt;" &amp; A3013 &amp; "&gt;" &amp; TEXT(B3013,"0.000000") &amp; "&lt;/" &amp; A3013 &amp; "&gt;"</f>
        <v>&lt;Pitch&gt;0.000000&lt;/Pitch&gt;</v>
      </c>
      <c r="F3013" s="6"/>
      <c r="G3013" s="6"/>
      <c r="H3013" s="6"/>
      <c r="I3013" s="6"/>
      <c r="J3013" s="6"/>
      <c r="K3013" s="6"/>
      <c r="L3013" s="6"/>
      <c r="M3013" s="6"/>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c r="BU3013" s="6"/>
      <c r="BV3013" s="6"/>
      <c r="BW3013" s="6"/>
      <c r="BX3013" s="6"/>
      <c r="BY3013" s="6"/>
      <c r="BZ3013" s="6"/>
      <c r="CA3013" s="6"/>
      <c r="CB3013" s="6"/>
      <c r="CC3013" s="6"/>
      <c r="CD3013" s="6"/>
      <c r="CE3013" s="6"/>
      <c r="CF3013" s="6"/>
      <c r="CG3013" s="6"/>
      <c r="CH3013" s="6"/>
      <c r="CI3013" s="6"/>
      <c r="CJ3013" s="6"/>
      <c r="CK3013" s="6"/>
      <c r="CL3013" s="6"/>
      <c r="CM3013" s="6"/>
      <c r="CN3013" s="6"/>
      <c r="CO3013" s="6"/>
      <c r="CP3013" s="6"/>
      <c r="CQ3013" s="6"/>
      <c r="CR3013" s="6"/>
      <c r="CS3013" s="6"/>
      <c r="CT3013" s="6"/>
      <c r="CU3013" s="6"/>
      <c r="CV3013" s="6"/>
      <c r="CW3013" s="6"/>
      <c r="CX3013" s="6"/>
      <c r="CY3013" s="6"/>
      <c r="CZ3013" s="6"/>
      <c r="DA3013" s="6"/>
      <c r="DB3013" s="6"/>
      <c r="DC3013" s="6"/>
      <c r="DD3013" s="6"/>
    </row>
    <row r="3014" spans="1:108" ht="12.75" hidden="1" customHeight="1" outlineLevel="5">
      <c r="A3014" s="104" t="s">
        <v>305</v>
      </c>
      <c r="B3014" s="110" t="s">
        <v>400</v>
      </c>
      <c r="C3014" s="11"/>
      <c r="D3014" s="6" t="str">
        <f>"&lt;" &amp; A3014 &amp; "&gt;"</f>
        <v>&lt;Sect_Parms&gt;</v>
      </c>
      <c r="F3014" s="6"/>
      <c r="G3014" s="6"/>
      <c r="H3014" s="6"/>
      <c r="I3014" s="6"/>
      <c r="J3014" s="6"/>
      <c r="K3014" s="6"/>
      <c r="L3014" s="6"/>
      <c r="M3014" s="6"/>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c r="BU3014" s="6"/>
      <c r="BV3014" s="6"/>
      <c r="BW3014" s="6"/>
      <c r="BX3014" s="6"/>
      <c r="BY3014" s="6"/>
      <c r="BZ3014" s="6"/>
      <c r="CA3014" s="6"/>
      <c r="CB3014" s="6"/>
      <c r="CC3014" s="6"/>
      <c r="CD3014" s="6"/>
      <c r="CE3014" s="6"/>
      <c r="CF3014" s="6"/>
      <c r="CG3014" s="6"/>
      <c r="CH3014" s="6"/>
      <c r="CI3014" s="6"/>
      <c r="CJ3014" s="6"/>
      <c r="CK3014" s="6"/>
      <c r="CL3014" s="6"/>
      <c r="CM3014" s="6"/>
      <c r="CN3014" s="6"/>
      <c r="CO3014" s="6"/>
      <c r="CP3014" s="6"/>
      <c r="CQ3014" s="6"/>
      <c r="CR3014" s="6"/>
      <c r="CS3014" s="6"/>
      <c r="CT3014" s="6"/>
      <c r="CU3014" s="6"/>
      <c r="CV3014" s="6"/>
      <c r="CW3014" s="6"/>
      <c r="CX3014" s="6"/>
      <c r="CY3014" s="6"/>
      <c r="CZ3014" s="6"/>
      <c r="DA3014" s="6"/>
      <c r="DB3014" s="6"/>
      <c r="DC3014" s="6"/>
      <c r="DD3014" s="6"/>
    </row>
    <row r="3015" spans="1:108" ht="12.75" hidden="1" customHeight="1" outlineLevel="6">
      <c r="A3015" s="104" t="s">
        <v>306</v>
      </c>
      <c r="B3015" s="28">
        <f>B1416</f>
        <v>0.05</v>
      </c>
      <c r="C3015" s="11"/>
      <c r="D3015" s="18" t="str">
        <f>"&lt;" &amp; A3015 &amp; "&gt;" &amp; TEXT(B3015,"0.000000") &amp; "&lt;/" &amp; A3015 &amp; "&gt;"</f>
        <v>&lt;X_Off&gt;0.050000&lt;/X_Off&gt;</v>
      </c>
      <c r="F3015" s="6"/>
      <c r="G3015" s="6"/>
      <c r="H3015" s="6"/>
      <c r="I3015" s="6"/>
      <c r="J3015" s="6"/>
      <c r="K3015" s="6"/>
      <c r="L3015" s="6"/>
      <c r="M3015" s="6"/>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c r="BU3015" s="6"/>
      <c r="BV3015" s="6"/>
      <c r="BW3015" s="6"/>
      <c r="BX3015" s="6"/>
      <c r="BY3015" s="6"/>
      <c r="BZ3015" s="6"/>
      <c r="CA3015" s="6"/>
      <c r="CB3015" s="6"/>
      <c r="CC3015" s="6"/>
      <c r="CD3015" s="6"/>
      <c r="CE3015" s="6"/>
      <c r="CF3015" s="6"/>
      <c r="CG3015" s="6"/>
      <c r="CH3015" s="6"/>
      <c r="CI3015" s="6"/>
      <c r="CJ3015" s="6"/>
      <c r="CK3015" s="6"/>
      <c r="CL3015" s="6"/>
      <c r="CM3015" s="6"/>
      <c r="CN3015" s="6"/>
      <c r="CO3015" s="6"/>
      <c r="CP3015" s="6"/>
      <c r="CQ3015" s="6"/>
      <c r="CR3015" s="6"/>
      <c r="CS3015" s="6"/>
      <c r="CT3015" s="6"/>
      <c r="CU3015" s="6"/>
      <c r="CV3015" s="6"/>
      <c r="CW3015" s="6"/>
      <c r="CX3015" s="6"/>
      <c r="CY3015" s="6"/>
      <c r="CZ3015" s="6"/>
      <c r="DA3015" s="6"/>
      <c r="DB3015" s="6"/>
      <c r="DC3015" s="6"/>
      <c r="DD3015" s="6"/>
    </row>
    <row r="3016" spans="1:108" ht="12.75" hidden="1" customHeight="1" outlineLevel="6">
      <c r="A3016" s="104" t="s">
        <v>307</v>
      </c>
      <c r="B3016" s="28">
        <f>B1417</f>
        <v>0</v>
      </c>
      <c r="C3016" s="11"/>
      <c r="D3016" s="18" t="str">
        <f>"&lt;" &amp; A3016 &amp; "&gt;" &amp; TEXT(B3016,"0.000000") &amp; "&lt;/" &amp; A3016 &amp; "&gt;"</f>
        <v>&lt;Y_Off&gt;0.000000&lt;/Y_Off&gt;</v>
      </c>
      <c r="F3016" s="6"/>
      <c r="G3016" s="6"/>
      <c r="H3016" s="6"/>
      <c r="I3016" s="6"/>
      <c r="J3016" s="6"/>
      <c r="K3016" s="6"/>
      <c r="L3016" s="6"/>
      <c r="M3016" s="6"/>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c r="BU3016" s="6"/>
      <c r="BV3016" s="6"/>
      <c r="BW3016" s="6"/>
      <c r="BX3016" s="6"/>
      <c r="BY3016" s="6"/>
      <c r="BZ3016" s="6"/>
      <c r="CA3016" s="6"/>
      <c r="CB3016" s="6"/>
      <c r="CC3016" s="6"/>
      <c r="CD3016" s="6"/>
      <c r="CE3016" s="6"/>
      <c r="CF3016" s="6"/>
      <c r="CG3016" s="6"/>
      <c r="CH3016" s="6"/>
      <c r="CI3016" s="6"/>
      <c r="CJ3016" s="6"/>
      <c r="CK3016" s="6"/>
      <c r="CL3016" s="6"/>
      <c r="CM3016" s="6"/>
      <c r="CN3016" s="6"/>
      <c r="CO3016" s="6"/>
      <c r="CP3016" s="6"/>
      <c r="CQ3016" s="6"/>
      <c r="CR3016" s="6"/>
      <c r="CS3016" s="6"/>
      <c r="CT3016" s="6"/>
      <c r="CU3016" s="6"/>
      <c r="CV3016" s="6"/>
      <c r="CW3016" s="6"/>
      <c r="CX3016" s="6"/>
      <c r="CY3016" s="6"/>
      <c r="CZ3016" s="6"/>
      <c r="DA3016" s="6"/>
      <c r="DB3016" s="6"/>
      <c r="DC3016" s="6"/>
      <c r="DD3016" s="6"/>
    </row>
    <row r="3017" spans="1:108" ht="12.75" hidden="1" customHeight="1" outlineLevel="6">
      <c r="A3017" s="104" t="s">
        <v>287</v>
      </c>
      <c r="B3017" s="28">
        <f>B1418</f>
        <v>0.08</v>
      </c>
      <c r="C3017" s="11"/>
      <c r="D3017" s="18" t="str">
        <f>"&lt;" &amp; A3017 &amp; "&gt;" &amp; TEXT(B3017,"0.000000") &amp; "&lt;/" &amp; A3017 &amp; "&gt;"</f>
        <v>&lt;Chord&gt;0.080000&lt;/Chord&gt;</v>
      </c>
      <c r="F3017" s="6"/>
      <c r="G3017" s="6"/>
      <c r="H3017" s="6"/>
      <c r="I3017" s="6"/>
      <c r="J3017" s="6"/>
      <c r="K3017" s="6"/>
      <c r="L3017" s="6"/>
      <c r="M3017" s="6"/>
      <c r="N3017" s="6"/>
      <c r="O3017" s="6"/>
      <c r="P3017" s="6"/>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c r="BU3017" s="6"/>
      <c r="BV3017" s="6"/>
      <c r="BW3017" s="6"/>
      <c r="BX3017" s="6"/>
      <c r="BY3017" s="6"/>
      <c r="BZ3017" s="6"/>
      <c r="CA3017" s="6"/>
      <c r="CB3017" s="6"/>
      <c r="CC3017" s="6"/>
      <c r="CD3017" s="6"/>
      <c r="CE3017" s="6"/>
      <c r="CF3017" s="6"/>
      <c r="CG3017" s="6"/>
      <c r="CH3017" s="6"/>
      <c r="CI3017" s="6"/>
      <c r="CJ3017" s="6"/>
      <c r="CK3017" s="6"/>
      <c r="CL3017" s="6"/>
      <c r="CM3017" s="6"/>
      <c r="CN3017" s="6"/>
      <c r="CO3017" s="6"/>
      <c r="CP3017" s="6"/>
      <c r="CQ3017" s="6"/>
      <c r="CR3017" s="6"/>
      <c r="CS3017" s="6"/>
      <c r="CT3017" s="6"/>
      <c r="CU3017" s="6"/>
      <c r="CV3017" s="6"/>
      <c r="CW3017" s="6"/>
      <c r="CX3017" s="6"/>
      <c r="CY3017" s="6"/>
      <c r="CZ3017" s="6"/>
      <c r="DA3017" s="6"/>
      <c r="DB3017" s="6"/>
      <c r="DC3017" s="6"/>
      <c r="DD3017" s="6"/>
    </row>
    <row r="3018" spans="1:108" ht="12.75" hidden="1" customHeight="1" outlineLevel="6">
      <c r="A3018" s="104" t="s">
        <v>9</v>
      </c>
      <c r="B3018" s="28">
        <f>B1419</f>
        <v>45</v>
      </c>
      <c r="C3018" s="11"/>
      <c r="D3018" s="18" t="str">
        <f>"&lt;" &amp; A3018 &amp; "&gt;" &amp; TEXT(B3018,"0.000000") &amp; "&lt;/" &amp; A3018 &amp; "&gt;"</f>
        <v>&lt;Twist&gt;45.000000&lt;/Twist&gt;</v>
      </c>
      <c r="F3018" s="6"/>
      <c r="G3018" s="6"/>
      <c r="H3018" s="6"/>
      <c r="I3018" s="6"/>
      <c r="J3018" s="6"/>
      <c r="K3018" s="6"/>
      <c r="L3018" s="6"/>
      <c r="M3018" s="6"/>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c r="BU3018" s="6"/>
      <c r="BV3018" s="6"/>
      <c r="BW3018" s="6"/>
      <c r="BX3018" s="6"/>
      <c r="BY3018" s="6"/>
      <c r="BZ3018" s="6"/>
      <c r="CA3018" s="6"/>
      <c r="CB3018" s="6"/>
      <c r="CC3018" s="6"/>
      <c r="CD3018" s="6"/>
      <c r="CE3018" s="6"/>
      <c r="CF3018" s="6"/>
      <c r="CG3018" s="6"/>
      <c r="CH3018" s="6"/>
      <c r="CI3018" s="6"/>
      <c r="CJ3018" s="6"/>
      <c r="CK3018" s="6"/>
      <c r="CL3018" s="6"/>
      <c r="CM3018" s="6"/>
      <c r="CN3018" s="6"/>
      <c r="CO3018" s="6"/>
      <c r="CP3018" s="6"/>
      <c r="CQ3018" s="6"/>
      <c r="CR3018" s="6"/>
      <c r="CS3018" s="6"/>
      <c r="CT3018" s="6"/>
      <c r="CU3018" s="6"/>
      <c r="CV3018" s="6"/>
      <c r="CW3018" s="6"/>
      <c r="CX3018" s="6"/>
      <c r="CY3018" s="6"/>
      <c r="CZ3018" s="6"/>
      <c r="DA3018" s="6"/>
      <c r="DB3018" s="6"/>
      <c r="DC3018" s="6"/>
      <c r="DD3018" s="6"/>
    </row>
    <row r="3019" spans="1:108" ht="12.75" hidden="1" customHeight="1" outlineLevel="6">
      <c r="A3019" s="104" t="s">
        <v>2</v>
      </c>
      <c r="B3019" s="100"/>
      <c r="C3019" s="11"/>
      <c r="D3019" s="6" t="str">
        <f>"&lt;" &amp; A3019 &amp; "&gt;"</f>
        <v>&lt;Airfoil&gt;</v>
      </c>
      <c r="F3019" s="6"/>
      <c r="G3019" s="6"/>
      <c r="H3019" s="6"/>
      <c r="I3019" s="6"/>
      <c r="J3019" s="6"/>
      <c r="K3019" s="6"/>
      <c r="L3019" s="6"/>
      <c r="M3019" s="6"/>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c r="BU3019" s="6"/>
      <c r="BV3019" s="6"/>
      <c r="BW3019" s="6"/>
      <c r="BX3019" s="6"/>
      <c r="BY3019" s="6"/>
      <c r="BZ3019" s="6"/>
      <c r="CA3019" s="6"/>
      <c r="CB3019" s="6"/>
      <c r="CC3019" s="6"/>
      <c r="CD3019" s="6"/>
      <c r="CE3019" s="6"/>
      <c r="CF3019" s="6"/>
      <c r="CG3019" s="6"/>
      <c r="CH3019" s="6"/>
      <c r="CI3019" s="6"/>
      <c r="CJ3019" s="6"/>
      <c r="CK3019" s="6"/>
      <c r="CL3019" s="6"/>
      <c r="CM3019" s="6"/>
      <c r="CN3019" s="6"/>
      <c r="CO3019" s="6"/>
      <c r="CP3019" s="6"/>
      <c r="CQ3019" s="6"/>
      <c r="CR3019" s="6"/>
      <c r="CS3019" s="6"/>
      <c r="CT3019" s="6"/>
      <c r="CU3019" s="6"/>
      <c r="CV3019" s="6"/>
      <c r="CW3019" s="6"/>
      <c r="CX3019" s="6"/>
      <c r="CY3019" s="6"/>
      <c r="CZ3019" s="6"/>
      <c r="DA3019" s="6"/>
      <c r="DB3019" s="6"/>
      <c r="DC3019" s="6"/>
      <c r="DD3019" s="6"/>
    </row>
    <row r="3020" spans="1:108" ht="12.75" hidden="1" customHeight="1" outlineLevel="7">
      <c r="A3020" s="104" t="s">
        <v>14</v>
      </c>
      <c r="B3020" s="28">
        <f t="shared" ref="B3020:B3038" si="174">B1421</f>
        <v>1</v>
      </c>
      <c r="C3020" s="11"/>
      <c r="D3020" s="18" t="str">
        <f>"&lt;" &amp; A3020 &amp; "&gt;" &amp; TEXT(B3020,0) &amp; "&lt;/" &amp; A3020 &amp; "&gt;"</f>
        <v>&lt;Type&gt;1&lt;/Type&gt;</v>
      </c>
      <c r="F3020" s="6"/>
      <c r="G3020" s="6"/>
      <c r="H3020" s="6"/>
      <c r="I3020" s="6"/>
      <c r="J3020" s="6"/>
      <c r="K3020" s="6"/>
      <c r="L3020" s="6"/>
      <c r="M3020" s="6"/>
      <c r="N3020" s="6"/>
      <c r="O3020" s="6"/>
      <c r="P3020" s="6"/>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c r="BU3020" s="6"/>
      <c r="BV3020" s="6"/>
      <c r="BW3020" s="6"/>
      <c r="BX3020" s="6"/>
      <c r="BY3020" s="6"/>
      <c r="BZ3020" s="6"/>
      <c r="CA3020" s="6"/>
      <c r="CB3020" s="6"/>
      <c r="CC3020" s="6"/>
      <c r="CD3020" s="6"/>
      <c r="CE3020" s="6"/>
      <c r="CF3020" s="6"/>
      <c r="CG3020" s="6"/>
      <c r="CH3020" s="6"/>
      <c r="CI3020" s="6"/>
      <c r="CJ3020" s="6"/>
      <c r="CK3020" s="6"/>
      <c r="CL3020" s="6"/>
      <c r="CM3020" s="6"/>
      <c r="CN3020" s="6"/>
      <c r="CO3020" s="6"/>
      <c r="CP3020" s="6"/>
      <c r="CQ3020" s="6"/>
      <c r="CR3020" s="6"/>
      <c r="CS3020" s="6"/>
      <c r="CT3020" s="6"/>
      <c r="CU3020" s="6"/>
      <c r="CV3020" s="6"/>
      <c r="CW3020" s="6"/>
      <c r="CX3020" s="6"/>
      <c r="CY3020" s="6"/>
      <c r="CZ3020" s="6"/>
      <c r="DA3020" s="6"/>
      <c r="DB3020" s="6"/>
      <c r="DC3020" s="6"/>
      <c r="DD3020" s="6"/>
    </row>
    <row r="3021" spans="1:108" ht="12.75" hidden="1" customHeight="1" outlineLevel="7">
      <c r="A3021" s="104" t="s">
        <v>102</v>
      </c>
      <c r="B3021" s="28">
        <f t="shared" si="174"/>
        <v>0</v>
      </c>
      <c r="C3021" s="11"/>
      <c r="D3021" s="18" t="str">
        <f>"&lt;" &amp; A3021 &amp; "&gt;" &amp; TEXT(B3021,0) &amp; "&lt;/" &amp; A3021 &amp; "&gt;"</f>
        <v>&lt;Inverted_Flag&gt;0&lt;/Inverted_Flag&gt;</v>
      </c>
      <c r="F3021" s="6"/>
      <c r="G3021" s="6"/>
      <c r="H3021" s="6"/>
      <c r="I3021" s="6"/>
      <c r="J3021" s="6"/>
      <c r="K3021" s="6"/>
      <c r="L3021" s="6"/>
      <c r="M3021" s="6"/>
      <c r="N3021" s="6"/>
      <c r="O3021" s="6"/>
      <c r="P3021" s="6"/>
      <c r="Q3021" s="6"/>
      <c r="R3021" s="6"/>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c r="BU3021" s="6"/>
      <c r="BV3021" s="6"/>
      <c r="BW3021" s="6"/>
      <c r="BX3021" s="6"/>
      <c r="BY3021" s="6"/>
      <c r="BZ3021" s="6"/>
      <c r="CA3021" s="6"/>
      <c r="CB3021" s="6"/>
      <c r="CC3021" s="6"/>
      <c r="CD3021" s="6"/>
      <c r="CE3021" s="6"/>
      <c r="CF3021" s="6"/>
      <c r="CG3021" s="6"/>
      <c r="CH3021" s="6"/>
      <c r="CI3021" s="6"/>
      <c r="CJ3021" s="6"/>
      <c r="CK3021" s="6"/>
      <c r="CL3021" s="6"/>
      <c r="CM3021" s="6"/>
      <c r="CN3021" s="6"/>
      <c r="CO3021" s="6"/>
      <c r="CP3021" s="6"/>
      <c r="CQ3021" s="6"/>
      <c r="CR3021" s="6"/>
      <c r="CS3021" s="6"/>
      <c r="CT3021" s="6"/>
      <c r="CU3021" s="6"/>
      <c r="CV3021" s="6"/>
      <c r="CW3021" s="6"/>
      <c r="CX3021" s="6"/>
      <c r="CY3021" s="6"/>
      <c r="CZ3021" s="6"/>
      <c r="DA3021" s="6"/>
      <c r="DB3021" s="6"/>
      <c r="DC3021" s="6"/>
      <c r="DD3021" s="6"/>
    </row>
    <row r="3022" spans="1:108" ht="12.75" hidden="1" customHeight="1" outlineLevel="7">
      <c r="A3022" s="104" t="s">
        <v>4</v>
      </c>
      <c r="B3022" s="28">
        <f t="shared" si="174"/>
        <v>0</v>
      </c>
      <c r="C3022" s="11"/>
      <c r="D3022" s="18" t="str">
        <f t="shared" ref="D3022:D3027" si="175">"&lt;" &amp; A3022 &amp; "&gt;" &amp; TEXT(B3022,"0.000000") &amp; "&lt;/" &amp; A3022 &amp; "&gt;"</f>
        <v>&lt;Camber&gt;0.000000&lt;/Camber&gt;</v>
      </c>
      <c r="F3022" s="6"/>
      <c r="G3022" s="6"/>
      <c r="H3022" s="6"/>
      <c r="I3022" s="6"/>
      <c r="J3022" s="6"/>
      <c r="K3022" s="6"/>
      <c r="L3022" s="6"/>
      <c r="M3022" s="6"/>
      <c r="N3022" s="6"/>
      <c r="O3022" s="6"/>
      <c r="P3022" s="6"/>
      <c r="Q3022" s="6"/>
      <c r="R3022" s="6"/>
      <c r="S3022" s="6"/>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c r="BU3022" s="6"/>
      <c r="BV3022" s="6"/>
      <c r="BW3022" s="6"/>
      <c r="BX3022" s="6"/>
      <c r="BY3022" s="6"/>
      <c r="BZ3022" s="6"/>
      <c r="CA3022" s="6"/>
      <c r="CB3022" s="6"/>
      <c r="CC3022" s="6"/>
      <c r="CD3022" s="6"/>
      <c r="CE3022" s="6"/>
      <c r="CF3022" s="6"/>
      <c r="CG3022" s="6"/>
      <c r="CH3022" s="6"/>
      <c r="CI3022" s="6"/>
      <c r="CJ3022" s="6"/>
      <c r="CK3022" s="6"/>
      <c r="CL3022" s="6"/>
      <c r="CM3022" s="6"/>
      <c r="CN3022" s="6"/>
      <c r="CO3022" s="6"/>
      <c r="CP3022" s="6"/>
      <c r="CQ3022" s="6"/>
      <c r="CR3022" s="6"/>
      <c r="CS3022" s="6"/>
      <c r="CT3022" s="6"/>
      <c r="CU3022" s="6"/>
      <c r="CV3022" s="6"/>
      <c r="CW3022" s="6"/>
      <c r="CX3022" s="6"/>
      <c r="CY3022" s="6"/>
      <c r="CZ3022" s="6"/>
      <c r="DA3022" s="6"/>
      <c r="DB3022" s="6"/>
      <c r="DC3022" s="6"/>
      <c r="DD3022" s="6"/>
    </row>
    <row r="3023" spans="1:108" ht="12.75" hidden="1" customHeight="1" outlineLevel="7">
      <c r="A3023" s="104" t="s">
        <v>103</v>
      </c>
      <c r="B3023" s="28">
        <f t="shared" si="174"/>
        <v>0.5</v>
      </c>
      <c r="C3023" s="11"/>
      <c r="D3023" s="18" t="str">
        <f t="shared" si="175"/>
        <v>&lt;Camber_Loc&gt;0.500000&lt;/Camber_Loc&gt;</v>
      </c>
      <c r="F3023" s="6"/>
      <c r="G3023" s="6"/>
      <c r="H3023" s="6"/>
      <c r="I3023" s="6"/>
      <c r="J3023" s="6"/>
      <c r="K3023" s="6"/>
      <c r="L3023" s="6"/>
      <c r="M3023" s="6"/>
      <c r="N3023" s="6"/>
      <c r="O3023" s="6"/>
      <c r="P3023" s="6"/>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c r="BU3023" s="6"/>
      <c r="BV3023" s="6"/>
      <c r="BW3023" s="6"/>
      <c r="BX3023" s="6"/>
      <c r="BY3023" s="6"/>
      <c r="BZ3023" s="6"/>
      <c r="CA3023" s="6"/>
      <c r="CB3023" s="6"/>
      <c r="CC3023" s="6"/>
      <c r="CD3023" s="6"/>
      <c r="CE3023" s="6"/>
      <c r="CF3023" s="6"/>
      <c r="CG3023" s="6"/>
      <c r="CH3023" s="6"/>
      <c r="CI3023" s="6"/>
      <c r="CJ3023" s="6"/>
      <c r="CK3023" s="6"/>
      <c r="CL3023" s="6"/>
      <c r="CM3023" s="6"/>
      <c r="CN3023" s="6"/>
      <c r="CO3023" s="6"/>
      <c r="CP3023" s="6"/>
      <c r="CQ3023" s="6"/>
      <c r="CR3023" s="6"/>
      <c r="CS3023" s="6"/>
      <c r="CT3023" s="6"/>
      <c r="CU3023" s="6"/>
      <c r="CV3023" s="6"/>
      <c r="CW3023" s="6"/>
      <c r="CX3023" s="6"/>
      <c r="CY3023" s="6"/>
      <c r="CZ3023" s="6"/>
      <c r="DA3023" s="6"/>
      <c r="DB3023" s="6"/>
      <c r="DC3023" s="6"/>
      <c r="DD3023" s="6"/>
    </row>
    <row r="3024" spans="1:108" ht="12.75" hidden="1" customHeight="1" outlineLevel="7">
      <c r="A3024" s="104" t="s">
        <v>5</v>
      </c>
      <c r="B3024" s="28">
        <f t="shared" si="174"/>
        <v>0.2</v>
      </c>
      <c r="C3024" s="11"/>
      <c r="D3024" s="18" t="str">
        <f t="shared" si="175"/>
        <v>&lt;Thickness&gt;0.200000&lt;/Thickness&gt;</v>
      </c>
      <c r="F3024" s="6"/>
      <c r="G3024" s="6"/>
      <c r="H3024" s="6"/>
      <c r="I3024" s="6"/>
      <c r="J3024" s="6"/>
      <c r="K3024" s="6"/>
      <c r="L3024" s="6"/>
      <c r="M3024" s="6"/>
      <c r="N3024" s="6"/>
      <c r="O3024" s="6"/>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c r="BU3024" s="6"/>
      <c r="BV3024" s="6"/>
      <c r="BW3024" s="6"/>
      <c r="BX3024" s="6"/>
      <c r="BY3024" s="6"/>
      <c r="BZ3024" s="6"/>
      <c r="CA3024" s="6"/>
      <c r="CB3024" s="6"/>
      <c r="CC3024" s="6"/>
      <c r="CD3024" s="6"/>
      <c r="CE3024" s="6"/>
      <c r="CF3024" s="6"/>
      <c r="CG3024" s="6"/>
      <c r="CH3024" s="6"/>
      <c r="CI3024" s="6"/>
      <c r="CJ3024" s="6"/>
      <c r="CK3024" s="6"/>
      <c r="CL3024" s="6"/>
      <c r="CM3024" s="6"/>
      <c r="CN3024" s="6"/>
      <c r="CO3024" s="6"/>
      <c r="CP3024" s="6"/>
      <c r="CQ3024" s="6"/>
      <c r="CR3024" s="6"/>
      <c r="CS3024" s="6"/>
      <c r="CT3024" s="6"/>
      <c r="CU3024" s="6"/>
      <c r="CV3024" s="6"/>
      <c r="CW3024" s="6"/>
      <c r="CX3024" s="6"/>
      <c r="CY3024" s="6"/>
      <c r="CZ3024" s="6"/>
      <c r="DA3024" s="6"/>
      <c r="DB3024" s="6"/>
      <c r="DC3024" s="6"/>
      <c r="DD3024" s="6"/>
    </row>
    <row r="3025" spans="1:108" ht="12.75" hidden="1" customHeight="1" outlineLevel="7">
      <c r="A3025" s="104" t="s">
        <v>104</v>
      </c>
      <c r="B3025" s="28">
        <f t="shared" si="174"/>
        <v>0.3</v>
      </c>
      <c r="C3025" s="11"/>
      <c r="D3025" s="18" t="str">
        <f t="shared" si="175"/>
        <v>&lt;Thickness_Loc&gt;0.300000&lt;/Thickness_Loc&gt;</v>
      </c>
      <c r="F3025" s="6"/>
      <c r="G3025" s="6"/>
      <c r="H3025" s="6"/>
      <c r="I3025" s="6"/>
      <c r="J3025" s="6"/>
      <c r="K3025" s="6"/>
      <c r="L3025" s="6"/>
      <c r="M3025" s="6"/>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c r="BU3025" s="6"/>
      <c r="BV3025" s="6"/>
      <c r="BW3025" s="6"/>
      <c r="BX3025" s="6"/>
      <c r="BY3025" s="6"/>
      <c r="BZ3025" s="6"/>
      <c r="CA3025" s="6"/>
      <c r="CB3025" s="6"/>
      <c r="CC3025" s="6"/>
      <c r="CD3025" s="6"/>
      <c r="CE3025" s="6"/>
      <c r="CF3025" s="6"/>
      <c r="CG3025" s="6"/>
      <c r="CH3025" s="6"/>
      <c r="CI3025" s="6"/>
      <c r="CJ3025" s="6"/>
      <c r="CK3025" s="6"/>
      <c r="CL3025" s="6"/>
      <c r="CM3025" s="6"/>
      <c r="CN3025" s="6"/>
      <c r="CO3025" s="6"/>
      <c r="CP3025" s="6"/>
      <c r="CQ3025" s="6"/>
      <c r="CR3025" s="6"/>
      <c r="CS3025" s="6"/>
      <c r="CT3025" s="6"/>
      <c r="CU3025" s="6"/>
      <c r="CV3025" s="6"/>
      <c r="CW3025" s="6"/>
      <c r="CX3025" s="6"/>
      <c r="CY3025" s="6"/>
      <c r="CZ3025" s="6"/>
      <c r="DA3025" s="6"/>
      <c r="DB3025" s="6"/>
      <c r="DC3025" s="6"/>
      <c r="DD3025" s="6"/>
    </row>
    <row r="3026" spans="1:108" ht="12.75" hidden="1" customHeight="1" outlineLevel="7">
      <c r="A3026" s="104" t="s">
        <v>105</v>
      </c>
      <c r="B3026" s="28">
        <f t="shared" si="174"/>
        <v>4.4075999999999997E-2</v>
      </c>
      <c r="C3026" s="11"/>
      <c r="D3026" s="18" t="str">
        <f t="shared" si="175"/>
        <v>&lt;Radius_Le&gt;0.044076&lt;/Radius_Le&gt;</v>
      </c>
      <c r="F3026" s="6"/>
      <c r="G3026" s="6"/>
      <c r="H3026" s="6"/>
      <c r="I3026" s="6"/>
      <c r="J3026" s="6"/>
      <c r="K3026" s="6"/>
      <c r="L3026" s="6"/>
      <c r="M3026" s="6"/>
      <c r="N3026" s="6"/>
      <c r="O3026" s="6"/>
      <c r="P3026" s="6"/>
      <c r="Q3026" s="6"/>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c r="BU3026" s="6"/>
      <c r="BV3026" s="6"/>
      <c r="BW3026" s="6"/>
      <c r="BX3026" s="6"/>
      <c r="BY3026" s="6"/>
      <c r="BZ3026" s="6"/>
      <c r="CA3026" s="6"/>
      <c r="CB3026" s="6"/>
      <c r="CC3026" s="6"/>
      <c r="CD3026" s="6"/>
      <c r="CE3026" s="6"/>
      <c r="CF3026" s="6"/>
      <c r="CG3026" s="6"/>
      <c r="CH3026" s="6"/>
      <c r="CI3026" s="6"/>
      <c r="CJ3026" s="6"/>
      <c r="CK3026" s="6"/>
      <c r="CL3026" s="6"/>
      <c r="CM3026" s="6"/>
      <c r="CN3026" s="6"/>
      <c r="CO3026" s="6"/>
      <c r="CP3026" s="6"/>
      <c r="CQ3026" s="6"/>
      <c r="CR3026" s="6"/>
      <c r="CS3026" s="6"/>
      <c r="CT3026" s="6"/>
      <c r="CU3026" s="6"/>
      <c r="CV3026" s="6"/>
      <c r="CW3026" s="6"/>
      <c r="CX3026" s="6"/>
      <c r="CY3026" s="6"/>
      <c r="CZ3026" s="6"/>
      <c r="DA3026" s="6"/>
      <c r="DB3026" s="6"/>
      <c r="DC3026" s="6"/>
      <c r="DD3026" s="6"/>
    </row>
    <row r="3027" spans="1:108" ht="12.75" hidden="1" customHeight="1" outlineLevel="7">
      <c r="A3027" s="104" t="s">
        <v>106</v>
      </c>
      <c r="B3027" s="28">
        <f t="shared" si="174"/>
        <v>0</v>
      </c>
      <c r="C3027" s="11"/>
      <c r="D3027" s="18" t="str">
        <f t="shared" si="175"/>
        <v>&lt;Radius_Te&gt;0.000000&lt;/Radius_Te&gt;</v>
      </c>
      <c r="F3027" s="6"/>
      <c r="G3027" s="6"/>
      <c r="H3027" s="6"/>
      <c r="I3027" s="6"/>
      <c r="J3027" s="6"/>
      <c r="K3027" s="6"/>
      <c r="L3027" s="6"/>
      <c r="M3027" s="6"/>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c r="BU3027" s="6"/>
      <c r="BV3027" s="6"/>
      <c r="BW3027" s="6"/>
      <c r="BX3027" s="6"/>
      <c r="BY3027" s="6"/>
      <c r="BZ3027" s="6"/>
      <c r="CA3027" s="6"/>
      <c r="CB3027" s="6"/>
      <c r="CC3027" s="6"/>
      <c r="CD3027" s="6"/>
      <c r="CE3027" s="6"/>
      <c r="CF3027" s="6"/>
      <c r="CG3027" s="6"/>
      <c r="CH3027" s="6"/>
      <c r="CI3027" s="6"/>
      <c r="CJ3027" s="6"/>
      <c r="CK3027" s="6"/>
      <c r="CL3027" s="6"/>
      <c r="CM3027" s="6"/>
      <c r="CN3027" s="6"/>
      <c r="CO3027" s="6"/>
      <c r="CP3027" s="6"/>
      <c r="CQ3027" s="6"/>
      <c r="CR3027" s="6"/>
      <c r="CS3027" s="6"/>
      <c r="CT3027" s="6"/>
      <c r="CU3027" s="6"/>
      <c r="CV3027" s="6"/>
      <c r="CW3027" s="6"/>
      <c r="CX3027" s="6"/>
      <c r="CY3027" s="6"/>
      <c r="CZ3027" s="6"/>
      <c r="DA3027" s="6"/>
      <c r="DB3027" s="6"/>
      <c r="DC3027" s="6"/>
      <c r="DD3027" s="6"/>
    </row>
    <row r="3028" spans="1:108" ht="12.75" hidden="1" customHeight="1" outlineLevel="7">
      <c r="A3028" s="104" t="s">
        <v>107</v>
      </c>
      <c r="B3028" s="28">
        <f t="shared" si="174"/>
        <v>63</v>
      </c>
      <c r="C3028" s="11"/>
      <c r="D3028" s="18" t="str">
        <f>"&lt;" &amp; A3028 &amp; "&gt;" &amp; TEXT(B3028,0) &amp; "&lt;/" &amp; A3028 &amp; "&gt;"</f>
        <v>&lt;Six_Series&gt;63&lt;/Six_Series&gt;</v>
      </c>
      <c r="F3028" s="6"/>
      <c r="G3028" s="6"/>
      <c r="H3028" s="6"/>
      <c r="I3028" s="6"/>
      <c r="J3028" s="6"/>
      <c r="K3028" s="6"/>
      <c r="L3028" s="6"/>
      <c r="M3028" s="6"/>
      <c r="N3028" s="6"/>
      <c r="O3028" s="6"/>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c r="BU3028" s="6"/>
      <c r="BV3028" s="6"/>
      <c r="BW3028" s="6"/>
      <c r="BX3028" s="6"/>
      <c r="BY3028" s="6"/>
      <c r="BZ3028" s="6"/>
      <c r="CA3028" s="6"/>
      <c r="CB3028" s="6"/>
      <c r="CC3028" s="6"/>
      <c r="CD3028" s="6"/>
      <c r="CE3028" s="6"/>
      <c r="CF3028" s="6"/>
      <c r="CG3028" s="6"/>
      <c r="CH3028" s="6"/>
      <c r="CI3028" s="6"/>
      <c r="CJ3028" s="6"/>
      <c r="CK3028" s="6"/>
      <c r="CL3028" s="6"/>
      <c r="CM3028" s="6"/>
      <c r="CN3028" s="6"/>
      <c r="CO3028" s="6"/>
      <c r="CP3028" s="6"/>
      <c r="CQ3028" s="6"/>
      <c r="CR3028" s="6"/>
      <c r="CS3028" s="6"/>
      <c r="CT3028" s="6"/>
      <c r="CU3028" s="6"/>
      <c r="CV3028" s="6"/>
      <c r="CW3028" s="6"/>
      <c r="CX3028" s="6"/>
      <c r="CY3028" s="6"/>
      <c r="CZ3028" s="6"/>
      <c r="DA3028" s="6"/>
      <c r="DB3028" s="6"/>
      <c r="DC3028" s="6"/>
      <c r="DD3028" s="6"/>
    </row>
    <row r="3029" spans="1:108" ht="12.75" hidden="1" customHeight="1" outlineLevel="7">
      <c r="A3029" s="104" t="s">
        <v>108</v>
      </c>
      <c r="B3029" s="28">
        <f t="shared" si="174"/>
        <v>0</v>
      </c>
      <c r="C3029" s="11"/>
      <c r="D3029" s="18" t="str">
        <f>"&lt;" &amp; A3029 &amp; "&gt;" &amp; TEXT(B3029,"0.000000") &amp; "&lt;/" &amp; A3029 &amp; "&gt;"</f>
        <v>&lt;Ideal_Cl&gt;0.000000&lt;/Ideal_Cl&gt;</v>
      </c>
      <c r="F3029" s="6"/>
      <c r="G3029" s="6"/>
      <c r="H3029" s="6"/>
      <c r="I3029" s="6"/>
      <c r="J3029" s="6"/>
      <c r="K3029" s="6"/>
      <c r="L3029" s="6"/>
      <c r="M3029" s="6"/>
      <c r="N3029" s="6"/>
      <c r="O3029" s="6"/>
      <c r="P3029" s="6"/>
      <c r="Q3029" s="6"/>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c r="BU3029" s="6"/>
      <c r="BV3029" s="6"/>
      <c r="BW3029" s="6"/>
      <c r="BX3029" s="6"/>
      <c r="BY3029" s="6"/>
      <c r="BZ3029" s="6"/>
      <c r="CA3029" s="6"/>
      <c r="CB3029" s="6"/>
      <c r="CC3029" s="6"/>
      <c r="CD3029" s="6"/>
      <c r="CE3029" s="6"/>
      <c r="CF3029" s="6"/>
      <c r="CG3029" s="6"/>
      <c r="CH3029" s="6"/>
      <c r="CI3029" s="6"/>
      <c r="CJ3029" s="6"/>
      <c r="CK3029" s="6"/>
      <c r="CL3029" s="6"/>
      <c r="CM3029" s="6"/>
      <c r="CN3029" s="6"/>
      <c r="CO3029" s="6"/>
      <c r="CP3029" s="6"/>
      <c r="CQ3029" s="6"/>
      <c r="CR3029" s="6"/>
      <c r="CS3029" s="6"/>
      <c r="CT3029" s="6"/>
      <c r="CU3029" s="6"/>
      <c r="CV3029" s="6"/>
      <c r="CW3029" s="6"/>
      <c r="CX3029" s="6"/>
      <c r="CY3029" s="6"/>
      <c r="CZ3029" s="6"/>
      <c r="DA3029" s="6"/>
      <c r="DB3029" s="6"/>
      <c r="DC3029" s="6"/>
      <c r="DD3029" s="6"/>
    </row>
    <row r="3030" spans="1:108" ht="12.75" hidden="1" customHeight="1" outlineLevel="7">
      <c r="A3030" s="104" t="s">
        <v>109</v>
      </c>
      <c r="B3030" s="28">
        <f t="shared" si="174"/>
        <v>0</v>
      </c>
      <c r="C3030" s="11"/>
      <c r="D3030" s="18" t="str">
        <f>"&lt;" &amp; A3030 &amp; "&gt;" &amp; TEXT(B3030,"0.000000") &amp; "&lt;/" &amp; A3030 &amp; "&gt;"</f>
        <v>&lt;A&gt;0.000000&lt;/A&gt;</v>
      </c>
      <c r="F3030" s="6"/>
      <c r="G3030" s="6"/>
      <c r="H3030" s="6"/>
      <c r="I3030" s="6"/>
      <c r="J3030" s="6"/>
      <c r="K3030" s="6"/>
      <c r="L3030" s="6"/>
      <c r="M3030" s="6"/>
      <c r="N3030" s="6"/>
      <c r="O3030" s="6"/>
      <c r="P3030" s="6"/>
      <c r="Q3030" s="6"/>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c r="BU3030" s="6"/>
      <c r="BV3030" s="6"/>
      <c r="BW3030" s="6"/>
      <c r="BX3030" s="6"/>
      <c r="BY3030" s="6"/>
      <c r="BZ3030" s="6"/>
      <c r="CA3030" s="6"/>
      <c r="CB3030" s="6"/>
      <c r="CC3030" s="6"/>
      <c r="CD3030" s="6"/>
      <c r="CE3030" s="6"/>
      <c r="CF3030" s="6"/>
      <c r="CG3030" s="6"/>
      <c r="CH3030" s="6"/>
      <c r="CI3030" s="6"/>
      <c r="CJ3030" s="6"/>
      <c r="CK3030" s="6"/>
      <c r="CL3030" s="6"/>
      <c r="CM3030" s="6"/>
      <c r="CN3030" s="6"/>
      <c r="CO3030" s="6"/>
      <c r="CP3030" s="6"/>
      <c r="CQ3030" s="6"/>
      <c r="CR3030" s="6"/>
      <c r="CS3030" s="6"/>
      <c r="CT3030" s="6"/>
      <c r="CU3030" s="6"/>
      <c r="CV3030" s="6"/>
      <c r="CW3030" s="6"/>
      <c r="CX3030" s="6"/>
      <c r="CY3030" s="6"/>
      <c r="CZ3030" s="6"/>
      <c r="DA3030" s="6"/>
      <c r="DB3030" s="6"/>
      <c r="DC3030" s="6"/>
      <c r="DD3030" s="6"/>
    </row>
    <row r="3031" spans="1:108" ht="12.75" hidden="1" customHeight="1" outlineLevel="7">
      <c r="A3031" s="104" t="s">
        <v>110</v>
      </c>
      <c r="B3031" s="28">
        <f t="shared" si="174"/>
        <v>0</v>
      </c>
      <c r="C3031" s="11"/>
      <c r="D3031" s="18" t="str">
        <f>"&lt;" &amp; A3031 &amp; "&gt;" &amp; TEXT(B3031,0) &amp; "&lt;/" &amp; A3031 &amp; "&gt;"</f>
        <v>&lt;Slat_Flag&gt;0&lt;/Slat_Flag&gt;</v>
      </c>
      <c r="F3031" s="6"/>
      <c r="G3031" s="6"/>
      <c r="H3031" s="6"/>
      <c r="I3031" s="6"/>
      <c r="J3031" s="6"/>
      <c r="K3031" s="6"/>
      <c r="L3031" s="6"/>
      <c r="M3031" s="6"/>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c r="BU3031" s="6"/>
      <c r="BV3031" s="6"/>
      <c r="BW3031" s="6"/>
      <c r="BX3031" s="6"/>
      <c r="BY3031" s="6"/>
      <c r="BZ3031" s="6"/>
      <c r="CA3031" s="6"/>
      <c r="CB3031" s="6"/>
      <c r="CC3031" s="6"/>
      <c r="CD3031" s="6"/>
      <c r="CE3031" s="6"/>
      <c r="CF3031" s="6"/>
      <c r="CG3031" s="6"/>
      <c r="CH3031" s="6"/>
      <c r="CI3031" s="6"/>
      <c r="CJ3031" s="6"/>
      <c r="CK3031" s="6"/>
      <c r="CL3031" s="6"/>
      <c r="CM3031" s="6"/>
      <c r="CN3031" s="6"/>
      <c r="CO3031" s="6"/>
      <c r="CP3031" s="6"/>
      <c r="CQ3031" s="6"/>
      <c r="CR3031" s="6"/>
      <c r="CS3031" s="6"/>
      <c r="CT3031" s="6"/>
      <c r="CU3031" s="6"/>
      <c r="CV3031" s="6"/>
      <c r="CW3031" s="6"/>
      <c r="CX3031" s="6"/>
      <c r="CY3031" s="6"/>
      <c r="CZ3031" s="6"/>
      <c r="DA3031" s="6"/>
      <c r="DB3031" s="6"/>
      <c r="DC3031" s="6"/>
      <c r="DD3031" s="6"/>
    </row>
    <row r="3032" spans="1:108" ht="12.75" hidden="1" customHeight="1" outlineLevel="7">
      <c r="A3032" s="104" t="s">
        <v>111</v>
      </c>
      <c r="B3032" s="28">
        <f t="shared" si="174"/>
        <v>0</v>
      </c>
      <c r="C3032" s="11"/>
      <c r="D3032" s="18" t="str">
        <f>"&lt;" &amp; A3032 &amp; "&gt;" &amp; TEXT(B3032,0) &amp; "&lt;/" &amp; A3032 &amp; "&gt;"</f>
        <v>&lt;Slat_Shear_Flag&gt;0&lt;/Slat_Shear_Flag&gt;</v>
      </c>
      <c r="F3032" s="6"/>
      <c r="G3032" s="6"/>
      <c r="H3032" s="6"/>
      <c r="I3032" s="6"/>
      <c r="J3032" s="6"/>
      <c r="K3032" s="6"/>
      <c r="L3032" s="6"/>
      <c r="M3032" s="6"/>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c r="BU3032" s="6"/>
      <c r="BV3032" s="6"/>
      <c r="BW3032" s="6"/>
      <c r="BX3032" s="6"/>
      <c r="BY3032" s="6"/>
      <c r="BZ3032" s="6"/>
      <c r="CA3032" s="6"/>
      <c r="CB3032" s="6"/>
      <c r="CC3032" s="6"/>
      <c r="CD3032" s="6"/>
      <c r="CE3032" s="6"/>
      <c r="CF3032" s="6"/>
      <c r="CG3032" s="6"/>
      <c r="CH3032" s="6"/>
      <c r="CI3032" s="6"/>
      <c r="CJ3032" s="6"/>
      <c r="CK3032" s="6"/>
      <c r="CL3032" s="6"/>
      <c r="CM3032" s="6"/>
      <c r="CN3032" s="6"/>
      <c r="CO3032" s="6"/>
      <c r="CP3032" s="6"/>
      <c r="CQ3032" s="6"/>
      <c r="CR3032" s="6"/>
      <c r="CS3032" s="6"/>
      <c r="CT3032" s="6"/>
      <c r="CU3032" s="6"/>
      <c r="CV3032" s="6"/>
      <c r="CW3032" s="6"/>
      <c r="CX3032" s="6"/>
      <c r="CY3032" s="6"/>
      <c r="CZ3032" s="6"/>
      <c r="DA3032" s="6"/>
      <c r="DB3032" s="6"/>
      <c r="DC3032" s="6"/>
      <c r="DD3032" s="6"/>
    </row>
    <row r="3033" spans="1:108" ht="12.75" hidden="1" customHeight="1" outlineLevel="7">
      <c r="A3033" s="104" t="s">
        <v>112</v>
      </c>
      <c r="B3033" s="28">
        <f t="shared" si="174"/>
        <v>0.25</v>
      </c>
      <c r="C3033" s="11"/>
      <c r="D3033" s="18" t="str">
        <f>"&lt;" &amp; A3033 &amp; "&gt;" &amp; TEXT(B3033,"0.000000") &amp; "&lt;/" &amp; A3033 &amp; "&gt;"</f>
        <v>&lt;Slat_Chord&gt;0.250000&lt;/Slat_Chord&gt;</v>
      </c>
      <c r="F3033" s="6"/>
      <c r="G3033" s="6"/>
      <c r="H3033" s="6"/>
      <c r="I3033" s="6"/>
      <c r="J3033" s="6"/>
      <c r="K3033" s="6"/>
      <c r="L3033" s="6"/>
      <c r="M3033" s="6"/>
      <c r="N3033" s="6"/>
      <c r="O3033" s="6"/>
      <c r="P3033" s="6"/>
      <c r="Q3033" s="6"/>
      <c r="R3033" s="6"/>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c r="BU3033" s="6"/>
      <c r="BV3033" s="6"/>
      <c r="BW3033" s="6"/>
      <c r="BX3033" s="6"/>
      <c r="BY3033" s="6"/>
      <c r="BZ3033" s="6"/>
      <c r="CA3033" s="6"/>
      <c r="CB3033" s="6"/>
      <c r="CC3033" s="6"/>
      <c r="CD3033" s="6"/>
      <c r="CE3033" s="6"/>
      <c r="CF3033" s="6"/>
      <c r="CG3033" s="6"/>
      <c r="CH3033" s="6"/>
      <c r="CI3033" s="6"/>
      <c r="CJ3033" s="6"/>
      <c r="CK3033" s="6"/>
      <c r="CL3033" s="6"/>
      <c r="CM3033" s="6"/>
      <c r="CN3033" s="6"/>
      <c r="CO3033" s="6"/>
      <c r="CP3033" s="6"/>
      <c r="CQ3033" s="6"/>
      <c r="CR3033" s="6"/>
      <c r="CS3033" s="6"/>
      <c r="CT3033" s="6"/>
      <c r="CU3033" s="6"/>
      <c r="CV3033" s="6"/>
      <c r="CW3033" s="6"/>
      <c r="CX3033" s="6"/>
      <c r="CY3033" s="6"/>
      <c r="CZ3033" s="6"/>
      <c r="DA3033" s="6"/>
      <c r="DB3033" s="6"/>
      <c r="DC3033" s="6"/>
      <c r="DD3033" s="6"/>
    </row>
    <row r="3034" spans="1:108" ht="12.75" hidden="1" customHeight="1" outlineLevel="7">
      <c r="A3034" s="104" t="s">
        <v>113</v>
      </c>
      <c r="B3034" s="28">
        <f t="shared" si="174"/>
        <v>10</v>
      </c>
      <c r="C3034" s="11"/>
      <c r="D3034" s="18" t="str">
        <f>"&lt;" &amp; A3034 &amp; "&gt;" &amp; TEXT(B3034,"0.000000") &amp; "&lt;/" &amp; A3034 &amp; "&gt;"</f>
        <v>&lt;Slat_Angle&gt;10.000000&lt;/Slat_Angle&gt;</v>
      </c>
      <c r="F3034" s="6"/>
      <c r="G3034" s="6"/>
      <c r="H3034" s="6"/>
      <c r="I3034" s="6"/>
      <c r="J3034" s="6"/>
      <c r="K3034" s="6"/>
      <c r="L3034" s="6"/>
      <c r="M3034" s="6"/>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c r="BU3034" s="6"/>
      <c r="BV3034" s="6"/>
      <c r="BW3034" s="6"/>
      <c r="BX3034" s="6"/>
      <c r="BY3034" s="6"/>
      <c r="BZ3034" s="6"/>
      <c r="CA3034" s="6"/>
      <c r="CB3034" s="6"/>
      <c r="CC3034" s="6"/>
      <c r="CD3034" s="6"/>
      <c r="CE3034" s="6"/>
      <c r="CF3034" s="6"/>
      <c r="CG3034" s="6"/>
      <c r="CH3034" s="6"/>
      <c r="CI3034" s="6"/>
      <c r="CJ3034" s="6"/>
      <c r="CK3034" s="6"/>
      <c r="CL3034" s="6"/>
      <c r="CM3034" s="6"/>
      <c r="CN3034" s="6"/>
      <c r="CO3034" s="6"/>
      <c r="CP3034" s="6"/>
      <c r="CQ3034" s="6"/>
      <c r="CR3034" s="6"/>
      <c r="CS3034" s="6"/>
      <c r="CT3034" s="6"/>
      <c r="CU3034" s="6"/>
      <c r="CV3034" s="6"/>
      <c r="CW3034" s="6"/>
      <c r="CX3034" s="6"/>
      <c r="CY3034" s="6"/>
      <c r="CZ3034" s="6"/>
      <c r="DA3034" s="6"/>
      <c r="DB3034" s="6"/>
      <c r="DC3034" s="6"/>
      <c r="DD3034" s="6"/>
    </row>
    <row r="3035" spans="1:108" ht="12.75" hidden="1" customHeight="1" outlineLevel="7">
      <c r="A3035" s="104" t="s">
        <v>114</v>
      </c>
      <c r="B3035" s="28">
        <f t="shared" si="174"/>
        <v>0</v>
      </c>
      <c r="C3035" s="11"/>
      <c r="D3035" s="18" t="str">
        <f>"&lt;" &amp; A3035 &amp; "&gt;" &amp; TEXT(B3035,0) &amp; "&lt;/" &amp; A3035 &amp; "&gt;"</f>
        <v>&lt;Flap_Flag&gt;0&lt;/Flap_Flag&gt;</v>
      </c>
      <c r="F3035" s="6"/>
      <c r="G3035" s="6"/>
      <c r="H3035" s="6"/>
      <c r="I3035" s="6"/>
      <c r="J3035" s="6"/>
      <c r="K3035" s="6"/>
      <c r="L3035" s="6"/>
      <c r="M3035" s="6"/>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c r="BU3035" s="6"/>
      <c r="BV3035" s="6"/>
      <c r="BW3035" s="6"/>
      <c r="BX3035" s="6"/>
      <c r="BY3035" s="6"/>
      <c r="BZ3035" s="6"/>
      <c r="CA3035" s="6"/>
      <c r="CB3035" s="6"/>
      <c r="CC3035" s="6"/>
      <c r="CD3035" s="6"/>
      <c r="CE3035" s="6"/>
      <c r="CF3035" s="6"/>
      <c r="CG3035" s="6"/>
      <c r="CH3035" s="6"/>
      <c r="CI3035" s="6"/>
      <c r="CJ3035" s="6"/>
      <c r="CK3035" s="6"/>
      <c r="CL3035" s="6"/>
      <c r="CM3035" s="6"/>
      <c r="CN3035" s="6"/>
      <c r="CO3035" s="6"/>
      <c r="CP3035" s="6"/>
      <c r="CQ3035" s="6"/>
      <c r="CR3035" s="6"/>
      <c r="CS3035" s="6"/>
      <c r="CT3035" s="6"/>
      <c r="CU3035" s="6"/>
      <c r="CV3035" s="6"/>
      <c r="CW3035" s="6"/>
      <c r="CX3035" s="6"/>
      <c r="CY3035" s="6"/>
      <c r="CZ3035" s="6"/>
      <c r="DA3035" s="6"/>
      <c r="DB3035" s="6"/>
      <c r="DC3035" s="6"/>
      <c r="DD3035" s="6"/>
    </row>
    <row r="3036" spans="1:108" ht="12.75" hidden="1" customHeight="1" outlineLevel="7">
      <c r="A3036" s="104" t="s">
        <v>115</v>
      </c>
      <c r="B3036" s="28">
        <f t="shared" si="174"/>
        <v>0</v>
      </c>
      <c r="C3036" s="11"/>
      <c r="D3036" s="18" t="str">
        <f>"&lt;" &amp; A3036 &amp; "&gt;" &amp; TEXT(B3036,0) &amp; "&lt;/" &amp; A3036 &amp; "&gt;"</f>
        <v>&lt;Flap_Shear_Flag&gt;0&lt;/Flap_Shear_Flag&gt;</v>
      </c>
      <c r="F3036" s="6"/>
      <c r="G3036" s="6"/>
      <c r="H3036" s="6"/>
      <c r="I3036" s="6"/>
      <c r="J3036" s="6"/>
      <c r="K3036" s="6"/>
      <c r="L3036" s="6"/>
      <c r="M3036" s="6"/>
      <c r="N3036" s="6"/>
      <c r="O3036" s="6"/>
      <c r="P3036" s="6"/>
      <c r="Q3036" s="6"/>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c r="BU3036" s="6"/>
      <c r="BV3036" s="6"/>
      <c r="BW3036" s="6"/>
      <c r="BX3036" s="6"/>
      <c r="BY3036" s="6"/>
      <c r="BZ3036" s="6"/>
      <c r="CA3036" s="6"/>
      <c r="CB3036" s="6"/>
      <c r="CC3036" s="6"/>
      <c r="CD3036" s="6"/>
      <c r="CE3036" s="6"/>
      <c r="CF3036" s="6"/>
      <c r="CG3036" s="6"/>
      <c r="CH3036" s="6"/>
      <c r="CI3036" s="6"/>
      <c r="CJ3036" s="6"/>
      <c r="CK3036" s="6"/>
      <c r="CL3036" s="6"/>
      <c r="CM3036" s="6"/>
      <c r="CN3036" s="6"/>
      <c r="CO3036" s="6"/>
      <c r="CP3036" s="6"/>
      <c r="CQ3036" s="6"/>
      <c r="CR3036" s="6"/>
      <c r="CS3036" s="6"/>
      <c r="CT3036" s="6"/>
      <c r="CU3036" s="6"/>
      <c r="CV3036" s="6"/>
      <c r="CW3036" s="6"/>
      <c r="CX3036" s="6"/>
      <c r="CY3036" s="6"/>
      <c r="CZ3036" s="6"/>
      <c r="DA3036" s="6"/>
      <c r="DB3036" s="6"/>
      <c r="DC3036" s="6"/>
      <c r="DD3036" s="6"/>
    </row>
    <row r="3037" spans="1:108" ht="12.75" hidden="1" customHeight="1" outlineLevel="7">
      <c r="A3037" s="104" t="s">
        <v>116</v>
      </c>
      <c r="B3037" s="28">
        <f t="shared" si="174"/>
        <v>0.25</v>
      </c>
      <c r="C3037" s="11"/>
      <c r="D3037" s="18" t="str">
        <f>"&lt;" &amp; A3037 &amp; "&gt;" &amp; TEXT(B3037,"0.000000") &amp; "&lt;/" &amp; A3037 &amp; "&gt;"</f>
        <v>&lt;Flap_Chord&gt;0.250000&lt;/Flap_Chord&gt;</v>
      </c>
      <c r="F3037" s="6"/>
      <c r="G3037" s="6"/>
      <c r="H3037" s="6"/>
      <c r="I3037" s="6"/>
      <c r="J3037" s="6"/>
      <c r="K3037" s="6"/>
      <c r="L3037" s="6"/>
      <c r="M3037" s="6"/>
      <c r="N3037" s="6"/>
      <c r="O3037" s="6"/>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c r="BU3037" s="6"/>
      <c r="BV3037" s="6"/>
      <c r="BW3037" s="6"/>
      <c r="BX3037" s="6"/>
      <c r="BY3037" s="6"/>
      <c r="BZ3037" s="6"/>
      <c r="CA3037" s="6"/>
      <c r="CB3037" s="6"/>
      <c r="CC3037" s="6"/>
      <c r="CD3037" s="6"/>
      <c r="CE3037" s="6"/>
      <c r="CF3037" s="6"/>
      <c r="CG3037" s="6"/>
      <c r="CH3037" s="6"/>
      <c r="CI3037" s="6"/>
      <c r="CJ3037" s="6"/>
      <c r="CK3037" s="6"/>
      <c r="CL3037" s="6"/>
      <c r="CM3037" s="6"/>
      <c r="CN3037" s="6"/>
      <c r="CO3037" s="6"/>
      <c r="CP3037" s="6"/>
      <c r="CQ3037" s="6"/>
      <c r="CR3037" s="6"/>
      <c r="CS3037" s="6"/>
      <c r="CT3037" s="6"/>
      <c r="CU3037" s="6"/>
      <c r="CV3037" s="6"/>
      <c r="CW3037" s="6"/>
      <c r="CX3037" s="6"/>
      <c r="CY3037" s="6"/>
      <c r="CZ3037" s="6"/>
      <c r="DA3037" s="6"/>
      <c r="DB3037" s="6"/>
      <c r="DC3037" s="6"/>
      <c r="DD3037" s="6"/>
    </row>
    <row r="3038" spans="1:108" ht="12.75" hidden="1" customHeight="1" outlineLevel="7">
      <c r="A3038" s="104" t="s">
        <v>117</v>
      </c>
      <c r="B3038" s="28">
        <f t="shared" si="174"/>
        <v>10</v>
      </c>
      <c r="C3038" s="11"/>
      <c r="D3038" s="18" t="str">
        <f>"&lt;" &amp; A3038 &amp; "&gt;" &amp; TEXT(B3038,"0.000000") &amp; "&lt;/" &amp; A3038 &amp; "&gt;"</f>
        <v>&lt;Flap_Angle&gt;10.000000&lt;/Flap_Angle&gt;</v>
      </c>
      <c r="F3038" s="6"/>
      <c r="G3038" s="6"/>
      <c r="H3038" s="6"/>
      <c r="I3038" s="6"/>
      <c r="J3038" s="6"/>
      <c r="K3038" s="6"/>
      <c r="L3038" s="6"/>
      <c r="M3038" s="6"/>
      <c r="N3038" s="6"/>
      <c r="O3038" s="6"/>
      <c r="P3038" s="6"/>
      <c r="Q3038" s="6"/>
      <c r="R3038" s="6"/>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c r="BU3038" s="6"/>
      <c r="BV3038" s="6"/>
      <c r="BW3038" s="6"/>
      <c r="BX3038" s="6"/>
      <c r="BY3038" s="6"/>
      <c r="BZ3038" s="6"/>
      <c r="CA3038" s="6"/>
      <c r="CB3038" s="6"/>
      <c r="CC3038" s="6"/>
      <c r="CD3038" s="6"/>
      <c r="CE3038" s="6"/>
      <c r="CF3038" s="6"/>
      <c r="CG3038" s="6"/>
      <c r="CH3038" s="6"/>
      <c r="CI3038" s="6"/>
      <c r="CJ3038" s="6"/>
      <c r="CK3038" s="6"/>
      <c r="CL3038" s="6"/>
      <c r="CM3038" s="6"/>
      <c r="CN3038" s="6"/>
      <c r="CO3038" s="6"/>
      <c r="CP3038" s="6"/>
      <c r="CQ3038" s="6"/>
      <c r="CR3038" s="6"/>
      <c r="CS3038" s="6"/>
      <c r="CT3038" s="6"/>
      <c r="CU3038" s="6"/>
      <c r="CV3038" s="6"/>
      <c r="CW3038" s="6"/>
      <c r="CX3038" s="6"/>
      <c r="CY3038" s="6"/>
      <c r="CZ3038" s="6"/>
      <c r="DA3038" s="6"/>
      <c r="DB3038" s="6"/>
      <c r="DC3038" s="6"/>
      <c r="DD3038" s="6"/>
    </row>
    <row r="3039" spans="1:108" ht="12.75" hidden="1" customHeight="1" outlineLevel="7">
      <c r="A3039" s="104" t="s">
        <v>118</v>
      </c>
      <c r="B3039" s="100"/>
      <c r="C3039" s="11"/>
      <c r="D3039" s="6" t="str">
        <f>"&lt;" &amp; A3039 &amp; "&gt;"</f>
        <v>&lt;/Airfoil&gt;</v>
      </c>
      <c r="F3039" s="6"/>
      <c r="G3039" s="6"/>
      <c r="H3039" s="6"/>
      <c r="I3039" s="6"/>
      <c r="J3039" s="6"/>
      <c r="K3039" s="6"/>
      <c r="L3039" s="6"/>
      <c r="M3039" s="6"/>
      <c r="N3039" s="6"/>
      <c r="O3039" s="6"/>
      <c r="P3039" s="6"/>
      <c r="Q3039" s="6"/>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c r="BU3039" s="6"/>
      <c r="BV3039" s="6"/>
      <c r="BW3039" s="6"/>
      <c r="BX3039" s="6"/>
      <c r="BY3039" s="6"/>
      <c r="BZ3039" s="6"/>
      <c r="CA3039" s="6"/>
      <c r="CB3039" s="6"/>
      <c r="CC3039" s="6"/>
      <c r="CD3039" s="6"/>
      <c r="CE3039" s="6"/>
      <c r="CF3039" s="6"/>
      <c r="CG3039" s="6"/>
      <c r="CH3039" s="6"/>
      <c r="CI3039" s="6"/>
      <c r="CJ3039" s="6"/>
      <c r="CK3039" s="6"/>
      <c r="CL3039" s="6"/>
      <c r="CM3039" s="6"/>
      <c r="CN3039" s="6"/>
      <c r="CO3039" s="6"/>
      <c r="CP3039" s="6"/>
      <c r="CQ3039" s="6"/>
      <c r="CR3039" s="6"/>
      <c r="CS3039" s="6"/>
      <c r="CT3039" s="6"/>
      <c r="CU3039" s="6"/>
      <c r="CV3039" s="6"/>
      <c r="CW3039" s="6"/>
      <c r="CX3039" s="6"/>
      <c r="CY3039" s="6"/>
      <c r="CZ3039" s="6"/>
      <c r="DA3039" s="6"/>
      <c r="DB3039" s="6"/>
      <c r="DC3039" s="6"/>
      <c r="DD3039" s="6"/>
    </row>
    <row r="3040" spans="1:108" ht="12.75" hidden="1" customHeight="1" outlineLevel="6">
      <c r="A3040" s="104" t="s">
        <v>308</v>
      </c>
      <c r="B3040" s="100"/>
      <c r="C3040" s="11"/>
      <c r="D3040" s="6" t="str">
        <f>"&lt;" &amp; A3040 &amp; "&gt;"</f>
        <v>&lt;/Sect_Parms&gt;</v>
      </c>
      <c r="F3040" s="6"/>
      <c r="G3040" s="6"/>
      <c r="H3040" s="6"/>
      <c r="I3040" s="6"/>
      <c r="J3040" s="6"/>
      <c r="K3040" s="6"/>
      <c r="L3040" s="6"/>
      <c r="M3040" s="6"/>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c r="BU3040" s="6"/>
      <c r="BV3040" s="6"/>
      <c r="BW3040" s="6"/>
      <c r="BX3040" s="6"/>
      <c r="BY3040" s="6"/>
      <c r="BZ3040" s="6"/>
      <c r="CA3040" s="6"/>
      <c r="CB3040" s="6"/>
      <c r="CC3040" s="6"/>
      <c r="CD3040" s="6"/>
      <c r="CE3040" s="6"/>
      <c r="CF3040" s="6"/>
      <c r="CG3040" s="6"/>
      <c r="CH3040" s="6"/>
      <c r="CI3040" s="6"/>
      <c r="CJ3040" s="6"/>
      <c r="CK3040" s="6"/>
      <c r="CL3040" s="6"/>
      <c r="CM3040" s="6"/>
      <c r="CN3040" s="6"/>
      <c r="CO3040" s="6"/>
      <c r="CP3040" s="6"/>
      <c r="CQ3040" s="6"/>
      <c r="CR3040" s="6"/>
      <c r="CS3040" s="6"/>
      <c r="CT3040" s="6"/>
      <c r="CU3040" s="6"/>
      <c r="CV3040" s="6"/>
      <c r="CW3040" s="6"/>
      <c r="CX3040" s="6"/>
      <c r="CY3040" s="6"/>
      <c r="CZ3040" s="6"/>
      <c r="DA3040" s="6"/>
      <c r="DB3040" s="6"/>
      <c r="DC3040" s="6"/>
      <c r="DD3040" s="6"/>
    </row>
    <row r="3041" spans="1:108" ht="12.75" hidden="1" customHeight="1" outlineLevel="5">
      <c r="A3041" s="104" t="s">
        <v>305</v>
      </c>
      <c r="B3041" s="110" t="s">
        <v>387</v>
      </c>
      <c r="C3041" s="11"/>
      <c r="D3041" s="6" t="str">
        <f>"&lt;" &amp; A3041 &amp; "&gt;"</f>
        <v>&lt;Sect_Parms&gt;</v>
      </c>
      <c r="F3041" s="6"/>
      <c r="G3041" s="6"/>
      <c r="H3041" s="6"/>
      <c r="I3041" s="6"/>
      <c r="J3041" s="6"/>
      <c r="K3041" s="6"/>
      <c r="L3041" s="6"/>
      <c r="M3041" s="6"/>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c r="BU3041" s="6"/>
      <c r="BV3041" s="6"/>
      <c r="BW3041" s="6"/>
      <c r="BX3041" s="6"/>
      <c r="BY3041" s="6"/>
      <c r="BZ3041" s="6"/>
      <c r="CA3041" s="6"/>
      <c r="CB3041" s="6"/>
      <c r="CC3041" s="6"/>
      <c r="CD3041" s="6"/>
      <c r="CE3041" s="6"/>
      <c r="CF3041" s="6"/>
      <c r="CG3041" s="6"/>
      <c r="CH3041" s="6"/>
      <c r="CI3041" s="6"/>
      <c r="CJ3041" s="6"/>
      <c r="CK3041" s="6"/>
      <c r="CL3041" s="6"/>
      <c r="CM3041" s="6"/>
      <c r="CN3041" s="6"/>
      <c r="CO3041" s="6"/>
      <c r="CP3041" s="6"/>
      <c r="CQ3041" s="6"/>
      <c r="CR3041" s="6"/>
      <c r="CS3041" s="6"/>
      <c r="CT3041" s="6"/>
      <c r="CU3041" s="6"/>
      <c r="CV3041" s="6"/>
      <c r="CW3041" s="6"/>
      <c r="CX3041" s="6"/>
      <c r="CY3041" s="6"/>
      <c r="CZ3041" s="6"/>
      <c r="DA3041" s="6"/>
      <c r="DB3041" s="6"/>
      <c r="DC3041" s="6"/>
      <c r="DD3041" s="6"/>
    </row>
    <row r="3042" spans="1:108" ht="12.75" hidden="1" customHeight="1" outlineLevel="6">
      <c r="A3042" s="104" t="s">
        <v>306</v>
      </c>
      <c r="B3042" s="28">
        <f>B1443</f>
        <v>0.5</v>
      </c>
      <c r="C3042" s="11"/>
      <c r="D3042" s="18" t="str">
        <f>"&lt;" &amp; A3042 &amp; "&gt;" &amp; TEXT(B3042,"0.000000") &amp; "&lt;/" &amp; A3042 &amp; "&gt;"</f>
        <v>&lt;X_Off&gt;0.500000&lt;/X_Off&gt;</v>
      </c>
      <c r="F3042" s="6"/>
      <c r="G3042" s="6"/>
      <c r="H3042" s="6"/>
      <c r="I3042" s="6"/>
      <c r="J3042" s="6"/>
      <c r="K3042" s="6"/>
      <c r="L3042" s="6"/>
      <c r="M3042" s="6"/>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c r="BU3042" s="6"/>
      <c r="BV3042" s="6"/>
      <c r="BW3042" s="6"/>
      <c r="BX3042" s="6"/>
      <c r="BY3042" s="6"/>
      <c r="BZ3042" s="6"/>
      <c r="CA3042" s="6"/>
      <c r="CB3042" s="6"/>
      <c r="CC3042" s="6"/>
      <c r="CD3042" s="6"/>
      <c r="CE3042" s="6"/>
      <c r="CF3042" s="6"/>
      <c r="CG3042" s="6"/>
      <c r="CH3042" s="6"/>
      <c r="CI3042" s="6"/>
      <c r="CJ3042" s="6"/>
      <c r="CK3042" s="6"/>
      <c r="CL3042" s="6"/>
      <c r="CM3042" s="6"/>
      <c r="CN3042" s="6"/>
      <c r="CO3042" s="6"/>
      <c r="CP3042" s="6"/>
      <c r="CQ3042" s="6"/>
      <c r="CR3042" s="6"/>
      <c r="CS3042" s="6"/>
      <c r="CT3042" s="6"/>
      <c r="CU3042" s="6"/>
      <c r="CV3042" s="6"/>
      <c r="CW3042" s="6"/>
      <c r="CX3042" s="6"/>
      <c r="CY3042" s="6"/>
      <c r="CZ3042" s="6"/>
      <c r="DA3042" s="6"/>
      <c r="DB3042" s="6"/>
      <c r="DC3042" s="6"/>
      <c r="DD3042" s="6"/>
    </row>
    <row r="3043" spans="1:108" ht="12.75" hidden="1" customHeight="1" outlineLevel="6">
      <c r="A3043" s="104" t="s">
        <v>307</v>
      </c>
      <c r="B3043" s="28">
        <f>B1444</f>
        <v>0</v>
      </c>
      <c r="C3043" s="11"/>
      <c r="D3043" s="18" t="str">
        <f>"&lt;" &amp; A3043 &amp; "&gt;" &amp; TEXT(B3043,"0.000000") &amp; "&lt;/" &amp; A3043 &amp; "&gt;"</f>
        <v>&lt;Y_Off&gt;0.000000&lt;/Y_Off&gt;</v>
      </c>
      <c r="F3043" s="6"/>
      <c r="G3043" s="6"/>
      <c r="H3043" s="6"/>
      <c r="I3043" s="6"/>
      <c r="J3043" s="6"/>
      <c r="K3043" s="6"/>
      <c r="L3043" s="6"/>
      <c r="M3043" s="6"/>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c r="BU3043" s="6"/>
      <c r="BV3043" s="6"/>
      <c r="BW3043" s="6"/>
      <c r="BX3043" s="6"/>
      <c r="BY3043" s="6"/>
      <c r="BZ3043" s="6"/>
      <c r="CA3043" s="6"/>
      <c r="CB3043" s="6"/>
      <c r="CC3043" s="6"/>
      <c r="CD3043" s="6"/>
      <c r="CE3043" s="6"/>
      <c r="CF3043" s="6"/>
      <c r="CG3043" s="6"/>
      <c r="CH3043" s="6"/>
      <c r="CI3043" s="6"/>
      <c r="CJ3043" s="6"/>
      <c r="CK3043" s="6"/>
      <c r="CL3043" s="6"/>
      <c r="CM3043" s="6"/>
      <c r="CN3043" s="6"/>
      <c r="CO3043" s="6"/>
      <c r="CP3043" s="6"/>
      <c r="CQ3043" s="6"/>
      <c r="CR3043" s="6"/>
      <c r="CS3043" s="6"/>
      <c r="CT3043" s="6"/>
      <c r="CU3043" s="6"/>
      <c r="CV3043" s="6"/>
      <c r="CW3043" s="6"/>
      <c r="CX3043" s="6"/>
      <c r="CY3043" s="6"/>
      <c r="CZ3043" s="6"/>
      <c r="DA3043" s="6"/>
      <c r="DB3043" s="6"/>
      <c r="DC3043" s="6"/>
      <c r="DD3043" s="6"/>
    </row>
    <row r="3044" spans="1:108" ht="12.75" hidden="1" customHeight="1" outlineLevel="6">
      <c r="A3044" s="104" t="s">
        <v>287</v>
      </c>
      <c r="B3044" s="28">
        <f>B1445</f>
        <v>0.12</v>
      </c>
      <c r="C3044" s="11"/>
      <c r="D3044" s="18" t="str">
        <f>"&lt;" &amp; A3044 &amp; "&gt;" &amp; TEXT(B3044,"0.000000") &amp; "&lt;/" &amp; A3044 &amp; "&gt;"</f>
        <v>&lt;Chord&gt;0.120000&lt;/Chord&gt;</v>
      </c>
      <c r="F3044" s="6"/>
      <c r="G3044" s="6"/>
      <c r="H3044" s="6"/>
      <c r="I3044" s="6"/>
      <c r="J3044" s="6"/>
      <c r="K3044" s="6"/>
      <c r="L3044" s="6"/>
      <c r="M3044" s="6"/>
      <c r="N3044" s="6"/>
      <c r="O3044" s="6"/>
      <c r="P3044" s="6"/>
      <c r="Q3044" s="6"/>
      <c r="R3044" s="6"/>
      <c r="S3044" s="6"/>
      <c r="T3044" s="6"/>
      <c r="U3044" s="6"/>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c r="BU3044" s="6"/>
      <c r="BV3044" s="6"/>
      <c r="BW3044" s="6"/>
      <c r="BX3044" s="6"/>
      <c r="BY3044" s="6"/>
      <c r="BZ3044" s="6"/>
      <c r="CA3044" s="6"/>
      <c r="CB3044" s="6"/>
      <c r="CC3044" s="6"/>
      <c r="CD3044" s="6"/>
      <c r="CE3044" s="6"/>
      <c r="CF3044" s="6"/>
      <c r="CG3044" s="6"/>
      <c r="CH3044" s="6"/>
      <c r="CI3044" s="6"/>
      <c r="CJ3044" s="6"/>
      <c r="CK3044" s="6"/>
      <c r="CL3044" s="6"/>
      <c r="CM3044" s="6"/>
      <c r="CN3044" s="6"/>
      <c r="CO3044" s="6"/>
      <c r="CP3044" s="6"/>
      <c r="CQ3044" s="6"/>
      <c r="CR3044" s="6"/>
      <c r="CS3044" s="6"/>
      <c r="CT3044" s="6"/>
      <c r="CU3044" s="6"/>
      <c r="CV3044" s="6"/>
      <c r="CW3044" s="6"/>
      <c r="CX3044" s="6"/>
      <c r="CY3044" s="6"/>
      <c r="CZ3044" s="6"/>
      <c r="DA3044" s="6"/>
      <c r="DB3044" s="6"/>
      <c r="DC3044" s="6"/>
      <c r="DD3044" s="6"/>
    </row>
    <row r="3045" spans="1:108" ht="12.75" hidden="1" customHeight="1" outlineLevel="6">
      <c r="A3045" s="104" t="s">
        <v>9</v>
      </c>
      <c r="B3045" s="28">
        <f>B1446</f>
        <v>15</v>
      </c>
      <c r="C3045" s="11"/>
      <c r="D3045" s="18" t="str">
        <f>"&lt;" &amp; A3045 &amp; "&gt;" &amp; TEXT(B3045,"0.000000") &amp; "&lt;/" &amp; A3045 &amp; "&gt;"</f>
        <v>&lt;Twist&gt;15.000000&lt;/Twist&gt;</v>
      </c>
      <c r="F3045" s="6"/>
      <c r="G3045" s="6"/>
      <c r="H3045" s="6"/>
      <c r="I3045" s="6"/>
      <c r="J3045" s="6"/>
      <c r="K3045" s="6"/>
      <c r="L3045" s="6"/>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c r="BU3045" s="6"/>
      <c r="BV3045" s="6"/>
      <c r="BW3045" s="6"/>
      <c r="BX3045" s="6"/>
      <c r="BY3045" s="6"/>
      <c r="BZ3045" s="6"/>
      <c r="CA3045" s="6"/>
      <c r="CB3045" s="6"/>
      <c r="CC3045" s="6"/>
      <c r="CD3045" s="6"/>
      <c r="CE3045" s="6"/>
      <c r="CF3045" s="6"/>
      <c r="CG3045" s="6"/>
      <c r="CH3045" s="6"/>
      <c r="CI3045" s="6"/>
      <c r="CJ3045" s="6"/>
      <c r="CK3045" s="6"/>
      <c r="CL3045" s="6"/>
      <c r="CM3045" s="6"/>
      <c r="CN3045" s="6"/>
      <c r="CO3045" s="6"/>
      <c r="CP3045" s="6"/>
      <c r="CQ3045" s="6"/>
      <c r="CR3045" s="6"/>
      <c r="CS3045" s="6"/>
      <c r="CT3045" s="6"/>
      <c r="CU3045" s="6"/>
      <c r="CV3045" s="6"/>
      <c r="CW3045" s="6"/>
      <c r="CX3045" s="6"/>
      <c r="CY3045" s="6"/>
      <c r="CZ3045" s="6"/>
      <c r="DA3045" s="6"/>
      <c r="DB3045" s="6"/>
      <c r="DC3045" s="6"/>
      <c r="DD3045" s="6"/>
    </row>
    <row r="3046" spans="1:108" ht="12.75" hidden="1" customHeight="1" outlineLevel="6">
      <c r="A3046" s="104" t="s">
        <v>2</v>
      </c>
      <c r="B3046" s="100"/>
      <c r="C3046" s="11"/>
      <c r="D3046" s="6" t="str">
        <f>"&lt;" &amp; A3046 &amp; "&gt;"</f>
        <v>&lt;Airfoil&gt;</v>
      </c>
      <c r="F3046" s="6"/>
      <c r="G3046" s="6"/>
      <c r="H3046" s="6"/>
      <c r="I3046" s="6"/>
      <c r="J3046" s="6"/>
      <c r="K3046" s="6"/>
      <c r="L3046" s="6"/>
      <c r="M3046" s="6"/>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c r="BU3046" s="6"/>
      <c r="BV3046" s="6"/>
      <c r="BW3046" s="6"/>
      <c r="BX3046" s="6"/>
      <c r="BY3046" s="6"/>
      <c r="BZ3046" s="6"/>
      <c r="CA3046" s="6"/>
      <c r="CB3046" s="6"/>
      <c r="CC3046" s="6"/>
      <c r="CD3046" s="6"/>
      <c r="CE3046" s="6"/>
      <c r="CF3046" s="6"/>
      <c r="CG3046" s="6"/>
      <c r="CH3046" s="6"/>
      <c r="CI3046" s="6"/>
      <c r="CJ3046" s="6"/>
      <c r="CK3046" s="6"/>
      <c r="CL3046" s="6"/>
      <c r="CM3046" s="6"/>
      <c r="CN3046" s="6"/>
      <c r="CO3046" s="6"/>
      <c r="CP3046" s="6"/>
      <c r="CQ3046" s="6"/>
      <c r="CR3046" s="6"/>
      <c r="CS3046" s="6"/>
      <c r="CT3046" s="6"/>
      <c r="CU3046" s="6"/>
      <c r="CV3046" s="6"/>
      <c r="CW3046" s="6"/>
      <c r="CX3046" s="6"/>
      <c r="CY3046" s="6"/>
      <c r="CZ3046" s="6"/>
      <c r="DA3046" s="6"/>
      <c r="DB3046" s="6"/>
      <c r="DC3046" s="6"/>
      <c r="DD3046" s="6"/>
    </row>
    <row r="3047" spans="1:108" ht="12.75" hidden="1" customHeight="1" outlineLevel="7">
      <c r="A3047" s="104" t="s">
        <v>14</v>
      </c>
      <c r="B3047" s="28">
        <f t="shared" ref="B3047:B3065" si="176">B1448</f>
        <v>1</v>
      </c>
      <c r="C3047" s="11"/>
      <c r="D3047" s="18" t="str">
        <f>"&lt;" &amp; A3047 &amp; "&gt;" &amp; TEXT(B3047,0) &amp; "&lt;/" &amp; A3047 &amp; "&gt;"</f>
        <v>&lt;Type&gt;1&lt;/Type&gt;</v>
      </c>
      <c r="F3047" s="6"/>
      <c r="G3047" s="6"/>
      <c r="H3047" s="6"/>
      <c r="I3047" s="6"/>
      <c r="J3047" s="6"/>
      <c r="K3047" s="6"/>
      <c r="L3047" s="6"/>
      <c r="M3047" s="6"/>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c r="BU3047" s="6"/>
      <c r="BV3047" s="6"/>
      <c r="BW3047" s="6"/>
      <c r="BX3047" s="6"/>
      <c r="BY3047" s="6"/>
      <c r="BZ3047" s="6"/>
      <c r="CA3047" s="6"/>
      <c r="CB3047" s="6"/>
      <c r="CC3047" s="6"/>
      <c r="CD3047" s="6"/>
      <c r="CE3047" s="6"/>
      <c r="CF3047" s="6"/>
      <c r="CG3047" s="6"/>
      <c r="CH3047" s="6"/>
      <c r="CI3047" s="6"/>
      <c r="CJ3047" s="6"/>
      <c r="CK3047" s="6"/>
      <c r="CL3047" s="6"/>
      <c r="CM3047" s="6"/>
      <c r="CN3047" s="6"/>
      <c r="CO3047" s="6"/>
      <c r="CP3047" s="6"/>
      <c r="CQ3047" s="6"/>
      <c r="CR3047" s="6"/>
      <c r="CS3047" s="6"/>
      <c r="CT3047" s="6"/>
      <c r="CU3047" s="6"/>
      <c r="CV3047" s="6"/>
      <c r="CW3047" s="6"/>
      <c r="CX3047" s="6"/>
      <c r="CY3047" s="6"/>
      <c r="CZ3047" s="6"/>
      <c r="DA3047" s="6"/>
      <c r="DB3047" s="6"/>
      <c r="DC3047" s="6"/>
      <c r="DD3047" s="6"/>
    </row>
    <row r="3048" spans="1:108" ht="12.75" hidden="1" customHeight="1" outlineLevel="7">
      <c r="A3048" s="104" t="s">
        <v>102</v>
      </c>
      <c r="B3048" s="28">
        <f t="shared" si="176"/>
        <v>0</v>
      </c>
      <c r="C3048" s="11"/>
      <c r="D3048" s="18" t="str">
        <f>"&lt;" &amp; A3048 &amp; "&gt;" &amp; TEXT(B3048,0) &amp; "&lt;/" &amp; A3048 &amp; "&gt;"</f>
        <v>&lt;Inverted_Flag&gt;0&lt;/Inverted_Flag&gt;</v>
      </c>
      <c r="F3048" s="6"/>
      <c r="G3048" s="6"/>
      <c r="H3048" s="6"/>
      <c r="I3048" s="6"/>
      <c r="J3048" s="6"/>
      <c r="K3048" s="6"/>
      <c r="L3048" s="6"/>
      <c r="M3048" s="6"/>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c r="BU3048" s="6"/>
      <c r="BV3048" s="6"/>
      <c r="BW3048" s="6"/>
      <c r="BX3048" s="6"/>
      <c r="BY3048" s="6"/>
      <c r="BZ3048" s="6"/>
      <c r="CA3048" s="6"/>
      <c r="CB3048" s="6"/>
      <c r="CC3048" s="6"/>
      <c r="CD3048" s="6"/>
      <c r="CE3048" s="6"/>
      <c r="CF3048" s="6"/>
      <c r="CG3048" s="6"/>
      <c r="CH3048" s="6"/>
      <c r="CI3048" s="6"/>
      <c r="CJ3048" s="6"/>
      <c r="CK3048" s="6"/>
      <c r="CL3048" s="6"/>
      <c r="CM3048" s="6"/>
      <c r="CN3048" s="6"/>
      <c r="CO3048" s="6"/>
      <c r="CP3048" s="6"/>
      <c r="CQ3048" s="6"/>
      <c r="CR3048" s="6"/>
      <c r="CS3048" s="6"/>
      <c r="CT3048" s="6"/>
      <c r="CU3048" s="6"/>
      <c r="CV3048" s="6"/>
      <c r="CW3048" s="6"/>
      <c r="CX3048" s="6"/>
      <c r="CY3048" s="6"/>
      <c r="CZ3048" s="6"/>
      <c r="DA3048" s="6"/>
      <c r="DB3048" s="6"/>
      <c r="DC3048" s="6"/>
      <c r="DD3048" s="6"/>
    </row>
    <row r="3049" spans="1:108" ht="12.75" hidden="1" customHeight="1" outlineLevel="7">
      <c r="A3049" s="104" t="s">
        <v>4</v>
      </c>
      <c r="B3049" s="28">
        <f t="shared" si="176"/>
        <v>0</v>
      </c>
      <c r="C3049" s="11"/>
      <c r="D3049" s="18" t="str">
        <f t="shared" ref="D3049:D3054" si="177">"&lt;" &amp; A3049 &amp; "&gt;" &amp; TEXT(B3049,"0.000000") &amp; "&lt;/" &amp; A3049 &amp; "&gt;"</f>
        <v>&lt;Camber&gt;0.000000&lt;/Camber&gt;</v>
      </c>
      <c r="F3049" s="6"/>
      <c r="G3049" s="6"/>
      <c r="H3049" s="6"/>
      <c r="I3049" s="6"/>
      <c r="J3049" s="6"/>
      <c r="K3049" s="6"/>
      <c r="L3049" s="6"/>
      <c r="M3049" s="6"/>
      <c r="N3049" s="6"/>
      <c r="O3049" s="6"/>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c r="BU3049" s="6"/>
      <c r="BV3049" s="6"/>
      <c r="BW3049" s="6"/>
      <c r="BX3049" s="6"/>
      <c r="BY3049" s="6"/>
      <c r="BZ3049" s="6"/>
      <c r="CA3049" s="6"/>
      <c r="CB3049" s="6"/>
      <c r="CC3049" s="6"/>
      <c r="CD3049" s="6"/>
      <c r="CE3049" s="6"/>
      <c r="CF3049" s="6"/>
      <c r="CG3049" s="6"/>
      <c r="CH3049" s="6"/>
      <c r="CI3049" s="6"/>
      <c r="CJ3049" s="6"/>
      <c r="CK3049" s="6"/>
      <c r="CL3049" s="6"/>
      <c r="CM3049" s="6"/>
      <c r="CN3049" s="6"/>
      <c r="CO3049" s="6"/>
      <c r="CP3049" s="6"/>
      <c r="CQ3049" s="6"/>
      <c r="CR3049" s="6"/>
      <c r="CS3049" s="6"/>
      <c r="CT3049" s="6"/>
      <c r="CU3049" s="6"/>
      <c r="CV3049" s="6"/>
      <c r="CW3049" s="6"/>
      <c r="CX3049" s="6"/>
      <c r="CY3049" s="6"/>
      <c r="CZ3049" s="6"/>
      <c r="DA3049" s="6"/>
      <c r="DB3049" s="6"/>
      <c r="DC3049" s="6"/>
      <c r="DD3049" s="6"/>
    </row>
    <row r="3050" spans="1:108" ht="12.75" hidden="1" customHeight="1" outlineLevel="7">
      <c r="A3050" s="104" t="s">
        <v>103</v>
      </c>
      <c r="B3050" s="28">
        <f t="shared" si="176"/>
        <v>0.5</v>
      </c>
      <c r="C3050" s="11"/>
      <c r="D3050" s="18" t="str">
        <f t="shared" si="177"/>
        <v>&lt;Camber_Loc&gt;0.500000&lt;/Camber_Loc&gt;</v>
      </c>
      <c r="F3050" s="6"/>
      <c r="G3050" s="6"/>
      <c r="H3050" s="6"/>
      <c r="I3050" s="6"/>
      <c r="J3050" s="6"/>
      <c r="K3050" s="6"/>
      <c r="L3050" s="6"/>
      <c r="M3050" s="6"/>
      <c r="N3050" s="6"/>
      <c r="O3050" s="6"/>
      <c r="P3050" s="6"/>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c r="BU3050" s="6"/>
      <c r="BV3050" s="6"/>
      <c r="BW3050" s="6"/>
      <c r="BX3050" s="6"/>
      <c r="BY3050" s="6"/>
      <c r="BZ3050" s="6"/>
      <c r="CA3050" s="6"/>
      <c r="CB3050" s="6"/>
      <c r="CC3050" s="6"/>
      <c r="CD3050" s="6"/>
      <c r="CE3050" s="6"/>
      <c r="CF3050" s="6"/>
      <c r="CG3050" s="6"/>
      <c r="CH3050" s="6"/>
      <c r="CI3050" s="6"/>
      <c r="CJ3050" s="6"/>
      <c r="CK3050" s="6"/>
      <c r="CL3050" s="6"/>
      <c r="CM3050" s="6"/>
      <c r="CN3050" s="6"/>
      <c r="CO3050" s="6"/>
      <c r="CP3050" s="6"/>
      <c r="CQ3050" s="6"/>
      <c r="CR3050" s="6"/>
      <c r="CS3050" s="6"/>
      <c r="CT3050" s="6"/>
      <c r="CU3050" s="6"/>
      <c r="CV3050" s="6"/>
      <c r="CW3050" s="6"/>
      <c r="CX3050" s="6"/>
      <c r="CY3050" s="6"/>
      <c r="CZ3050" s="6"/>
      <c r="DA3050" s="6"/>
      <c r="DB3050" s="6"/>
      <c r="DC3050" s="6"/>
      <c r="DD3050" s="6"/>
    </row>
    <row r="3051" spans="1:108" ht="12.75" hidden="1" customHeight="1" outlineLevel="7">
      <c r="A3051" s="104" t="s">
        <v>5</v>
      </c>
      <c r="B3051" s="28">
        <f t="shared" si="176"/>
        <v>0.2</v>
      </c>
      <c r="C3051" s="11"/>
      <c r="D3051" s="18" t="str">
        <f t="shared" si="177"/>
        <v>&lt;Thickness&gt;0.200000&lt;/Thickness&gt;</v>
      </c>
      <c r="F3051" s="6"/>
      <c r="G3051" s="6"/>
      <c r="H3051" s="6"/>
      <c r="I3051" s="6"/>
      <c r="J3051" s="6"/>
      <c r="K3051" s="6"/>
      <c r="L3051" s="6"/>
      <c r="M3051" s="6"/>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c r="BU3051" s="6"/>
      <c r="BV3051" s="6"/>
      <c r="BW3051" s="6"/>
      <c r="BX3051" s="6"/>
      <c r="BY3051" s="6"/>
      <c r="BZ3051" s="6"/>
      <c r="CA3051" s="6"/>
      <c r="CB3051" s="6"/>
      <c r="CC3051" s="6"/>
      <c r="CD3051" s="6"/>
      <c r="CE3051" s="6"/>
      <c r="CF3051" s="6"/>
      <c r="CG3051" s="6"/>
      <c r="CH3051" s="6"/>
      <c r="CI3051" s="6"/>
      <c r="CJ3051" s="6"/>
      <c r="CK3051" s="6"/>
      <c r="CL3051" s="6"/>
      <c r="CM3051" s="6"/>
      <c r="CN3051" s="6"/>
      <c r="CO3051" s="6"/>
      <c r="CP3051" s="6"/>
      <c r="CQ3051" s="6"/>
      <c r="CR3051" s="6"/>
      <c r="CS3051" s="6"/>
      <c r="CT3051" s="6"/>
      <c r="CU3051" s="6"/>
      <c r="CV3051" s="6"/>
      <c r="CW3051" s="6"/>
      <c r="CX3051" s="6"/>
      <c r="CY3051" s="6"/>
      <c r="CZ3051" s="6"/>
      <c r="DA3051" s="6"/>
      <c r="DB3051" s="6"/>
      <c r="DC3051" s="6"/>
      <c r="DD3051" s="6"/>
    </row>
    <row r="3052" spans="1:108" ht="12.75" hidden="1" customHeight="1" outlineLevel="7">
      <c r="A3052" s="104" t="s">
        <v>104</v>
      </c>
      <c r="B3052" s="28">
        <f t="shared" si="176"/>
        <v>0.3</v>
      </c>
      <c r="C3052" s="11"/>
      <c r="D3052" s="18" t="str">
        <f t="shared" si="177"/>
        <v>&lt;Thickness_Loc&gt;0.300000&lt;/Thickness_Loc&gt;</v>
      </c>
      <c r="F3052" s="6"/>
      <c r="G3052" s="6"/>
      <c r="H3052" s="6"/>
      <c r="I3052" s="6"/>
      <c r="J3052" s="6"/>
      <c r="K3052" s="6"/>
      <c r="L3052" s="6"/>
      <c r="M3052" s="6"/>
      <c r="N3052" s="6"/>
      <c r="O3052" s="6"/>
      <c r="P3052" s="6"/>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c r="BU3052" s="6"/>
      <c r="BV3052" s="6"/>
      <c r="BW3052" s="6"/>
      <c r="BX3052" s="6"/>
      <c r="BY3052" s="6"/>
      <c r="BZ3052" s="6"/>
      <c r="CA3052" s="6"/>
      <c r="CB3052" s="6"/>
      <c r="CC3052" s="6"/>
      <c r="CD3052" s="6"/>
      <c r="CE3052" s="6"/>
      <c r="CF3052" s="6"/>
      <c r="CG3052" s="6"/>
      <c r="CH3052" s="6"/>
      <c r="CI3052" s="6"/>
      <c r="CJ3052" s="6"/>
      <c r="CK3052" s="6"/>
      <c r="CL3052" s="6"/>
      <c r="CM3052" s="6"/>
      <c r="CN3052" s="6"/>
      <c r="CO3052" s="6"/>
      <c r="CP3052" s="6"/>
      <c r="CQ3052" s="6"/>
      <c r="CR3052" s="6"/>
      <c r="CS3052" s="6"/>
      <c r="CT3052" s="6"/>
      <c r="CU3052" s="6"/>
      <c r="CV3052" s="6"/>
      <c r="CW3052" s="6"/>
      <c r="CX3052" s="6"/>
      <c r="CY3052" s="6"/>
      <c r="CZ3052" s="6"/>
      <c r="DA3052" s="6"/>
      <c r="DB3052" s="6"/>
      <c r="DC3052" s="6"/>
      <c r="DD3052" s="6"/>
    </row>
    <row r="3053" spans="1:108" ht="12.75" hidden="1" customHeight="1" outlineLevel="7">
      <c r="A3053" s="104" t="s">
        <v>105</v>
      </c>
      <c r="B3053" s="28">
        <f t="shared" si="176"/>
        <v>4.4075999999999997E-2</v>
      </c>
      <c r="C3053" s="11"/>
      <c r="D3053" s="18" t="str">
        <f t="shared" si="177"/>
        <v>&lt;Radius_Le&gt;0.044076&lt;/Radius_Le&gt;</v>
      </c>
      <c r="F3053" s="6"/>
      <c r="G3053" s="6"/>
      <c r="H3053" s="6"/>
      <c r="I3053" s="6"/>
      <c r="J3053" s="6"/>
      <c r="K3053" s="6"/>
      <c r="L3053" s="6"/>
      <c r="M3053" s="6"/>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c r="BU3053" s="6"/>
      <c r="BV3053" s="6"/>
      <c r="BW3053" s="6"/>
      <c r="BX3053" s="6"/>
      <c r="BY3053" s="6"/>
      <c r="BZ3053" s="6"/>
      <c r="CA3053" s="6"/>
      <c r="CB3053" s="6"/>
      <c r="CC3053" s="6"/>
      <c r="CD3053" s="6"/>
      <c r="CE3053" s="6"/>
      <c r="CF3053" s="6"/>
      <c r="CG3053" s="6"/>
      <c r="CH3053" s="6"/>
      <c r="CI3053" s="6"/>
      <c r="CJ3053" s="6"/>
      <c r="CK3053" s="6"/>
      <c r="CL3053" s="6"/>
      <c r="CM3053" s="6"/>
      <c r="CN3053" s="6"/>
      <c r="CO3053" s="6"/>
      <c r="CP3053" s="6"/>
      <c r="CQ3053" s="6"/>
      <c r="CR3053" s="6"/>
      <c r="CS3053" s="6"/>
      <c r="CT3053" s="6"/>
      <c r="CU3053" s="6"/>
      <c r="CV3053" s="6"/>
      <c r="CW3053" s="6"/>
      <c r="CX3053" s="6"/>
      <c r="CY3053" s="6"/>
      <c r="CZ3053" s="6"/>
      <c r="DA3053" s="6"/>
      <c r="DB3053" s="6"/>
      <c r="DC3053" s="6"/>
      <c r="DD3053" s="6"/>
    </row>
    <row r="3054" spans="1:108" ht="12.75" hidden="1" customHeight="1" outlineLevel="7">
      <c r="A3054" s="104" t="s">
        <v>106</v>
      </c>
      <c r="B3054" s="28">
        <f t="shared" si="176"/>
        <v>0</v>
      </c>
      <c r="C3054" s="11"/>
      <c r="D3054" s="18" t="str">
        <f t="shared" si="177"/>
        <v>&lt;Radius_Te&gt;0.000000&lt;/Radius_Te&gt;</v>
      </c>
      <c r="F3054" s="6"/>
      <c r="G3054" s="6"/>
      <c r="H3054" s="6"/>
      <c r="I3054" s="6"/>
      <c r="J3054" s="6"/>
      <c r="K3054" s="6"/>
      <c r="L3054" s="6"/>
      <c r="M3054" s="6"/>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c r="BU3054" s="6"/>
      <c r="BV3054" s="6"/>
      <c r="BW3054" s="6"/>
      <c r="BX3054" s="6"/>
      <c r="BY3054" s="6"/>
      <c r="BZ3054" s="6"/>
      <c r="CA3054" s="6"/>
      <c r="CB3054" s="6"/>
      <c r="CC3054" s="6"/>
      <c r="CD3054" s="6"/>
      <c r="CE3054" s="6"/>
      <c r="CF3054" s="6"/>
      <c r="CG3054" s="6"/>
      <c r="CH3054" s="6"/>
      <c r="CI3054" s="6"/>
      <c r="CJ3054" s="6"/>
      <c r="CK3054" s="6"/>
      <c r="CL3054" s="6"/>
      <c r="CM3054" s="6"/>
      <c r="CN3054" s="6"/>
      <c r="CO3054" s="6"/>
      <c r="CP3054" s="6"/>
      <c r="CQ3054" s="6"/>
      <c r="CR3054" s="6"/>
      <c r="CS3054" s="6"/>
      <c r="CT3054" s="6"/>
      <c r="CU3054" s="6"/>
      <c r="CV3054" s="6"/>
      <c r="CW3054" s="6"/>
      <c r="CX3054" s="6"/>
      <c r="CY3054" s="6"/>
      <c r="CZ3054" s="6"/>
      <c r="DA3054" s="6"/>
      <c r="DB3054" s="6"/>
      <c r="DC3054" s="6"/>
      <c r="DD3054" s="6"/>
    </row>
    <row r="3055" spans="1:108" ht="12.75" hidden="1" customHeight="1" outlineLevel="7">
      <c r="A3055" s="104" t="s">
        <v>107</v>
      </c>
      <c r="B3055" s="28">
        <f t="shared" si="176"/>
        <v>63</v>
      </c>
      <c r="C3055" s="11"/>
      <c r="D3055" s="18" t="str">
        <f>"&lt;" &amp; A3055 &amp; "&gt;" &amp; TEXT(B3055,0) &amp; "&lt;/" &amp; A3055 &amp; "&gt;"</f>
        <v>&lt;Six_Series&gt;63&lt;/Six_Series&gt;</v>
      </c>
      <c r="F3055" s="6"/>
      <c r="G3055" s="6"/>
      <c r="H3055" s="6"/>
      <c r="I3055" s="6"/>
      <c r="J3055" s="6"/>
      <c r="K3055" s="6"/>
      <c r="L3055" s="6"/>
      <c r="M3055" s="6"/>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c r="BU3055" s="6"/>
      <c r="BV3055" s="6"/>
      <c r="BW3055" s="6"/>
      <c r="BX3055" s="6"/>
      <c r="BY3055" s="6"/>
      <c r="BZ3055" s="6"/>
      <c r="CA3055" s="6"/>
      <c r="CB3055" s="6"/>
      <c r="CC3055" s="6"/>
      <c r="CD3055" s="6"/>
      <c r="CE3055" s="6"/>
      <c r="CF3055" s="6"/>
      <c r="CG3055" s="6"/>
      <c r="CH3055" s="6"/>
      <c r="CI3055" s="6"/>
      <c r="CJ3055" s="6"/>
      <c r="CK3055" s="6"/>
      <c r="CL3055" s="6"/>
      <c r="CM3055" s="6"/>
      <c r="CN3055" s="6"/>
      <c r="CO3055" s="6"/>
      <c r="CP3055" s="6"/>
      <c r="CQ3055" s="6"/>
      <c r="CR3055" s="6"/>
      <c r="CS3055" s="6"/>
      <c r="CT3055" s="6"/>
      <c r="CU3055" s="6"/>
      <c r="CV3055" s="6"/>
      <c r="CW3055" s="6"/>
      <c r="CX3055" s="6"/>
      <c r="CY3055" s="6"/>
      <c r="CZ3055" s="6"/>
      <c r="DA3055" s="6"/>
      <c r="DB3055" s="6"/>
      <c r="DC3055" s="6"/>
      <c r="DD3055" s="6"/>
    </row>
    <row r="3056" spans="1:108" ht="12.75" hidden="1" customHeight="1" outlineLevel="7">
      <c r="A3056" s="104" t="s">
        <v>108</v>
      </c>
      <c r="B3056" s="28">
        <f t="shared" si="176"/>
        <v>0</v>
      </c>
      <c r="C3056" s="11"/>
      <c r="D3056" s="18" t="str">
        <f>"&lt;" &amp; A3056 &amp; "&gt;" &amp; TEXT(B3056,"0.000000") &amp; "&lt;/" &amp; A3056 &amp; "&gt;"</f>
        <v>&lt;Ideal_Cl&gt;0.000000&lt;/Ideal_Cl&gt;</v>
      </c>
      <c r="F3056" s="6"/>
      <c r="G3056" s="6"/>
      <c r="H3056" s="6"/>
      <c r="I3056" s="6"/>
      <c r="J3056" s="6"/>
      <c r="K3056" s="6"/>
      <c r="L3056" s="6"/>
      <c r="M3056" s="6"/>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c r="BU3056" s="6"/>
      <c r="BV3056" s="6"/>
      <c r="BW3056" s="6"/>
      <c r="BX3056" s="6"/>
      <c r="BY3056" s="6"/>
      <c r="BZ3056" s="6"/>
      <c r="CA3056" s="6"/>
      <c r="CB3056" s="6"/>
      <c r="CC3056" s="6"/>
      <c r="CD3056" s="6"/>
      <c r="CE3056" s="6"/>
      <c r="CF3056" s="6"/>
      <c r="CG3056" s="6"/>
      <c r="CH3056" s="6"/>
      <c r="CI3056" s="6"/>
      <c r="CJ3056" s="6"/>
      <c r="CK3056" s="6"/>
      <c r="CL3056" s="6"/>
      <c r="CM3056" s="6"/>
      <c r="CN3056" s="6"/>
      <c r="CO3056" s="6"/>
      <c r="CP3056" s="6"/>
      <c r="CQ3056" s="6"/>
      <c r="CR3056" s="6"/>
      <c r="CS3056" s="6"/>
      <c r="CT3056" s="6"/>
      <c r="CU3056" s="6"/>
      <c r="CV3056" s="6"/>
      <c r="CW3056" s="6"/>
      <c r="CX3056" s="6"/>
      <c r="CY3056" s="6"/>
      <c r="CZ3056" s="6"/>
      <c r="DA3056" s="6"/>
      <c r="DB3056" s="6"/>
      <c r="DC3056" s="6"/>
      <c r="DD3056" s="6"/>
    </row>
    <row r="3057" spans="1:108" ht="12.75" hidden="1" customHeight="1" outlineLevel="7">
      <c r="A3057" s="104" t="s">
        <v>109</v>
      </c>
      <c r="B3057" s="28">
        <f t="shared" si="176"/>
        <v>0</v>
      </c>
      <c r="C3057" s="11"/>
      <c r="D3057" s="18" t="str">
        <f>"&lt;" &amp; A3057 &amp; "&gt;" &amp; TEXT(B3057,"0.000000") &amp; "&lt;/" &amp; A3057 &amp; "&gt;"</f>
        <v>&lt;A&gt;0.000000&lt;/A&gt;</v>
      </c>
      <c r="F3057" s="6"/>
      <c r="G3057" s="6"/>
      <c r="H3057" s="6"/>
      <c r="I3057" s="6"/>
      <c r="J3057" s="6"/>
      <c r="K3057" s="6"/>
      <c r="L3057" s="6"/>
      <c r="M3057" s="6"/>
      <c r="N3057" s="6"/>
      <c r="O3057" s="6"/>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c r="BU3057" s="6"/>
      <c r="BV3057" s="6"/>
      <c r="BW3057" s="6"/>
      <c r="BX3057" s="6"/>
      <c r="BY3057" s="6"/>
      <c r="BZ3057" s="6"/>
      <c r="CA3057" s="6"/>
      <c r="CB3057" s="6"/>
      <c r="CC3057" s="6"/>
      <c r="CD3057" s="6"/>
      <c r="CE3057" s="6"/>
      <c r="CF3057" s="6"/>
      <c r="CG3057" s="6"/>
      <c r="CH3057" s="6"/>
      <c r="CI3057" s="6"/>
      <c r="CJ3057" s="6"/>
      <c r="CK3057" s="6"/>
      <c r="CL3057" s="6"/>
      <c r="CM3057" s="6"/>
      <c r="CN3057" s="6"/>
      <c r="CO3057" s="6"/>
      <c r="CP3057" s="6"/>
      <c r="CQ3057" s="6"/>
      <c r="CR3057" s="6"/>
      <c r="CS3057" s="6"/>
      <c r="CT3057" s="6"/>
      <c r="CU3057" s="6"/>
      <c r="CV3057" s="6"/>
      <c r="CW3057" s="6"/>
      <c r="CX3057" s="6"/>
      <c r="CY3057" s="6"/>
      <c r="CZ3057" s="6"/>
      <c r="DA3057" s="6"/>
      <c r="DB3057" s="6"/>
      <c r="DC3057" s="6"/>
      <c r="DD3057" s="6"/>
    </row>
    <row r="3058" spans="1:108" ht="12.75" hidden="1" customHeight="1" outlineLevel="7">
      <c r="A3058" s="104" t="s">
        <v>110</v>
      </c>
      <c r="B3058" s="28">
        <f t="shared" si="176"/>
        <v>0</v>
      </c>
      <c r="C3058" s="11"/>
      <c r="D3058" s="18" t="str">
        <f>"&lt;" &amp; A3058 &amp; "&gt;" &amp; TEXT(B3058,0) &amp; "&lt;/" &amp; A3058 &amp; "&gt;"</f>
        <v>&lt;Slat_Flag&gt;0&lt;/Slat_Flag&gt;</v>
      </c>
      <c r="F3058" s="6"/>
      <c r="G3058" s="6"/>
      <c r="H3058" s="6"/>
      <c r="I3058" s="6"/>
      <c r="J3058" s="6"/>
      <c r="K3058" s="6"/>
      <c r="L3058" s="6"/>
      <c r="M3058" s="6"/>
      <c r="N3058" s="6"/>
      <c r="O3058" s="6"/>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c r="BU3058" s="6"/>
      <c r="BV3058" s="6"/>
      <c r="BW3058" s="6"/>
      <c r="BX3058" s="6"/>
      <c r="BY3058" s="6"/>
      <c r="BZ3058" s="6"/>
      <c r="CA3058" s="6"/>
      <c r="CB3058" s="6"/>
      <c r="CC3058" s="6"/>
      <c r="CD3058" s="6"/>
      <c r="CE3058" s="6"/>
      <c r="CF3058" s="6"/>
      <c r="CG3058" s="6"/>
      <c r="CH3058" s="6"/>
      <c r="CI3058" s="6"/>
      <c r="CJ3058" s="6"/>
      <c r="CK3058" s="6"/>
      <c r="CL3058" s="6"/>
      <c r="CM3058" s="6"/>
      <c r="CN3058" s="6"/>
      <c r="CO3058" s="6"/>
      <c r="CP3058" s="6"/>
      <c r="CQ3058" s="6"/>
      <c r="CR3058" s="6"/>
      <c r="CS3058" s="6"/>
      <c r="CT3058" s="6"/>
      <c r="CU3058" s="6"/>
      <c r="CV3058" s="6"/>
      <c r="CW3058" s="6"/>
      <c r="CX3058" s="6"/>
      <c r="CY3058" s="6"/>
      <c r="CZ3058" s="6"/>
      <c r="DA3058" s="6"/>
      <c r="DB3058" s="6"/>
      <c r="DC3058" s="6"/>
      <c r="DD3058" s="6"/>
    </row>
    <row r="3059" spans="1:108" ht="12.75" hidden="1" customHeight="1" outlineLevel="7">
      <c r="A3059" s="104" t="s">
        <v>111</v>
      </c>
      <c r="B3059" s="28">
        <f t="shared" si="176"/>
        <v>0</v>
      </c>
      <c r="C3059" s="11"/>
      <c r="D3059" s="18" t="str">
        <f>"&lt;" &amp; A3059 &amp; "&gt;" &amp; TEXT(B3059,0) &amp; "&lt;/" &amp; A3059 &amp; "&gt;"</f>
        <v>&lt;Slat_Shear_Flag&gt;0&lt;/Slat_Shear_Flag&gt;</v>
      </c>
      <c r="F3059" s="6"/>
      <c r="G3059" s="6"/>
      <c r="H3059" s="6"/>
      <c r="I3059" s="6"/>
      <c r="J3059" s="6"/>
      <c r="K3059" s="6"/>
      <c r="L3059" s="6"/>
      <c r="M3059" s="6"/>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c r="BU3059" s="6"/>
      <c r="BV3059" s="6"/>
      <c r="BW3059" s="6"/>
      <c r="BX3059" s="6"/>
      <c r="BY3059" s="6"/>
      <c r="BZ3059" s="6"/>
      <c r="CA3059" s="6"/>
      <c r="CB3059" s="6"/>
      <c r="CC3059" s="6"/>
      <c r="CD3059" s="6"/>
      <c r="CE3059" s="6"/>
      <c r="CF3059" s="6"/>
      <c r="CG3059" s="6"/>
      <c r="CH3059" s="6"/>
      <c r="CI3059" s="6"/>
      <c r="CJ3059" s="6"/>
      <c r="CK3059" s="6"/>
      <c r="CL3059" s="6"/>
      <c r="CM3059" s="6"/>
      <c r="CN3059" s="6"/>
      <c r="CO3059" s="6"/>
      <c r="CP3059" s="6"/>
      <c r="CQ3059" s="6"/>
      <c r="CR3059" s="6"/>
      <c r="CS3059" s="6"/>
      <c r="CT3059" s="6"/>
      <c r="CU3059" s="6"/>
      <c r="CV3059" s="6"/>
      <c r="CW3059" s="6"/>
      <c r="CX3059" s="6"/>
      <c r="CY3059" s="6"/>
      <c r="CZ3059" s="6"/>
      <c r="DA3059" s="6"/>
      <c r="DB3059" s="6"/>
      <c r="DC3059" s="6"/>
      <c r="DD3059" s="6"/>
    </row>
    <row r="3060" spans="1:108" ht="12.75" hidden="1" customHeight="1" outlineLevel="7">
      <c r="A3060" s="104" t="s">
        <v>112</v>
      </c>
      <c r="B3060" s="28">
        <f t="shared" si="176"/>
        <v>0.25</v>
      </c>
      <c r="C3060" s="11"/>
      <c r="D3060" s="18" t="str">
        <f>"&lt;" &amp; A3060 &amp; "&gt;" &amp; TEXT(B3060,"0.000000") &amp; "&lt;/" &amp; A3060 &amp; "&gt;"</f>
        <v>&lt;Slat_Chord&gt;0.250000&lt;/Slat_Chord&gt;</v>
      </c>
      <c r="F3060" s="6"/>
      <c r="G3060" s="6"/>
      <c r="H3060" s="6"/>
      <c r="I3060" s="6"/>
      <c r="J3060" s="6"/>
      <c r="K3060" s="6"/>
      <c r="L3060" s="6"/>
      <c r="M3060" s="6"/>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c r="BU3060" s="6"/>
      <c r="BV3060" s="6"/>
      <c r="BW3060" s="6"/>
      <c r="BX3060" s="6"/>
      <c r="BY3060" s="6"/>
      <c r="BZ3060" s="6"/>
      <c r="CA3060" s="6"/>
      <c r="CB3060" s="6"/>
      <c r="CC3060" s="6"/>
      <c r="CD3060" s="6"/>
      <c r="CE3060" s="6"/>
      <c r="CF3060" s="6"/>
      <c r="CG3060" s="6"/>
      <c r="CH3060" s="6"/>
      <c r="CI3060" s="6"/>
      <c r="CJ3060" s="6"/>
      <c r="CK3060" s="6"/>
      <c r="CL3060" s="6"/>
      <c r="CM3060" s="6"/>
      <c r="CN3060" s="6"/>
      <c r="CO3060" s="6"/>
      <c r="CP3060" s="6"/>
      <c r="CQ3060" s="6"/>
      <c r="CR3060" s="6"/>
      <c r="CS3060" s="6"/>
      <c r="CT3060" s="6"/>
      <c r="CU3060" s="6"/>
      <c r="CV3060" s="6"/>
      <c r="CW3060" s="6"/>
      <c r="CX3060" s="6"/>
      <c r="CY3060" s="6"/>
      <c r="CZ3060" s="6"/>
      <c r="DA3060" s="6"/>
      <c r="DB3060" s="6"/>
      <c r="DC3060" s="6"/>
      <c r="DD3060" s="6"/>
    </row>
    <row r="3061" spans="1:108" ht="12.75" hidden="1" customHeight="1" outlineLevel="7">
      <c r="A3061" s="104" t="s">
        <v>113</v>
      </c>
      <c r="B3061" s="28">
        <f t="shared" si="176"/>
        <v>10</v>
      </c>
      <c r="C3061" s="11"/>
      <c r="D3061" s="18" t="str">
        <f>"&lt;" &amp; A3061 &amp; "&gt;" &amp; TEXT(B3061,"0.000000") &amp; "&lt;/" &amp; A3061 &amp; "&gt;"</f>
        <v>&lt;Slat_Angle&gt;10.000000&lt;/Slat_Angle&gt;</v>
      </c>
      <c r="F3061" s="6"/>
      <c r="G3061" s="6"/>
      <c r="H3061" s="6"/>
      <c r="I3061" s="6"/>
      <c r="J3061" s="6"/>
      <c r="K3061" s="6"/>
      <c r="L3061" s="6"/>
      <c r="M3061" s="6"/>
      <c r="N3061" s="6"/>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c r="BU3061" s="6"/>
      <c r="BV3061" s="6"/>
      <c r="BW3061" s="6"/>
      <c r="BX3061" s="6"/>
      <c r="BY3061" s="6"/>
      <c r="BZ3061" s="6"/>
      <c r="CA3061" s="6"/>
      <c r="CB3061" s="6"/>
      <c r="CC3061" s="6"/>
      <c r="CD3061" s="6"/>
      <c r="CE3061" s="6"/>
      <c r="CF3061" s="6"/>
      <c r="CG3061" s="6"/>
      <c r="CH3061" s="6"/>
      <c r="CI3061" s="6"/>
      <c r="CJ3061" s="6"/>
      <c r="CK3061" s="6"/>
      <c r="CL3061" s="6"/>
      <c r="CM3061" s="6"/>
      <c r="CN3061" s="6"/>
      <c r="CO3061" s="6"/>
      <c r="CP3061" s="6"/>
      <c r="CQ3061" s="6"/>
      <c r="CR3061" s="6"/>
      <c r="CS3061" s="6"/>
      <c r="CT3061" s="6"/>
      <c r="CU3061" s="6"/>
      <c r="CV3061" s="6"/>
      <c r="CW3061" s="6"/>
      <c r="CX3061" s="6"/>
      <c r="CY3061" s="6"/>
      <c r="CZ3061" s="6"/>
      <c r="DA3061" s="6"/>
      <c r="DB3061" s="6"/>
      <c r="DC3061" s="6"/>
      <c r="DD3061" s="6"/>
    </row>
    <row r="3062" spans="1:108" ht="12.75" hidden="1" customHeight="1" outlineLevel="7">
      <c r="A3062" s="104" t="s">
        <v>114</v>
      </c>
      <c r="B3062" s="28">
        <f t="shared" si="176"/>
        <v>0</v>
      </c>
      <c r="C3062" s="11"/>
      <c r="D3062" s="18" t="str">
        <f>"&lt;" &amp; A3062 &amp; "&gt;" &amp; TEXT(B3062,0) &amp; "&lt;/" &amp; A3062 &amp; "&gt;"</f>
        <v>&lt;Flap_Flag&gt;0&lt;/Flap_Flag&gt;</v>
      </c>
      <c r="F3062" s="6"/>
      <c r="G3062" s="6"/>
      <c r="H3062" s="6"/>
      <c r="I3062" s="6"/>
      <c r="J3062" s="6"/>
      <c r="K3062" s="6"/>
      <c r="L3062" s="6"/>
      <c r="M3062" s="6"/>
      <c r="N3062" s="6"/>
      <c r="O3062" s="6"/>
      <c r="P3062" s="6"/>
      <c r="Q3062" s="6"/>
      <c r="R3062" s="6"/>
      <c r="S3062" s="6"/>
      <c r="T3062" s="6"/>
      <c r="U3062" s="6"/>
      <c r="V3062" s="6"/>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c r="BU3062" s="6"/>
      <c r="BV3062" s="6"/>
      <c r="BW3062" s="6"/>
      <c r="BX3062" s="6"/>
      <c r="BY3062" s="6"/>
      <c r="BZ3062" s="6"/>
      <c r="CA3062" s="6"/>
      <c r="CB3062" s="6"/>
      <c r="CC3062" s="6"/>
      <c r="CD3062" s="6"/>
      <c r="CE3062" s="6"/>
      <c r="CF3062" s="6"/>
      <c r="CG3062" s="6"/>
      <c r="CH3062" s="6"/>
      <c r="CI3062" s="6"/>
      <c r="CJ3062" s="6"/>
      <c r="CK3062" s="6"/>
      <c r="CL3062" s="6"/>
      <c r="CM3062" s="6"/>
      <c r="CN3062" s="6"/>
      <c r="CO3062" s="6"/>
      <c r="CP3062" s="6"/>
      <c r="CQ3062" s="6"/>
      <c r="CR3062" s="6"/>
      <c r="CS3062" s="6"/>
      <c r="CT3062" s="6"/>
      <c r="CU3062" s="6"/>
      <c r="CV3062" s="6"/>
      <c r="CW3062" s="6"/>
      <c r="CX3062" s="6"/>
      <c r="CY3062" s="6"/>
      <c r="CZ3062" s="6"/>
      <c r="DA3062" s="6"/>
      <c r="DB3062" s="6"/>
      <c r="DC3062" s="6"/>
      <c r="DD3062" s="6"/>
    </row>
    <row r="3063" spans="1:108" ht="12.75" hidden="1" customHeight="1" outlineLevel="7">
      <c r="A3063" s="104" t="s">
        <v>115</v>
      </c>
      <c r="B3063" s="28">
        <f t="shared" si="176"/>
        <v>0</v>
      </c>
      <c r="C3063" s="11"/>
      <c r="D3063" s="18" t="str">
        <f>"&lt;" &amp; A3063 &amp; "&gt;" &amp; TEXT(B3063,0) &amp; "&lt;/" &amp; A3063 &amp; "&gt;"</f>
        <v>&lt;Flap_Shear_Flag&gt;0&lt;/Flap_Shear_Flag&gt;</v>
      </c>
      <c r="F3063" s="6"/>
      <c r="G3063" s="6"/>
      <c r="H3063" s="6"/>
      <c r="I3063" s="6"/>
      <c r="J3063" s="6"/>
      <c r="K3063" s="6"/>
      <c r="L3063" s="6"/>
      <c r="M3063" s="6"/>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c r="BU3063" s="6"/>
      <c r="BV3063" s="6"/>
      <c r="BW3063" s="6"/>
      <c r="BX3063" s="6"/>
      <c r="BY3063" s="6"/>
      <c r="BZ3063" s="6"/>
      <c r="CA3063" s="6"/>
      <c r="CB3063" s="6"/>
      <c r="CC3063" s="6"/>
      <c r="CD3063" s="6"/>
      <c r="CE3063" s="6"/>
      <c r="CF3063" s="6"/>
      <c r="CG3063" s="6"/>
      <c r="CH3063" s="6"/>
      <c r="CI3063" s="6"/>
      <c r="CJ3063" s="6"/>
      <c r="CK3063" s="6"/>
      <c r="CL3063" s="6"/>
      <c r="CM3063" s="6"/>
      <c r="CN3063" s="6"/>
      <c r="CO3063" s="6"/>
      <c r="CP3063" s="6"/>
      <c r="CQ3063" s="6"/>
      <c r="CR3063" s="6"/>
      <c r="CS3063" s="6"/>
      <c r="CT3063" s="6"/>
      <c r="CU3063" s="6"/>
      <c r="CV3063" s="6"/>
      <c r="CW3063" s="6"/>
      <c r="CX3063" s="6"/>
      <c r="CY3063" s="6"/>
      <c r="CZ3063" s="6"/>
      <c r="DA3063" s="6"/>
      <c r="DB3063" s="6"/>
      <c r="DC3063" s="6"/>
      <c r="DD3063" s="6"/>
    </row>
    <row r="3064" spans="1:108" ht="12.75" hidden="1" customHeight="1" outlineLevel="7">
      <c r="A3064" s="104" t="s">
        <v>116</v>
      </c>
      <c r="B3064" s="28">
        <f t="shared" si="176"/>
        <v>0.25</v>
      </c>
      <c r="C3064" s="11"/>
      <c r="D3064" s="18" t="str">
        <f>"&lt;" &amp; A3064 &amp; "&gt;" &amp; TEXT(B3064,"0.000000") &amp; "&lt;/" &amp; A3064 &amp; "&gt;"</f>
        <v>&lt;Flap_Chord&gt;0.250000&lt;/Flap_Chord&gt;</v>
      </c>
      <c r="F3064" s="6"/>
      <c r="G3064" s="6"/>
      <c r="H3064" s="6"/>
      <c r="I3064" s="6"/>
      <c r="J3064" s="6"/>
      <c r="K3064" s="6"/>
      <c r="L3064" s="6"/>
      <c r="M3064" s="6"/>
      <c r="N3064" s="6"/>
      <c r="O3064" s="6"/>
      <c r="P3064" s="6"/>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c r="BU3064" s="6"/>
      <c r="BV3064" s="6"/>
      <c r="BW3064" s="6"/>
      <c r="BX3064" s="6"/>
      <c r="BY3064" s="6"/>
      <c r="BZ3064" s="6"/>
      <c r="CA3064" s="6"/>
      <c r="CB3064" s="6"/>
      <c r="CC3064" s="6"/>
      <c r="CD3064" s="6"/>
      <c r="CE3064" s="6"/>
      <c r="CF3064" s="6"/>
      <c r="CG3064" s="6"/>
      <c r="CH3064" s="6"/>
      <c r="CI3064" s="6"/>
      <c r="CJ3064" s="6"/>
      <c r="CK3064" s="6"/>
      <c r="CL3064" s="6"/>
      <c r="CM3064" s="6"/>
      <c r="CN3064" s="6"/>
      <c r="CO3064" s="6"/>
      <c r="CP3064" s="6"/>
      <c r="CQ3064" s="6"/>
      <c r="CR3064" s="6"/>
      <c r="CS3064" s="6"/>
      <c r="CT3064" s="6"/>
      <c r="CU3064" s="6"/>
      <c r="CV3064" s="6"/>
      <c r="CW3064" s="6"/>
      <c r="CX3064" s="6"/>
      <c r="CY3064" s="6"/>
      <c r="CZ3064" s="6"/>
      <c r="DA3064" s="6"/>
      <c r="DB3064" s="6"/>
      <c r="DC3064" s="6"/>
      <c r="DD3064" s="6"/>
    </row>
    <row r="3065" spans="1:108" ht="12.75" hidden="1" customHeight="1" outlineLevel="7">
      <c r="A3065" s="104" t="s">
        <v>117</v>
      </c>
      <c r="B3065" s="28">
        <f t="shared" si="176"/>
        <v>10</v>
      </c>
      <c r="C3065" s="11"/>
      <c r="D3065" s="18" t="str">
        <f>"&lt;" &amp; A3065 &amp; "&gt;" &amp; TEXT(B3065,"0.000000") &amp; "&lt;/" &amp; A3065 &amp; "&gt;"</f>
        <v>&lt;Flap_Angle&gt;10.000000&lt;/Flap_Angle&gt;</v>
      </c>
      <c r="F3065" s="6"/>
      <c r="G3065" s="6"/>
      <c r="H3065" s="6"/>
      <c r="I3065" s="6"/>
      <c r="J3065" s="6"/>
      <c r="K3065" s="6"/>
      <c r="L3065" s="6"/>
      <c r="M3065" s="6"/>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c r="BU3065" s="6"/>
      <c r="BV3065" s="6"/>
      <c r="BW3065" s="6"/>
      <c r="BX3065" s="6"/>
      <c r="BY3065" s="6"/>
      <c r="BZ3065" s="6"/>
      <c r="CA3065" s="6"/>
      <c r="CB3065" s="6"/>
      <c r="CC3065" s="6"/>
      <c r="CD3065" s="6"/>
      <c r="CE3065" s="6"/>
      <c r="CF3065" s="6"/>
      <c r="CG3065" s="6"/>
      <c r="CH3065" s="6"/>
      <c r="CI3065" s="6"/>
      <c r="CJ3065" s="6"/>
      <c r="CK3065" s="6"/>
      <c r="CL3065" s="6"/>
      <c r="CM3065" s="6"/>
      <c r="CN3065" s="6"/>
      <c r="CO3065" s="6"/>
      <c r="CP3065" s="6"/>
      <c r="CQ3065" s="6"/>
      <c r="CR3065" s="6"/>
      <c r="CS3065" s="6"/>
      <c r="CT3065" s="6"/>
      <c r="CU3065" s="6"/>
      <c r="CV3065" s="6"/>
      <c r="CW3065" s="6"/>
      <c r="CX3065" s="6"/>
      <c r="CY3065" s="6"/>
      <c r="CZ3065" s="6"/>
      <c r="DA3065" s="6"/>
      <c r="DB3065" s="6"/>
      <c r="DC3065" s="6"/>
      <c r="DD3065" s="6"/>
    </row>
    <row r="3066" spans="1:108" ht="12.75" hidden="1" customHeight="1" outlineLevel="7">
      <c r="A3066" s="104" t="s">
        <v>118</v>
      </c>
      <c r="B3066" s="100"/>
      <c r="C3066" s="11"/>
      <c r="D3066" s="6" t="str">
        <f>"&lt;" &amp; A3066 &amp; "&gt;"</f>
        <v>&lt;/Airfoil&gt;</v>
      </c>
      <c r="F3066" s="6"/>
      <c r="G3066" s="6"/>
      <c r="H3066" s="6"/>
      <c r="I3066" s="6"/>
      <c r="J3066" s="6"/>
      <c r="K3066" s="6"/>
      <c r="L3066" s="6"/>
      <c r="M3066" s="6"/>
      <c r="N3066" s="6"/>
      <c r="O3066" s="6"/>
      <c r="P3066" s="6"/>
      <c r="Q3066" s="6"/>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c r="BU3066" s="6"/>
      <c r="BV3066" s="6"/>
      <c r="BW3066" s="6"/>
      <c r="BX3066" s="6"/>
      <c r="BY3066" s="6"/>
      <c r="BZ3066" s="6"/>
      <c r="CA3066" s="6"/>
      <c r="CB3066" s="6"/>
      <c r="CC3066" s="6"/>
      <c r="CD3066" s="6"/>
      <c r="CE3066" s="6"/>
      <c r="CF3066" s="6"/>
      <c r="CG3066" s="6"/>
      <c r="CH3066" s="6"/>
      <c r="CI3066" s="6"/>
      <c r="CJ3066" s="6"/>
      <c r="CK3066" s="6"/>
      <c r="CL3066" s="6"/>
      <c r="CM3066" s="6"/>
      <c r="CN3066" s="6"/>
      <c r="CO3066" s="6"/>
      <c r="CP3066" s="6"/>
      <c r="CQ3066" s="6"/>
      <c r="CR3066" s="6"/>
      <c r="CS3066" s="6"/>
      <c r="CT3066" s="6"/>
      <c r="CU3066" s="6"/>
      <c r="CV3066" s="6"/>
      <c r="CW3066" s="6"/>
      <c r="CX3066" s="6"/>
      <c r="CY3066" s="6"/>
      <c r="CZ3066" s="6"/>
      <c r="DA3066" s="6"/>
      <c r="DB3066" s="6"/>
      <c r="DC3066" s="6"/>
      <c r="DD3066" s="6"/>
    </row>
    <row r="3067" spans="1:108" ht="12.75" hidden="1" customHeight="1" outlineLevel="6">
      <c r="A3067" s="104" t="s">
        <v>308</v>
      </c>
      <c r="B3067" s="100"/>
      <c r="C3067" s="11"/>
      <c r="D3067" s="6" t="str">
        <f>"&lt;" &amp; A3067 &amp; "&gt;"</f>
        <v>&lt;/Sect_Parms&gt;</v>
      </c>
      <c r="F3067" s="6"/>
      <c r="G3067" s="6"/>
      <c r="H3067" s="6"/>
      <c r="I3067" s="6"/>
      <c r="J3067" s="6"/>
      <c r="K3067" s="6"/>
      <c r="L3067" s="6"/>
      <c r="M3067" s="6"/>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c r="BU3067" s="6"/>
      <c r="BV3067" s="6"/>
      <c r="BW3067" s="6"/>
      <c r="BX3067" s="6"/>
      <c r="BY3067" s="6"/>
      <c r="BZ3067" s="6"/>
      <c r="CA3067" s="6"/>
      <c r="CB3067" s="6"/>
      <c r="CC3067" s="6"/>
      <c r="CD3067" s="6"/>
      <c r="CE3067" s="6"/>
      <c r="CF3067" s="6"/>
      <c r="CG3067" s="6"/>
      <c r="CH3067" s="6"/>
      <c r="CI3067" s="6"/>
      <c r="CJ3067" s="6"/>
      <c r="CK3067" s="6"/>
      <c r="CL3067" s="6"/>
      <c r="CM3067" s="6"/>
      <c r="CN3067" s="6"/>
      <c r="CO3067" s="6"/>
      <c r="CP3067" s="6"/>
      <c r="CQ3067" s="6"/>
      <c r="CR3067" s="6"/>
      <c r="CS3067" s="6"/>
      <c r="CT3067" s="6"/>
      <c r="CU3067" s="6"/>
      <c r="CV3067" s="6"/>
      <c r="CW3067" s="6"/>
      <c r="CX3067" s="6"/>
      <c r="CY3067" s="6"/>
      <c r="CZ3067" s="6"/>
      <c r="DA3067" s="6"/>
      <c r="DB3067" s="6"/>
      <c r="DC3067" s="6"/>
      <c r="DD3067" s="6"/>
    </row>
    <row r="3068" spans="1:108" ht="12.75" hidden="1" customHeight="1" outlineLevel="5">
      <c r="A3068" s="104" t="s">
        <v>305</v>
      </c>
      <c r="B3068" s="110" t="s">
        <v>389</v>
      </c>
      <c r="C3068" s="11"/>
      <c r="D3068" s="6" t="str">
        <f>"&lt;" &amp; A3068 &amp; "&gt;"</f>
        <v>&lt;Sect_Parms&gt;</v>
      </c>
      <c r="F3068" s="6"/>
      <c r="G3068" s="6"/>
      <c r="H3068" s="6"/>
      <c r="I3068" s="6"/>
      <c r="J3068" s="6"/>
      <c r="K3068" s="6"/>
      <c r="L3068" s="6"/>
      <c r="M3068" s="6"/>
      <c r="N3068" s="6"/>
      <c r="O3068" s="6"/>
      <c r="P3068" s="6"/>
      <c r="Q3068" s="6"/>
      <c r="R3068" s="6"/>
      <c r="S3068" s="6"/>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c r="BU3068" s="6"/>
      <c r="BV3068" s="6"/>
      <c r="BW3068" s="6"/>
      <c r="BX3068" s="6"/>
      <c r="BY3068" s="6"/>
      <c r="BZ3068" s="6"/>
      <c r="CA3068" s="6"/>
      <c r="CB3068" s="6"/>
      <c r="CC3068" s="6"/>
      <c r="CD3068" s="6"/>
      <c r="CE3068" s="6"/>
      <c r="CF3068" s="6"/>
      <c r="CG3068" s="6"/>
      <c r="CH3068" s="6"/>
      <c r="CI3068" s="6"/>
      <c r="CJ3068" s="6"/>
      <c r="CK3068" s="6"/>
      <c r="CL3068" s="6"/>
      <c r="CM3068" s="6"/>
      <c r="CN3068" s="6"/>
      <c r="CO3068" s="6"/>
      <c r="CP3068" s="6"/>
      <c r="CQ3068" s="6"/>
      <c r="CR3068" s="6"/>
      <c r="CS3068" s="6"/>
      <c r="CT3068" s="6"/>
      <c r="CU3068" s="6"/>
      <c r="CV3068" s="6"/>
      <c r="CW3068" s="6"/>
      <c r="CX3068" s="6"/>
      <c r="CY3068" s="6"/>
      <c r="CZ3068" s="6"/>
      <c r="DA3068" s="6"/>
      <c r="DB3068" s="6"/>
      <c r="DC3068" s="6"/>
      <c r="DD3068" s="6"/>
    </row>
    <row r="3069" spans="1:108" ht="12.75" hidden="1" customHeight="1" outlineLevel="6">
      <c r="A3069" s="104" t="s">
        <v>306</v>
      </c>
      <c r="B3069" s="28">
        <f>B1470</f>
        <v>0.9</v>
      </c>
      <c r="C3069" s="11"/>
      <c r="D3069" s="18" t="str">
        <f>"&lt;" &amp; A3069 &amp; "&gt;" &amp; TEXT(B3069,"0.000000") &amp; "&lt;/" &amp; A3069 &amp; "&gt;"</f>
        <v>&lt;X_Off&gt;0.900000&lt;/X_Off&gt;</v>
      </c>
      <c r="F3069" s="6"/>
      <c r="G3069" s="6"/>
      <c r="H3069" s="6"/>
      <c r="I3069" s="6"/>
      <c r="J3069" s="6"/>
      <c r="K3069" s="6"/>
      <c r="L3069" s="6"/>
      <c r="M3069" s="6"/>
      <c r="N3069" s="6"/>
      <c r="O3069" s="6"/>
      <c r="P3069" s="6"/>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c r="BU3069" s="6"/>
      <c r="BV3069" s="6"/>
      <c r="BW3069" s="6"/>
      <c r="BX3069" s="6"/>
      <c r="BY3069" s="6"/>
      <c r="BZ3069" s="6"/>
      <c r="CA3069" s="6"/>
      <c r="CB3069" s="6"/>
      <c r="CC3069" s="6"/>
      <c r="CD3069" s="6"/>
      <c r="CE3069" s="6"/>
      <c r="CF3069" s="6"/>
      <c r="CG3069" s="6"/>
      <c r="CH3069" s="6"/>
      <c r="CI3069" s="6"/>
      <c r="CJ3069" s="6"/>
      <c r="CK3069" s="6"/>
      <c r="CL3069" s="6"/>
      <c r="CM3069" s="6"/>
      <c r="CN3069" s="6"/>
      <c r="CO3069" s="6"/>
      <c r="CP3069" s="6"/>
      <c r="CQ3069" s="6"/>
      <c r="CR3069" s="6"/>
      <c r="CS3069" s="6"/>
      <c r="CT3069" s="6"/>
      <c r="CU3069" s="6"/>
      <c r="CV3069" s="6"/>
      <c r="CW3069" s="6"/>
      <c r="CX3069" s="6"/>
      <c r="CY3069" s="6"/>
      <c r="CZ3069" s="6"/>
      <c r="DA3069" s="6"/>
      <c r="DB3069" s="6"/>
      <c r="DC3069" s="6"/>
      <c r="DD3069" s="6"/>
    </row>
    <row r="3070" spans="1:108" ht="12.75" hidden="1" customHeight="1" outlineLevel="6">
      <c r="A3070" s="104" t="s">
        <v>307</v>
      </c>
      <c r="B3070" s="28">
        <f>B1471</f>
        <v>0</v>
      </c>
      <c r="C3070" s="11"/>
      <c r="D3070" s="18" t="str">
        <f>"&lt;" &amp; A3070 &amp; "&gt;" &amp; TEXT(B3070,"0.000000") &amp; "&lt;/" &amp; A3070 &amp; "&gt;"</f>
        <v>&lt;Y_Off&gt;0.000000&lt;/Y_Off&gt;</v>
      </c>
      <c r="F3070" s="6"/>
      <c r="G3070" s="6"/>
      <c r="H3070" s="6"/>
      <c r="I3070" s="6"/>
      <c r="J3070" s="6"/>
      <c r="K3070" s="6"/>
      <c r="L3070" s="6"/>
      <c r="M3070" s="6"/>
      <c r="N3070" s="6"/>
      <c r="O3070" s="6"/>
      <c r="P3070" s="6"/>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c r="BU3070" s="6"/>
      <c r="BV3070" s="6"/>
      <c r="BW3070" s="6"/>
      <c r="BX3070" s="6"/>
      <c r="BY3070" s="6"/>
      <c r="BZ3070" s="6"/>
      <c r="CA3070" s="6"/>
      <c r="CB3070" s="6"/>
      <c r="CC3070" s="6"/>
      <c r="CD3070" s="6"/>
      <c r="CE3070" s="6"/>
      <c r="CF3070" s="6"/>
      <c r="CG3070" s="6"/>
      <c r="CH3070" s="6"/>
      <c r="CI3070" s="6"/>
      <c r="CJ3070" s="6"/>
      <c r="CK3070" s="6"/>
      <c r="CL3070" s="6"/>
      <c r="CM3070" s="6"/>
      <c r="CN3070" s="6"/>
      <c r="CO3070" s="6"/>
      <c r="CP3070" s="6"/>
      <c r="CQ3070" s="6"/>
      <c r="CR3070" s="6"/>
      <c r="CS3070" s="6"/>
      <c r="CT3070" s="6"/>
      <c r="CU3070" s="6"/>
      <c r="CV3070" s="6"/>
      <c r="CW3070" s="6"/>
      <c r="CX3070" s="6"/>
      <c r="CY3070" s="6"/>
      <c r="CZ3070" s="6"/>
      <c r="DA3070" s="6"/>
      <c r="DB3070" s="6"/>
      <c r="DC3070" s="6"/>
      <c r="DD3070" s="6"/>
    </row>
    <row r="3071" spans="1:108" ht="12.75" hidden="1" customHeight="1" outlineLevel="6">
      <c r="A3071" s="104" t="s">
        <v>287</v>
      </c>
      <c r="B3071" s="28">
        <f>B1472</f>
        <v>7.0000000000000007E-2</v>
      </c>
      <c r="C3071" s="11"/>
      <c r="D3071" s="18" t="str">
        <f>"&lt;" &amp; A3071 &amp; "&gt;" &amp; TEXT(B3071,"0.000000") &amp; "&lt;/" &amp; A3071 &amp; "&gt;"</f>
        <v>&lt;Chord&gt;0.070000&lt;/Chord&gt;</v>
      </c>
      <c r="F3071" s="6"/>
      <c r="G3071" s="6"/>
      <c r="H3071" s="6"/>
      <c r="I3071" s="6"/>
      <c r="J3071" s="6"/>
      <c r="K3071" s="6"/>
      <c r="L3071" s="6"/>
      <c r="M3071" s="6"/>
      <c r="N3071" s="6"/>
      <c r="O3071" s="6"/>
      <c r="P3071" s="6"/>
      <c r="Q3071" s="6"/>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c r="BU3071" s="6"/>
      <c r="BV3071" s="6"/>
      <c r="BW3071" s="6"/>
      <c r="BX3071" s="6"/>
      <c r="BY3071" s="6"/>
      <c r="BZ3071" s="6"/>
      <c r="CA3071" s="6"/>
      <c r="CB3071" s="6"/>
      <c r="CC3071" s="6"/>
      <c r="CD3071" s="6"/>
      <c r="CE3071" s="6"/>
      <c r="CF3071" s="6"/>
      <c r="CG3071" s="6"/>
      <c r="CH3071" s="6"/>
      <c r="CI3071" s="6"/>
      <c r="CJ3071" s="6"/>
      <c r="CK3071" s="6"/>
      <c r="CL3071" s="6"/>
      <c r="CM3071" s="6"/>
      <c r="CN3071" s="6"/>
      <c r="CO3071" s="6"/>
      <c r="CP3071" s="6"/>
      <c r="CQ3071" s="6"/>
      <c r="CR3071" s="6"/>
      <c r="CS3071" s="6"/>
      <c r="CT3071" s="6"/>
      <c r="CU3071" s="6"/>
      <c r="CV3071" s="6"/>
      <c r="CW3071" s="6"/>
      <c r="CX3071" s="6"/>
      <c r="CY3071" s="6"/>
      <c r="CZ3071" s="6"/>
      <c r="DA3071" s="6"/>
      <c r="DB3071" s="6"/>
      <c r="DC3071" s="6"/>
      <c r="DD3071" s="6"/>
    </row>
    <row r="3072" spans="1:108" ht="12.75" hidden="1" customHeight="1" outlineLevel="6">
      <c r="A3072" s="104" t="s">
        <v>9</v>
      </c>
      <c r="B3072" s="28">
        <f>B1473</f>
        <v>5</v>
      </c>
      <c r="C3072" s="11"/>
      <c r="D3072" s="18" t="str">
        <f>"&lt;" &amp; A3072 &amp; "&gt;" &amp; TEXT(B3072,"0.000000") &amp; "&lt;/" &amp; A3072 &amp; "&gt;"</f>
        <v>&lt;Twist&gt;5.000000&lt;/Twist&gt;</v>
      </c>
      <c r="F3072" s="6"/>
      <c r="G3072" s="6"/>
      <c r="H3072" s="6"/>
      <c r="I3072" s="6"/>
      <c r="J3072" s="6"/>
      <c r="K3072" s="6"/>
      <c r="L3072" s="6"/>
      <c r="M3072" s="6"/>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c r="BU3072" s="6"/>
      <c r="BV3072" s="6"/>
      <c r="BW3072" s="6"/>
      <c r="BX3072" s="6"/>
      <c r="BY3072" s="6"/>
      <c r="BZ3072" s="6"/>
      <c r="CA3072" s="6"/>
      <c r="CB3072" s="6"/>
      <c r="CC3072" s="6"/>
      <c r="CD3072" s="6"/>
      <c r="CE3072" s="6"/>
      <c r="CF3072" s="6"/>
      <c r="CG3072" s="6"/>
      <c r="CH3072" s="6"/>
      <c r="CI3072" s="6"/>
      <c r="CJ3072" s="6"/>
      <c r="CK3072" s="6"/>
      <c r="CL3072" s="6"/>
      <c r="CM3072" s="6"/>
      <c r="CN3072" s="6"/>
      <c r="CO3072" s="6"/>
      <c r="CP3072" s="6"/>
      <c r="CQ3072" s="6"/>
      <c r="CR3072" s="6"/>
      <c r="CS3072" s="6"/>
      <c r="CT3072" s="6"/>
      <c r="CU3072" s="6"/>
      <c r="CV3072" s="6"/>
      <c r="CW3072" s="6"/>
      <c r="CX3072" s="6"/>
      <c r="CY3072" s="6"/>
      <c r="CZ3072" s="6"/>
      <c r="DA3072" s="6"/>
      <c r="DB3072" s="6"/>
      <c r="DC3072" s="6"/>
      <c r="DD3072" s="6"/>
    </row>
    <row r="3073" spans="1:108" ht="12.75" hidden="1" customHeight="1" outlineLevel="6">
      <c r="A3073" s="104" t="s">
        <v>2</v>
      </c>
      <c r="B3073" s="100"/>
      <c r="C3073" s="11"/>
      <c r="D3073" s="6" t="str">
        <f>"&lt;" &amp; A3073 &amp; "&gt;"</f>
        <v>&lt;Airfoil&gt;</v>
      </c>
      <c r="F3073" s="6"/>
      <c r="G3073" s="6"/>
      <c r="H3073" s="6"/>
      <c r="I3073" s="6"/>
      <c r="J3073" s="6"/>
      <c r="K3073" s="6"/>
      <c r="L3073" s="6"/>
      <c r="M3073" s="6"/>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c r="BU3073" s="6"/>
      <c r="BV3073" s="6"/>
      <c r="BW3073" s="6"/>
      <c r="BX3073" s="6"/>
      <c r="BY3073" s="6"/>
      <c r="BZ3073" s="6"/>
      <c r="CA3073" s="6"/>
      <c r="CB3073" s="6"/>
      <c r="CC3073" s="6"/>
      <c r="CD3073" s="6"/>
      <c r="CE3073" s="6"/>
      <c r="CF3073" s="6"/>
      <c r="CG3073" s="6"/>
      <c r="CH3073" s="6"/>
      <c r="CI3073" s="6"/>
      <c r="CJ3073" s="6"/>
      <c r="CK3073" s="6"/>
      <c r="CL3073" s="6"/>
      <c r="CM3073" s="6"/>
      <c r="CN3073" s="6"/>
      <c r="CO3073" s="6"/>
      <c r="CP3073" s="6"/>
      <c r="CQ3073" s="6"/>
      <c r="CR3073" s="6"/>
      <c r="CS3073" s="6"/>
      <c r="CT3073" s="6"/>
      <c r="CU3073" s="6"/>
      <c r="CV3073" s="6"/>
      <c r="CW3073" s="6"/>
      <c r="CX3073" s="6"/>
      <c r="CY3073" s="6"/>
      <c r="CZ3073" s="6"/>
      <c r="DA3073" s="6"/>
      <c r="DB3073" s="6"/>
      <c r="DC3073" s="6"/>
      <c r="DD3073" s="6"/>
    </row>
    <row r="3074" spans="1:108" ht="12.75" hidden="1" customHeight="1" outlineLevel="7">
      <c r="A3074" s="104" t="s">
        <v>14</v>
      </c>
      <c r="B3074" s="28">
        <f t="shared" ref="B3074:B3092" si="178">B1475</f>
        <v>1</v>
      </c>
      <c r="C3074" s="11"/>
      <c r="D3074" s="18" t="str">
        <f>"&lt;" &amp; A3074 &amp; "&gt;" &amp; TEXT(B3074,0) &amp; "&lt;/" &amp; A3074 &amp; "&gt;"</f>
        <v>&lt;Type&gt;1&lt;/Type&gt;</v>
      </c>
      <c r="F3074" s="6"/>
      <c r="G3074" s="6"/>
      <c r="H3074" s="6"/>
      <c r="I3074" s="6"/>
      <c r="J3074" s="6"/>
      <c r="K3074" s="6"/>
      <c r="L3074" s="6"/>
      <c r="M3074" s="6"/>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c r="BU3074" s="6"/>
      <c r="BV3074" s="6"/>
      <c r="BW3074" s="6"/>
      <c r="BX3074" s="6"/>
      <c r="BY3074" s="6"/>
      <c r="BZ3074" s="6"/>
      <c r="CA3074" s="6"/>
      <c r="CB3074" s="6"/>
      <c r="CC3074" s="6"/>
      <c r="CD3074" s="6"/>
      <c r="CE3074" s="6"/>
      <c r="CF3074" s="6"/>
      <c r="CG3074" s="6"/>
      <c r="CH3074" s="6"/>
      <c r="CI3074" s="6"/>
      <c r="CJ3074" s="6"/>
      <c r="CK3074" s="6"/>
      <c r="CL3074" s="6"/>
      <c r="CM3074" s="6"/>
      <c r="CN3074" s="6"/>
      <c r="CO3074" s="6"/>
      <c r="CP3074" s="6"/>
      <c r="CQ3074" s="6"/>
      <c r="CR3074" s="6"/>
      <c r="CS3074" s="6"/>
      <c r="CT3074" s="6"/>
      <c r="CU3074" s="6"/>
      <c r="CV3074" s="6"/>
      <c r="CW3074" s="6"/>
      <c r="CX3074" s="6"/>
      <c r="CY3074" s="6"/>
      <c r="CZ3074" s="6"/>
      <c r="DA3074" s="6"/>
      <c r="DB3074" s="6"/>
      <c r="DC3074" s="6"/>
      <c r="DD3074" s="6"/>
    </row>
    <row r="3075" spans="1:108" ht="12.75" hidden="1" customHeight="1" outlineLevel="7">
      <c r="A3075" s="104" t="s">
        <v>102</v>
      </c>
      <c r="B3075" s="28">
        <f t="shared" si="178"/>
        <v>0</v>
      </c>
      <c r="C3075" s="11"/>
      <c r="D3075" s="18" t="str">
        <f>"&lt;" &amp; A3075 &amp; "&gt;" &amp; TEXT(B3075,0) &amp; "&lt;/" &amp; A3075 &amp; "&gt;"</f>
        <v>&lt;Inverted_Flag&gt;0&lt;/Inverted_Flag&gt;</v>
      </c>
      <c r="F3075" s="6"/>
      <c r="G3075" s="6"/>
      <c r="H3075" s="6"/>
      <c r="I3075" s="6"/>
      <c r="J3075" s="6"/>
      <c r="K3075" s="6"/>
      <c r="L3075" s="6"/>
      <c r="M3075" s="6"/>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c r="BU3075" s="6"/>
      <c r="BV3075" s="6"/>
      <c r="BW3075" s="6"/>
      <c r="BX3075" s="6"/>
      <c r="BY3075" s="6"/>
      <c r="BZ3075" s="6"/>
      <c r="CA3075" s="6"/>
      <c r="CB3075" s="6"/>
      <c r="CC3075" s="6"/>
      <c r="CD3075" s="6"/>
      <c r="CE3075" s="6"/>
      <c r="CF3075" s="6"/>
      <c r="CG3075" s="6"/>
      <c r="CH3075" s="6"/>
      <c r="CI3075" s="6"/>
      <c r="CJ3075" s="6"/>
      <c r="CK3075" s="6"/>
      <c r="CL3075" s="6"/>
      <c r="CM3075" s="6"/>
      <c r="CN3075" s="6"/>
      <c r="CO3075" s="6"/>
      <c r="CP3075" s="6"/>
      <c r="CQ3075" s="6"/>
      <c r="CR3075" s="6"/>
      <c r="CS3075" s="6"/>
      <c r="CT3075" s="6"/>
      <c r="CU3075" s="6"/>
      <c r="CV3075" s="6"/>
      <c r="CW3075" s="6"/>
      <c r="CX3075" s="6"/>
      <c r="CY3075" s="6"/>
      <c r="CZ3075" s="6"/>
      <c r="DA3075" s="6"/>
      <c r="DB3075" s="6"/>
      <c r="DC3075" s="6"/>
      <c r="DD3075" s="6"/>
    </row>
    <row r="3076" spans="1:108" ht="12.75" hidden="1" customHeight="1" outlineLevel="7">
      <c r="A3076" s="104" t="s">
        <v>4</v>
      </c>
      <c r="B3076" s="28">
        <f t="shared" si="178"/>
        <v>0</v>
      </c>
      <c r="C3076" s="11"/>
      <c r="D3076" s="18" t="str">
        <f t="shared" ref="D3076:D3081" si="179">"&lt;" &amp; A3076 &amp; "&gt;" &amp; TEXT(B3076,"0.000000") &amp; "&lt;/" &amp; A3076 &amp; "&gt;"</f>
        <v>&lt;Camber&gt;0.000000&lt;/Camber&gt;</v>
      </c>
      <c r="F3076" s="6"/>
      <c r="G3076" s="6"/>
      <c r="H3076" s="6"/>
      <c r="I3076" s="6"/>
      <c r="J3076" s="6"/>
      <c r="K3076" s="6"/>
      <c r="L3076" s="6"/>
      <c r="M3076" s="6"/>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c r="BU3076" s="6"/>
      <c r="BV3076" s="6"/>
      <c r="BW3076" s="6"/>
      <c r="BX3076" s="6"/>
      <c r="BY3076" s="6"/>
      <c r="BZ3076" s="6"/>
      <c r="CA3076" s="6"/>
      <c r="CB3076" s="6"/>
      <c r="CC3076" s="6"/>
      <c r="CD3076" s="6"/>
      <c r="CE3076" s="6"/>
      <c r="CF3076" s="6"/>
      <c r="CG3076" s="6"/>
      <c r="CH3076" s="6"/>
      <c r="CI3076" s="6"/>
      <c r="CJ3076" s="6"/>
      <c r="CK3076" s="6"/>
      <c r="CL3076" s="6"/>
      <c r="CM3076" s="6"/>
      <c r="CN3076" s="6"/>
      <c r="CO3076" s="6"/>
      <c r="CP3076" s="6"/>
      <c r="CQ3076" s="6"/>
      <c r="CR3076" s="6"/>
      <c r="CS3076" s="6"/>
      <c r="CT3076" s="6"/>
      <c r="CU3076" s="6"/>
      <c r="CV3076" s="6"/>
      <c r="CW3076" s="6"/>
      <c r="CX3076" s="6"/>
      <c r="CY3076" s="6"/>
      <c r="CZ3076" s="6"/>
      <c r="DA3076" s="6"/>
      <c r="DB3076" s="6"/>
      <c r="DC3076" s="6"/>
      <c r="DD3076" s="6"/>
    </row>
    <row r="3077" spans="1:108" ht="12.75" hidden="1" customHeight="1" outlineLevel="7">
      <c r="A3077" s="104" t="s">
        <v>103</v>
      </c>
      <c r="B3077" s="28">
        <f t="shared" si="178"/>
        <v>0.5</v>
      </c>
      <c r="C3077" s="11"/>
      <c r="D3077" s="18" t="str">
        <f t="shared" si="179"/>
        <v>&lt;Camber_Loc&gt;0.500000&lt;/Camber_Loc&gt;</v>
      </c>
      <c r="F3077" s="6"/>
      <c r="G3077" s="6"/>
      <c r="H3077" s="6"/>
      <c r="I3077" s="6"/>
      <c r="J3077" s="6"/>
      <c r="K3077" s="6"/>
      <c r="L3077" s="6"/>
      <c r="M3077" s="6"/>
      <c r="N3077" s="6"/>
      <c r="O3077" s="6"/>
      <c r="P3077" s="6"/>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c r="BU3077" s="6"/>
      <c r="BV3077" s="6"/>
      <c r="BW3077" s="6"/>
      <c r="BX3077" s="6"/>
      <c r="BY3077" s="6"/>
      <c r="BZ3077" s="6"/>
      <c r="CA3077" s="6"/>
      <c r="CB3077" s="6"/>
      <c r="CC3077" s="6"/>
      <c r="CD3077" s="6"/>
      <c r="CE3077" s="6"/>
      <c r="CF3077" s="6"/>
      <c r="CG3077" s="6"/>
      <c r="CH3077" s="6"/>
      <c r="CI3077" s="6"/>
      <c r="CJ3077" s="6"/>
      <c r="CK3077" s="6"/>
      <c r="CL3077" s="6"/>
      <c r="CM3077" s="6"/>
      <c r="CN3077" s="6"/>
      <c r="CO3077" s="6"/>
      <c r="CP3077" s="6"/>
      <c r="CQ3077" s="6"/>
      <c r="CR3077" s="6"/>
      <c r="CS3077" s="6"/>
      <c r="CT3077" s="6"/>
      <c r="CU3077" s="6"/>
      <c r="CV3077" s="6"/>
      <c r="CW3077" s="6"/>
      <c r="CX3077" s="6"/>
      <c r="CY3077" s="6"/>
      <c r="CZ3077" s="6"/>
      <c r="DA3077" s="6"/>
      <c r="DB3077" s="6"/>
      <c r="DC3077" s="6"/>
      <c r="DD3077" s="6"/>
    </row>
    <row r="3078" spans="1:108" ht="12.75" hidden="1" customHeight="1" outlineLevel="7">
      <c r="A3078" s="104" t="s">
        <v>5</v>
      </c>
      <c r="B3078" s="28">
        <f t="shared" si="178"/>
        <v>0.2</v>
      </c>
      <c r="C3078" s="11"/>
      <c r="D3078" s="18" t="str">
        <f t="shared" si="179"/>
        <v>&lt;Thickness&gt;0.200000&lt;/Thickness&gt;</v>
      </c>
      <c r="F3078" s="6"/>
      <c r="G3078" s="6"/>
      <c r="H3078" s="6"/>
      <c r="I3078" s="6"/>
      <c r="J3078" s="6"/>
      <c r="K3078" s="6"/>
      <c r="L3078" s="6"/>
      <c r="M3078" s="6"/>
      <c r="N3078" s="6"/>
      <c r="O3078" s="6"/>
      <c r="P3078" s="6"/>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c r="BU3078" s="6"/>
      <c r="BV3078" s="6"/>
      <c r="BW3078" s="6"/>
      <c r="BX3078" s="6"/>
      <c r="BY3078" s="6"/>
      <c r="BZ3078" s="6"/>
      <c r="CA3078" s="6"/>
      <c r="CB3078" s="6"/>
      <c r="CC3078" s="6"/>
      <c r="CD3078" s="6"/>
      <c r="CE3078" s="6"/>
      <c r="CF3078" s="6"/>
      <c r="CG3078" s="6"/>
      <c r="CH3078" s="6"/>
      <c r="CI3078" s="6"/>
      <c r="CJ3078" s="6"/>
      <c r="CK3078" s="6"/>
      <c r="CL3078" s="6"/>
      <c r="CM3078" s="6"/>
      <c r="CN3078" s="6"/>
      <c r="CO3078" s="6"/>
      <c r="CP3078" s="6"/>
      <c r="CQ3078" s="6"/>
      <c r="CR3078" s="6"/>
      <c r="CS3078" s="6"/>
      <c r="CT3078" s="6"/>
      <c r="CU3078" s="6"/>
      <c r="CV3078" s="6"/>
      <c r="CW3078" s="6"/>
      <c r="CX3078" s="6"/>
      <c r="CY3078" s="6"/>
      <c r="CZ3078" s="6"/>
      <c r="DA3078" s="6"/>
      <c r="DB3078" s="6"/>
      <c r="DC3078" s="6"/>
      <c r="DD3078" s="6"/>
    </row>
    <row r="3079" spans="1:108" ht="12.75" hidden="1" customHeight="1" outlineLevel="7">
      <c r="A3079" s="104" t="s">
        <v>104</v>
      </c>
      <c r="B3079" s="28">
        <f t="shared" si="178"/>
        <v>0.3</v>
      </c>
      <c r="C3079" s="11"/>
      <c r="D3079" s="18" t="str">
        <f t="shared" si="179"/>
        <v>&lt;Thickness_Loc&gt;0.300000&lt;/Thickness_Loc&gt;</v>
      </c>
      <c r="F3079" s="6"/>
      <c r="G3079" s="6"/>
      <c r="H3079" s="6"/>
      <c r="I3079" s="6"/>
      <c r="J3079" s="6"/>
      <c r="K3079" s="6"/>
      <c r="L3079" s="6"/>
      <c r="M3079" s="6"/>
      <c r="N3079" s="6"/>
      <c r="O3079" s="6"/>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c r="BU3079" s="6"/>
      <c r="BV3079" s="6"/>
      <c r="BW3079" s="6"/>
      <c r="BX3079" s="6"/>
      <c r="BY3079" s="6"/>
      <c r="BZ3079" s="6"/>
      <c r="CA3079" s="6"/>
      <c r="CB3079" s="6"/>
      <c r="CC3079" s="6"/>
      <c r="CD3079" s="6"/>
      <c r="CE3079" s="6"/>
      <c r="CF3079" s="6"/>
      <c r="CG3079" s="6"/>
      <c r="CH3079" s="6"/>
      <c r="CI3079" s="6"/>
      <c r="CJ3079" s="6"/>
      <c r="CK3079" s="6"/>
      <c r="CL3079" s="6"/>
      <c r="CM3079" s="6"/>
      <c r="CN3079" s="6"/>
      <c r="CO3079" s="6"/>
      <c r="CP3079" s="6"/>
      <c r="CQ3079" s="6"/>
      <c r="CR3079" s="6"/>
      <c r="CS3079" s="6"/>
      <c r="CT3079" s="6"/>
      <c r="CU3079" s="6"/>
      <c r="CV3079" s="6"/>
      <c r="CW3079" s="6"/>
      <c r="CX3079" s="6"/>
      <c r="CY3079" s="6"/>
      <c r="CZ3079" s="6"/>
      <c r="DA3079" s="6"/>
      <c r="DB3079" s="6"/>
      <c r="DC3079" s="6"/>
      <c r="DD3079" s="6"/>
    </row>
    <row r="3080" spans="1:108" ht="12.75" hidden="1" customHeight="1" outlineLevel="7">
      <c r="A3080" s="104" t="s">
        <v>105</v>
      </c>
      <c r="B3080" s="28">
        <f t="shared" si="178"/>
        <v>4.4075999999999997E-2</v>
      </c>
      <c r="C3080" s="11"/>
      <c r="D3080" s="18" t="str">
        <f t="shared" si="179"/>
        <v>&lt;Radius_Le&gt;0.044076&lt;/Radius_Le&gt;</v>
      </c>
      <c r="F3080" s="6"/>
      <c r="G3080" s="6"/>
      <c r="H3080" s="6"/>
      <c r="I3080" s="6"/>
      <c r="J3080" s="6"/>
      <c r="K3080" s="6"/>
      <c r="L3080" s="6"/>
      <c r="M3080" s="6"/>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c r="BU3080" s="6"/>
      <c r="BV3080" s="6"/>
      <c r="BW3080" s="6"/>
      <c r="BX3080" s="6"/>
      <c r="BY3080" s="6"/>
      <c r="BZ3080" s="6"/>
      <c r="CA3080" s="6"/>
      <c r="CB3080" s="6"/>
      <c r="CC3080" s="6"/>
      <c r="CD3080" s="6"/>
      <c r="CE3080" s="6"/>
      <c r="CF3080" s="6"/>
      <c r="CG3080" s="6"/>
      <c r="CH3080" s="6"/>
      <c r="CI3080" s="6"/>
      <c r="CJ3080" s="6"/>
      <c r="CK3080" s="6"/>
      <c r="CL3080" s="6"/>
      <c r="CM3080" s="6"/>
      <c r="CN3080" s="6"/>
      <c r="CO3080" s="6"/>
      <c r="CP3080" s="6"/>
      <c r="CQ3080" s="6"/>
      <c r="CR3080" s="6"/>
      <c r="CS3080" s="6"/>
      <c r="CT3080" s="6"/>
      <c r="CU3080" s="6"/>
      <c r="CV3080" s="6"/>
      <c r="CW3080" s="6"/>
      <c r="CX3080" s="6"/>
      <c r="CY3080" s="6"/>
      <c r="CZ3080" s="6"/>
      <c r="DA3080" s="6"/>
      <c r="DB3080" s="6"/>
      <c r="DC3080" s="6"/>
      <c r="DD3080" s="6"/>
    </row>
    <row r="3081" spans="1:108" ht="12.75" hidden="1" customHeight="1" outlineLevel="7">
      <c r="A3081" s="104" t="s">
        <v>106</v>
      </c>
      <c r="B3081" s="28">
        <f t="shared" si="178"/>
        <v>0</v>
      </c>
      <c r="C3081" s="11"/>
      <c r="D3081" s="18" t="str">
        <f t="shared" si="179"/>
        <v>&lt;Radius_Te&gt;0.000000&lt;/Radius_Te&gt;</v>
      </c>
      <c r="F3081" s="6"/>
      <c r="G3081" s="6"/>
      <c r="H3081" s="6"/>
      <c r="I3081" s="6"/>
      <c r="J3081" s="6"/>
      <c r="K3081" s="6"/>
      <c r="L3081" s="6"/>
      <c r="M3081" s="6"/>
      <c r="N3081" s="6"/>
      <c r="O3081" s="6"/>
      <c r="P3081" s="6"/>
      <c r="Q3081" s="6"/>
      <c r="R3081" s="6"/>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c r="BU3081" s="6"/>
      <c r="BV3081" s="6"/>
      <c r="BW3081" s="6"/>
      <c r="BX3081" s="6"/>
      <c r="BY3081" s="6"/>
      <c r="BZ3081" s="6"/>
      <c r="CA3081" s="6"/>
      <c r="CB3081" s="6"/>
      <c r="CC3081" s="6"/>
      <c r="CD3081" s="6"/>
      <c r="CE3081" s="6"/>
      <c r="CF3081" s="6"/>
      <c r="CG3081" s="6"/>
      <c r="CH3081" s="6"/>
      <c r="CI3081" s="6"/>
      <c r="CJ3081" s="6"/>
      <c r="CK3081" s="6"/>
      <c r="CL3081" s="6"/>
      <c r="CM3081" s="6"/>
      <c r="CN3081" s="6"/>
      <c r="CO3081" s="6"/>
      <c r="CP3081" s="6"/>
      <c r="CQ3081" s="6"/>
      <c r="CR3081" s="6"/>
      <c r="CS3081" s="6"/>
      <c r="CT3081" s="6"/>
      <c r="CU3081" s="6"/>
      <c r="CV3081" s="6"/>
      <c r="CW3081" s="6"/>
      <c r="CX3081" s="6"/>
      <c r="CY3081" s="6"/>
      <c r="CZ3081" s="6"/>
      <c r="DA3081" s="6"/>
      <c r="DB3081" s="6"/>
      <c r="DC3081" s="6"/>
      <c r="DD3081" s="6"/>
    </row>
    <row r="3082" spans="1:108" ht="12.75" hidden="1" customHeight="1" outlineLevel="7">
      <c r="A3082" s="104" t="s">
        <v>107</v>
      </c>
      <c r="B3082" s="28">
        <f t="shared" si="178"/>
        <v>63</v>
      </c>
      <c r="C3082" s="11"/>
      <c r="D3082" s="18" t="str">
        <f>"&lt;" &amp; A3082 &amp; "&gt;" &amp; TEXT(B3082,0) &amp; "&lt;/" &amp; A3082 &amp; "&gt;"</f>
        <v>&lt;Six_Series&gt;63&lt;/Six_Series&gt;</v>
      </c>
      <c r="F3082" s="6"/>
      <c r="G3082" s="6"/>
      <c r="H3082" s="6"/>
      <c r="I3082" s="6"/>
      <c r="J3082" s="6"/>
      <c r="K3082" s="6"/>
      <c r="L3082" s="6"/>
      <c r="M3082" s="6"/>
      <c r="N3082" s="6"/>
      <c r="O3082" s="6"/>
      <c r="P3082" s="6"/>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c r="BU3082" s="6"/>
      <c r="BV3082" s="6"/>
      <c r="BW3082" s="6"/>
      <c r="BX3082" s="6"/>
      <c r="BY3082" s="6"/>
      <c r="BZ3082" s="6"/>
      <c r="CA3082" s="6"/>
      <c r="CB3082" s="6"/>
      <c r="CC3082" s="6"/>
      <c r="CD3082" s="6"/>
      <c r="CE3082" s="6"/>
      <c r="CF3082" s="6"/>
      <c r="CG3082" s="6"/>
      <c r="CH3082" s="6"/>
      <c r="CI3082" s="6"/>
      <c r="CJ3082" s="6"/>
      <c r="CK3082" s="6"/>
      <c r="CL3082" s="6"/>
      <c r="CM3082" s="6"/>
      <c r="CN3082" s="6"/>
      <c r="CO3082" s="6"/>
      <c r="CP3082" s="6"/>
      <c r="CQ3082" s="6"/>
      <c r="CR3082" s="6"/>
      <c r="CS3082" s="6"/>
      <c r="CT3082" s="6"/>
      <c r="CU3082" s="6"/>
      <c r="CV3082" s="6"/>
      <c r="CW3082" s="6"/>
      <c r="CX3082" s="6"/>
      <c r="CY3082" s="6"/>
      <c r="CZ3082" s="6"/>
      <c r="DA3082" s="6"/>
      <c r="DB3082" s="6"/>
      <c r="DC3082" s="6"/>
      <c r="DD3082" s="6"/>
    </row>
    <row r="3083" spans="1:108" ht="12.75" hidden="1" customHeight="1" outlineLevel="7">
      <c r="A3083" s="104" t="s">
        <v>108</v>
      </c>
      <c r="B3083" s="28">
        <f t="shared" si="178"/>
        <v>0</v>
      </c>
      <c r="C3083" s="11"/>
      <c r="D3083" s="18" t="str">
        <f>"&lt;" &amp; A3083 &amp; "&gt;" &amp; TEXT(B3083,"0.000000") &amp; "&lt;/" &amp; A3083 &amp; "&gt;"</f>
        <v>&lt;Ideal_Cl&gt;0.000000&lt;/Ideal_Cl&gt;</v>
      </c>
      <c r="F3083" s="6"/>
      <c r="G3083" s="6"/>
      <c r="H3083" s="6"/>
      <c r="I3083" s="6"/>
      <c r="J3083" s="6"/>
      <c r="K3083" s="6"/>
      <c r="L3083" s="6"/>
      <c r="M3083" s="6"/>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c r="BU3083" s="6"/>
      <c r="BV3083" s="6"/>
      <c r="BW3083" s="6"/>
      <c r="BX3083" s="6"/>
      <c r="BY3083" s="6"/>
      <c r="BZ3083" s="6"/>
      <c r="CA3083" s="6"/>
      <c r="CB3083" s="6"/>
      <c r="CC3083" s="6"/>
      <c r="CD3083" s="6"/>
      <c r="CE3083" s="6"/>
      <c r="CF3083" s="6"/>
      <c r="CG3083" s="6"/>
      <c r="CH3083" s="6"/>
      <c r="CI3083" s="6"/>
      <c r="CJ3083" s="6"/>
      <c r="CK3083" s="6"/>
      <c r="CL3083" s="6"/>
      <c r="CM3083" s="6"/>
      <c r="CN3083" s="6"/>
      <c r="CO3083" s="6"/>
      <c r="CP3083" s="6"/>
      <c r="CQ3083" s="6"/>
      <c r="CR3083" s="6"/>
      <c r="CS3083" s="6"/>
      <c r="CT3083" s="6"/>
      <c r="CU3083" s="6"/>
      <c r="CV3083" s="6"/>
      <c r="CW3083" s="6"/>
      <c r="CX3083" s="6"/>
      <c r="CY3083" s="6"/>
      <c r="CZ3083" s="6"/>
      <c r="DA3083" s="6"/>
      <c r="DB3083" s="6"/>
      <c r="DC3083" s="6"/>
      <c r="DD3083" s="6"/>
    </row>
    <row r="3084" spans="1:108" ht="12.75" hidden="1" customHeight="1" outlineLevel="7">
      <c r="A3084" s="104" t="s">
        <v>109</v>
      </c>
      <c r="B3084" s="28">
        <f t="shared" si="178"/>
        <v>0</v>
      </c>
      <c r="C3084" s="11"/>
      <c r="D3084" s="18" t="str">
        <f>"&lt;" &amp; A3084 &amp; "&gt;" &amp; TEXT(B3084,"0.000000") &amp; "&lt;/" &amp; A3084 &amp; "&gt;"</f>
        <v>&lt;A&gt;0.000000&lt;/A&gt;</v>
      </c>
      <c r="F3084" s="6"/>
      <c r="G3084" s="6"/>
      <c r="H3084" s="6"/>
      <c r="I3084" s="6"/>
      <c r="J3084" s="6"/>
      <c r="K3084" s="6"/>
      <c r="L3084" s="6"/>
      <c r="M3084" s="6"/>
      <c r="N3084" s="6"/>
      <c r="O3084" s="6"/>
      <c r="P3084" s="6"/>
      <c r="Q3084" s="6"/>
      <c r="R3084" s="6"/>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c r="BU3084" s="6"/>
      <c r="BV3084" s="6"/>
      <c r="BW3084" s="6"/>
      <c r="BX3084" s="6"/>
      <c r="BY3084" s="6"/>
      <c r="BZ3084" s="6"/>
      <c r="CA3084" s="6"/>
      <c r="CB3084" s="6"/>
      <c r="CC3084" s="6"/>
      <c r="CD3084" s="6"/>
      <c r="CE3084" s="6"/>
      <c r="CF3084" s="6"/>
      <c r="CG3084" s="6"/>
      <c r="CH3084" s="6"/>
      <c r="CI3084" s="6"/>
      <c r="CJ3084" s="6"/>
      <c r="CK3084" s="6"/>
      <c r="CL3084" s="6"/>
      <c r="CM3084" s="6"/>
      <c r="CN3084" s="6"/>
      <c r="CO3084" s="6"/>
      <c r="CP3084" s="6"/>
      <c r="CQ3084" s="6"/>
      <c r="CR3084" s="6"/>
      <c r="CS3084" s="6"/>
      <c r="CT3084" s="6"/>
      <c r="CU3084" s="6"/>
      <c r="CV3084" s="6"/>
      <c r="CW3084" s="6"/>
      <c r="CX3084" s="6"/>
      <c r="CY3084" s="6"/>
      <c r="CZ3084" s="6"/>
      <c r="DA3084" s="6"/>
      <c r="DB3084" s="6"/>
      <c r="DC3084" s="6"/>
      <c r="DD3084" s="6"/>
    </row>
    <row r="3085" spans="1:108" ht="12.75" hidden="1" customHeight="1" outlineLevel="7">
      <c r="A3085" s="104" t="s">
        <v>110</v>
      </c>
      <c r="B3085" s="28">
        <f t="shared" si="178"/>
        <v>0</v>
      </c>
      <c r="C3085" s="11"/>
      <c r="D3085" s="18" t="str">
        <f>"&lt;" &amp; A3085 &amp; "&gt;" &amp; TEXT(B3085,0) &amp; "&lt;/" &amp; A3085 &amp; "&gt;"</f>
        <v>&lt;Slat_Flag&gt;0&lt;/Slat_Flag&gt;</v>
      </c>
      <c r="F3085" s="6"/>
      <c r="G3085" s="6"/>
      <c r="H3085" s="6"/>
      <c r="I3085" s="6"/>
      <c r="J3085" s="6"/>
      <c r="K3085" s="6"/>
      <c r="L3085" s="6"/>
      <c r="M3085" s="6"/>
      <c r="N3085" s="6"/>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c r="BU3085" s="6"/>
      <c r="BV3085" s="6"/>
      <c r="BW3085" s="6"/>
      <c r="BX3085" s="6"/>
      <c r="BY3085" s="6"/>
      <c r="BZ3085" s="6"/>
      <c r="CA3085" s="6"/>
      <c r="CB3085" s="6"/>
      <c r="CC3085" s="6"/>
      <c r="CD3085" s="6"/>
      <c r="CE3085" s="6"/>
      <c r="CF3085" s="6"/>
      <c r="CG3085" s="6"/>
      <c r="CH3085" s="6"/>
      <c r="CI3085" s="6"/>
      <c r="CJ3085" s="6"/>
      <c r="CK3085" s="6"/>
      <c r="CL3085" s="6"/>
      <c r="CM3085" s="6"/>
      <c r="CN3085" s="6"/>
      <c r="CO3085" s="6"/>
      <c r="CP3085" s="6"/>
      <c r="CQ3085" s="6"/>
      <c r="CR3085" s="6"/>
      <c r="CS3085" s="6"/>
      <c r="CT3085" s="6"/>
      <c r="CU3085" s="6"/>
      <c r="CV3085" s="6"/>
      <c r="CW3085" s="6"/>
      <c r="CX3085" s="6"/>
      <c r="CY3085" s="6"/>
      <c r="CZ3085" s="6"/>
      <c r="DA3085" s="6"/>
      <c r="DB3085" s="6"/>
      <c r="DC3085" s="6"/>
      <c r="DD3085" s="6"/>
    </row>
    <row r="3086" spans="1:108" ht="12.75" hidden="1" customHeight="1" outlineLevel="7">
      <c r="A3086" s="104" t="s">
        <v>111</v>
      </c>
      <c r="B3086" s="28">
        <f t="shared" si="178"/>
        <v>0</v>
      </c>
      <c r="C3086" s="11"/>
      <c r="D3086" s="18" t="str">
        <f>"&lt;" &amp; A3086 &amp; "&gt;" &amp; TEXT(B3086,0) &amp; "&lt;/" &amp; A3086 &amp; "&gt;"</f>
        <v>&lt;Slat_Shear_Flag&gt;0&lt;/Slat_Shear_Flag&gt;</v>
      </c>
      <c r="F3086" s="6"/>
      <c r="G3086" s="6"/>
      <c r="H3086" s="6"/>
      <c r="I3086" s="6"/>
      <c r="J3086" s="6"/>
      <c r="K3086" s="6"/>
      <c r="L3086" s="6"/>
      <c r="M3086" s="6"/>
      <c r="N3086" s="6"/>
      <c r="O3086" s="6"/>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c r="BU3086" s="6"/>
      <c r="BV3086" s="6"/>
      <c r="BW3086" s="6"/>
      <c r="BX3086" s="6"/>
      <c r="BY3086" s="6"/>
      <c r="BZ3086" s="6"/>
      <c r="CA3086" s="6"/>
      <c r="CB3086" s="6"/>
      <c r="CC3086" s="6"/>
      <c r="CD3086" s="6"/>
      <c r="CE3086" s="6"/>
      <c r="CF3086" s="6"/>
      <c r="CG3086" s="6"/>
      <c r="CH3086" s="6"/>
      <c r="CI3086" s="6"/>
      <c r="CJ3086" s="6"/>
      <c r="CK3086" s="6"/>
      <c r="CL3086" s="6"/>
      <c r="CM3086" s="6"/>
      <c r="CN3086" s="6"/>
      <c r="CO3086" s="6"/>
      <c r="CP3086" s="6"/>
      <c r="CQ3086" s="6"/>
      <c r="CR3086" s="6"/>
      <c r="CS3086" s="6"/>
      <c r="CT3086" s="6"/>
      <c r="CU3086" s="6"/>
      <c r="CV3086" s="6"/>
      <c r="CW3086" s="6"/>
      <c r="CX3086" s="6"/>
      <c r="CY3086" s="6"/>
      <c r="CZ3086" s="6"/>
      <c r="DA3086" s="6"/>
      <c r="DB3086" s="6"/>
      <c r="DC3086" s="6"/>
      <c r="DD3086" s="6"/>
    </row>
    <row r="3087" spans="1:108" ht="12.75" hidden="1" customHeight="1" outlineLevel="7">
      <c r="A3087" s="104" t="s">
        <v>112</v>
      </c>
      <c r="B3087" s="28">
        <f t="shared" si="178"/>
        <v>0.25</v>
      </c>
      <c r="C3087" s="11"/>
      <c r="D3087" s="18" t="str">
        <f>"&lt;" &amp; A3087 &amp; "&gt;" &amp; TEXT(B3087,"0.000000") &amp; "&lt;/" &amp; A3087 &amp; "&gt;"</f>
        <v>&lt;Slat_Chord&gt;0.250000&lt;/Slat_Chord&gt;</v>
      </c>
      <c r="F3087" s="6"/>
      <c r="G3087" s="6"/>
      <c r="H3087" s="6"/>
      <c r="I3087" s="6"/>
      <c r="J3087" s="6"/>
      <c r="K3087" s="6"/>
      <c r="L3087" s="6"/>
      <c r="M3087" s="6"/>
      <c r="N3087" s="6"/>
      <c r="O3087" s="6"/>
      <c r="P3087" s="6"/>
      <c r="Q3087" s="6"/>
      <c r="R3087" s="6"/>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c r="BU3087" s="6"/>
      <c r="BV3087" s="6"/>
      <c r="BW3087" s="6"/>
      <c r="BX3087" s="6"/>
      <c r="BY3087" s="6"/>
      <c r="BZ3087" s="6"/>
      <c r="CA3087" s="6"/>
      <c r="CB3087" s="6"/>
      <c r="CC3087" s="6"/>
      <c r="CD3087" s="6"/>
      <c r="CE3087" s="6"/>
      <c r="CF3087" s="6"/>
      <c r="CG3087" s="6"/>
      <c r="CH3087" s="6"/>
      <c r="CI3087" s="6"/>
      <c r="CJ3087" s="6"/>
      <c r="CK3087" s="6"/>
      <c r="CL3087" s="6"/>
      <c r="CM3087" s="6"/>
      <c r="CN3087" s="6"/>
      <c r="CO3087" s="6"/>
      <c r="CP3087" s="6"/>
      <c r="CQ3087" s="6"/>
      <c r="CR3087" s="6"/>
      <c r="CS3087" s="6"/>
      <c r="CT3087" s="6"/>
      <c r="CU3087" s="6"/>
      <c r="CV3087" s="6"/>
      <c r="CW3087" s="6"/>
      <c r="CX3087" s="6"/>
      <c r="CY3087" s="6"/>
      <c r="CZ3087" s="6"/>
      <c r="DA3087" s="6"/>
      <c r="DB3087" s="6"/>
      <c r="DC3087" s="6"/>
      <c r="DD3087" s="6"/>
    </row>
    <row r="3088" spans="1:108" ht="12.75" hidden="1" customHeight="1" outlineLevel="7">
      <c r="A3088" s="104" t="s">
        <v>113</v>
      </c>
      <c r="B3088" s="28">
        <f t="shared" si="178"/>
        <v>10</v>
      </c>
      <c r="C3088" s="11"/>
      <c r="D3088" s="18" t="str">
        <f>"&lt;" &amp; A3088 &amp; "&gt;" &amp; TEXT(B3088,"0.000000") &amp; "&lt;/" &amp; A3088 &amp; "&gt;"</f>
        <v>&lt;Slat_Angle&gt;10.000000&lt;/Slat_Angle&gt;</v>
      </c>
      <c r="F3088" s="6"/>
      <c r="G3088" s="6"/>
      <c r="H3088" s="6"/>
      <c r="I3088" s="6"/>
      <c r="J3088" s="6"/>
      <c r="K3088" s="6"/>
      <c r="L3088" s="6"/>
      <c r="M3088" s="6"/>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c r="BU3088" s="6"/>
      <c r="BV3088" s="6"/>
      <c r="BW3088" s="6"/>
      <c r="BX3088" s="6"/>
      <c r="BY3088" s="6"/>
      <c r="BZ3088" s="6"/>
      <c r="CA3088" s="6"/>
      <c r="CB3088" s="6"/>
      <c r="CC3088" s="6"/>
      <c r="CD3088" s="6"/>
      <c r="CE3088" s="6"/>
      <c r="CF3088" s="6"/>
      <c r="CG3088" s="6"/>
      <c r="CH3088" s="6"/>
      <c r="CI3088" s="6"/>
      <c r="CJ3088" s="6"/>
      <c r="CK3088" s="6"/>
      <c r="CL3088" s="6"/>
      <c r="CM3088" s="6"/>
      <c r="CN3088" s="6"/>
      <c r="CO3088" s="6"/>
      <c r="CP3088" s="6"/>
      <c r="CQ3088" s="6"/>
      <c r="CR3088" s="6"/>
      <c r="CS3088" s="6"/>
      <c r="CT3088" s="6"/>
      <c r="CU3088" s="6"/>
      <c r="CV3088" s="6"/>
      <c r="CW3088" s="6"/>
      <c r="CX3088" s="6"/>
      <c r="CY3088" s="6"/>
      <c r="CZ3088" s="6"/>
      <c r="DA3088" s="6"/>
      <c r="DB3088" s="6"/>
      <c r="DC3088" s="6"/>
      <c r="DD3088" s="6"/>
    </row>
    <row r="3089" spans="1:108" ht="12.75" hidden="1" customHeight="1" outlineLevel="7">
      <c r="A3089" s="104" t="s">
        <v>114</v>
      </c>
      <c r="B3089" s="28">
        <f t="shared" si="178"/>
        <v>0</v>
      </c>
      <c r="C3089" s="11"/>
      <c r="D3089" s="18" t="str">
        <f>"&lt;" &amp; A3089 &amp; "&gt;" &amp; TEXT(B3089,0) &amp; "&lt;/" &amp; A3089 &amp; "&gt;"</f>
        <v>&lt;Flap_Flag&gt;0&lt;/Flap_Flag&gt;</v>
      </c>
      <c r="F3089" s="6"/>
      <c r="G3089" s="6"/>
      <c r="H3089" s="6"/>
      <c r="I3089" s="6"/>
      <c r="J3089" s="6"/>
      <c r="K3089" s="6"/>
      <c r="L3089" s="6"/>
      <c r="M3089" s="6"/>
      <c r="N3089" s="6"/>
      <c r="O3089" s="6"/>
      <c r="P3089" s="6"/>
      <c r="Q3089" s="6"/>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c r="BU3089" s="6"/>
      <c r="BV3089" s="6"/>
      <c r="BW3089" s="6"/>
      <c r="BX3089" s="6"/>
      <c r="BY3089" s="6"/>
      <c r="BZ3089" s="6"/>
      <c r="CA3089" s="6"/>
      <c r="CB3089" s="6"/>
      <c r="CC3089" s="6"/>
      <c r="CD3089" s="6"/>
      <c r="CE3089" s="6"/>
      <c r="CF3089" s="6"/>
      <c r="CG3089" s="6"/>
      <c r="CH3089" s="6"/>
      <c r="CI3089" s="6"/>
      <c r="CJ3089" s="6"/>
      <c r="CK3089" s="6"/>
      <c r="CL3089" s="6"/>
      <c r="CM3089" s="6"/>
      <c r="CN3089" s="6"/>
      <c r="CO3089" s="6"/>
      <c r="CP3089" s="6"/>
      <c r="CQ3089" s="6"/>
      <c r="CR3089" s="6"/>
      <c r="CS3089" s="6"/>
      <c r="CT3089" s="6"/>
      <c r="CU3089" s="6"/>
      <c r="CV3089" s="6"/>
      <c r="CW3089" s="6"/>
      <c r="CX3089" s="6"/>
      <c r="CY3089" s="6"/>
      <c r="CZ3089" s="6"/>
      <c r="DA3089" s="6"/>
      <c r="DB3089" s="6"/>
      <c r="DC3089" s="6"/>
      <c r="DD3089" s="6"/>
    </row>
    <row r="3090" spans="1:108" ht="12.75" hidden="1" customHeight="1" outlineLevel="7">
      <c r="A3090" s="104" t="s">
        <v>115</v>
      </c>
      <c r="B3090" s="28">
        <f t="shared" si="178"/>
        <v>0</v>
      </c>
      <c r="C3090" s="11"/>
      <c r="D3090" s="18" t="str">
        <f>"&lt;" &amp; A3090 &amp; "&gt;" &amp; TEXT(B3090,0) &amp; "&lt;/" &amp; A3090 &amp; "&gt;"</f>
        <v>&lt;Flap_Shear_Flag&gt;0&lt;/Flap_Shear_Flag&gt;</v>
      </c>
      <c r="F3090" s="6"/>
      <c r="G3090" s="6"/>
      <c r="H3090" s="6"/>
      <c r="I3090" s="6"/>
      <c r="J3090" s="6"/>
      <c r="K3090" s="6"/>
      <c r="L3090" s="6"/>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c r="BU3090" s="6"/>
      <c r="BV3090" s="6"/>
      <c r="BW3090" s="6"/>
      <c r="BX3090" s="6"/>
      <c r="BY3090" s="6"/>
      <c r="BZ3090" s="6"/>
      <c r="CA3090" s="6"/>
      <c r="CB3090" s="6"/>
      <c r="CC3090" s="6"/>
      <c r="CD3090" s="6"/>
      <c r="CE3090" s="6"/>
      <c r="CF3090" s="6"/>
      <c r="CG3090" s="6"/>
      <c r="CH3090" s="6"/>
      <c r="CI3090" s="6"/>
      <c r="CJ3090" s="6"/>
      <c r="CK3090" s="6"/>
      <c r="CL3090" s="6"/>
      <c r="CM3090" s="6"/>
      <c r="CN3090" s="6"/>
      <c r="CO3090" s="6"/>
      <c r="CP3090" s="6"/>
      <c r="CQ3090" s="6"/>
      <c r="CR3090" s="6"/>
      <c r="CS3090" s="6"/>
      <c r="CT3090" s="6"/>
      <c r="CU3090" s="6"/>
      <c r="CV3090" s="6"/>
      <c r="CW3090" s="6"/>
      <c r="CX3090" s="6"/>
      <c r="CY3090" s="6"/>
      <c r="CZ3090" s="6"/>
      <c r="DA3090" s="6"/>
      <c r="DB3090" s="6"/>
      <c r="DC3090" s="6"/>
      <c r="DD3090" s="6"/>
    </row>
    <row r="3091" spans="1:108" ht="12.75" hidden="1" customHeight="1" outlineLevel="7">
      <c r="A3091" s="104" t="s">
        <v>116</v>
      </c>
      <c r="B3091" s="28">
        <f t="shared" si="178"/>
        <v>0.25</v>
      </c>
      <c r="C3091" s="11"/>
      <c r="D3091" s="18" t="str">
        <f>"&lt;" &amp; A3091 &amp; "&gt;" &amp; TEXT(B3091,"0.000000") &amp; "&lt;/" &amp; A3091 &amp; "&gt;"</f>
        <v>&lt;Flap_Chord&gt;0.250000&lt;/Flap_Chord&gt;</v>
      </c>
      <c r="F3091" s="6"/>
      <c r="G3091" s="6"/>
      <c r="H3091" s="6"/>
      <c r="I3091" s="6"/>
      <c r="J3091" s="6"/>
      <c r="K3091" s="6"/>
      <c r="L3091" s="6"/>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c r="BU3091" s="6"/>
      <c r="BV3091" s="6"/>
      <c r="BW3091" s="6"/>
      <c r="BX3091" s="6"/>
      <c r="BY3091" s="6"/>
      <c r="BZ3091" s="6"/>
      <c r="CA3091" s="6"/>
      <c r="CB3091" s="6"/>
      <c r="CC3091" s="6"/>
      <c r="CD3091" s="6"/>
      <c r="CE3091" s="6"/>
      <c r="CF3091" s="6"/>
      <c r="CG3091" s="6"/>
      <c r="CH3091" s="6"/>
      <c r="CI3091" s="6"/>
      <c r="CJ3091" s="6"/>
      <c r="CK3091" s="6"/>
      <c r="CL3091" s="6"/>
      <c r="CM3091" s="6"/>
      <c r="CN3091" s="6"/>
      <c r="CO3091" s="6"/>
      <c r="CP3091" s="6"/>
      <c r="CQ3091" s="6"/>
      <c r="CR3091" s="6"/>
      <c r="CS3091" s="6"/>
      <c r="CT3091" s="6"/>
      <c r="CU3091" s="6"/>
      <c r="CV3091" s="6"/>
      <c r="CW3091" s="6"/>
      <c r="CX3091" s="6"/>
      <c r="CY3091" s="6"/>
      <c r="CZ3091" s="6"/>
      <c r="DA3091" s="6"/>
      <c r="DB3091" s="6"/>
      <c r="DC3091" s="6"/>
      <c r="DD3091" s="6"/>
    </row>
    <row r="3092" spans="1:108" ht="12.75" hidden="1" customHeight="1" outlineLevel="7">
      <c r="A3092" s="104" t="s">
        <v>117</v>
      </c>
      <c r="B3092" s="28">
        <f t="shared" si="178"/>
        <v>10</v>
      </c>
      <c r="C3092" s="11"/>
      <c r="D3092" s="18" t="str">
        <f>"&lt;" &amp; A3092 &amp; "&gt;" &amp; TEXT(B3092,"0.000000") &amp; "&lt;/" &amp; A3092 &amp; "&gt;"</f>
        <v>&lt;Flap_Angle&gt;10.000000&lt;/Flap_Angle&gt;</v>
      </c>
      <c r="F3092" s="6"/>
      <c r="G3092" s="6"/>
      <c r="H3092" s="6"/>
      <c r="I3092" s="6"/>
      <c r="J3092" s="6"/>
      <c r="K3092" s="6"/>
      <c r="L3092" s="6"/>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c r="BU3092" s="6"/>
      <c r="BV3092" s="6"/>
      <c r="BW3092" s="6"/>
      <c r="BX3092" s="6"/>
      <c r="BY3092" s="6"/>
      <c r="BZ3092" s="6"/>
      <c r="CA3092" s="6"/>
      <c r="CB3092" s="6"/>
      <c r="CC3092" s="6"/>
      <c r="CD3092" s="6"/>
      <c r="CE3092" s="6"/>
      <c r="CF3092" s="6"/>
      <c r="CG3092" s="6"/>
      <c r="CH3092" s="6"/>
      <c r="CI3092" s="6"/>
      <c r="CJ3092" s="6"/>
      <c r="CK3092" s="6"/>
      <c r="CL3092" s="6"/>
      <c r="CM3092" s="6"/>
      <c r="CN3092" s="6"/>
      <c r="CO3092" s="6"/>
      <c r="CP3092" s="6"/>
      <c r="CQ3092" s="6"/>
      <c r="CR3092" s="6"/>
      <c r="CS3092" s="6"/>
      <c r="CT3092" s="6"/>
      <c r="CU3092" s="6"/>
      <c r="CV3092" s="6"/>
      <c r="CW3092" s="6"/>
      <c r="CX3092" s="6"/>
      <c r="CY3092" s="6"/>
      <c r="CZ3092" s="6"/>
      <c r="DA3092" s="6"/>
      <c r="DB3092" s="6"/>
      <c r="DC3092" s="6"/>
      <c r="DD3092" s="6"/>
    </row>
    <row r="3093" spans="1:108" ht="12.75" hidden="1" customHeight="1" outlineLevel="7">
      <c r="A3093" s="104" t="s">
        <v>118</v>
      </c>
      <c r="B3093" s="100"/>
      <c r="C3093" s="11"/>
      <c r="D3093" s="6" t="str">
        <f>"&lt;" &amp; A3093 &amp; "&gt;"</f>
        <v>&lt;/Airfoil&gt;</v>
      </c>
      <c r="F3093" s="6"/>
      <c r="G3093" s="6"/>
      <c r="H3093" s="6"/>
      <c r="I3093" s="6"/>
      <c r="J3093" s="6"/>
      <c r="K3093" s="6"/>
      <c r="L3093" s="6"/>
      <c r="M3093" s="6"/>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c r="BU3093" s="6"/>
      <c r="BV3093" s="6"/>
      <c r="BW3093" s="6"/>
      <c r="BX3093" s="6"/>
      <c r="BY3093" s="6"/>
      <c r="BZ3093" s="6"/>
      <c r="CA3093" s="6"/>
      <c r="CB3093" s="6"/>
      <c r="CC3093" s="6"/>
      <c r="CD3093" s="6"/>
      <c r="CE3093" s="6"/>
      <c r="CF3093" s="6"/>
      <c r="CG3093" s="6"/>
      <c r="CH3093" s="6"/>
      <c r="CI3093" s="6"/>
      <c r="CJ3093" s="6"/>
      <c r="CK3093" s="6"/>
      <c r="CL3093" s="6"/>
      <c r="CM3093" s="6"/>
      <c r="CN3093" s="6"/>
      <c r="CO3093" s="6"/>
      <c r="CP3093" s="6"/>
      <c r="CQ3093" s="6"/>
      <c r="CR3093" s="6"/>
      <c r="CS3093" s="6"/>
      <c r="CT3093" s="6"/>
      <c r="CU3093" s="6"/>
      <c r="CV3093" s="6"/>
      <c r="CW3093" s="6"/>
      <c r="CX3093" s="6"/>
      <c r="CY3093" s="6"/>
      <c r="CZ3093" s="6"/>
      <c r="DA3093" s="6"/>
      <c r="DB3093" s="6"/>
      <c r="DC3093" s="6"/>
      <c r="DD3093" s="6"/>
    </row>
    <row r="3094" spans="1:108" ht="12.75" hidden="1" customHeight="1" outlineLevel="6">
      <c r="A3094" s="104" t="s">
        <v>308</v>
      </c>
      <c r="B3094" s="100"/>
      <c r="C3094" s="11"/>
      <c r="D3094" s="6" t="str">
        <f>"&lt;" &amp; A3094 &amp; "&gt;"</f>
        <v>&lt;/Sect_Parms&gt;</v>
      </c>
      <c r="F3094" s="6"/>
      <c r="G3094" s="6"/>
      <c r="H3094" s="6"/>
      <c r="I3094" s="6"/>
      <c r="J3094" s="6"/>
      <c r="K3094" s="6"/>
      <c r="L3094" s="6"/>
      <c r="M3094" s="6"/>
      <c r="N3094" s="6"/>
      <c r="O3094" s="6"/>
      <c r="P3094" s="6"/>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c r="BU3094" s="6"/>
      <c r="BV3094" s="6"/>
      <c r="BW3094" s="6"/>
      <c r="BX3094" s="6"/>
      <c r="BY3094" s="6"/>
      <c r="BZ3094" s="6"/>
      <c r="CA3094" s="6"/>
      <c r="CB3094" s="6"/>
      <c r="CC3094" s="6"/>
      <c r="CD3094" s="6"/>
      <c r="CE3094" s="6"/>
      <c r="CF3094" s="6"/>
      <c r="CG3094" s="6"/>
      <c r="CH3094" s="6"/>
      <c r="CI3094" s="6"/>
      <c r="CJ3094" s="6"/>
      <c r="CK3094" s="6"/>
      <c r="CL3094" s="6"/>
      <c r="CM3094" s="6"/>
      <c r="CN3094" s="6"/>
      <c r="CO3094" s="6"/>
      <c r="CP3094" s="6"/>
      <c r="CQ3094" s="6"/>
      <c r="CR3094" s="6"/>
      <c r="CS3094" s="6"/>
      <c r="CT3094" s="6"/>
      <c r="CU3094" s="6"/>
      <c r="CV3094" s="6"/>
      <c r="CW3094" s="6"/>
      <c r="CX3094" s="6"/>
      <c r="CY3094" s="6"/>
      <c r="CZ3094" s="6"/>
      <c r="DA3094" s="6"/>
      <c r="DB3094" s="6"/>
      <c r="DC3094" s="6"/>
      <c r="DD3094" s="6"/>
    </row>
    <row r="3095" spans="1:108" ht="12.75" hidden="1" customHeight="1" outlineLevel="5">
      <c r="A3095" s="104" t="s">
        <v>305</v>
      </c>
      <c r="B3095" s="110" t="s">
        <v>402</v>
      </c>
      <c r="C3095" s="11"/>
      <c r="D3095" s="6" t="str">
        <f>"&lt;" &amp; A3095 &amp; "&gt;"</f>
        <v>&lt;Sect_Parms&gt;</v>
      </c>
      <c r="F3095" s="6"/>
      <c r="G3095" s="6"/>
      <c r="H3095" s="6"/>
      <c r="I3095" s="6"/>
      <c r="J3095" s="6"/>
      <c r="K3095" s="6"/>
      <c r="L3095" s="6"/>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c r="BU3095" s="6"/>
      <c r="BV3095" s="6"/>
      <c r="BW3095" s="6"/>
      <c r="BX3095" s="6"/>
      <c r="BY3095" s="6"/>
      <c r="BZ3095" s="6"/>
      <c r="CA3095" s="6"/>
      <c r="CB3095" s="6"/>
      <c r="CC3095" s="6"/>
      <c r="CD3095" s="6"/>
      <c r="CE3095" s="6"/>
      <c r="CF3095" s="6"/>
      <c r="CG3095" s="6"/>
      <c r="CH3095" s="6"/>
      <c r="CI3095" s="6"/>
      <c r="CJ3095" s="6"/>
      <c r="CK3095" s="6"/>
      <c r="CL3095" s="6"/>
      <c r="CM3095" s="6"/>
      <c r="CN3095" s="6"/>
      <c r="CO3095" s="6"/>
      <c r="CP3095" s="6"/>
      <c r="CQ3095" s="6"/>
      <c r="CR3095" s="6"/>
      <c r="CS3095" s="6"/>
      <c r="CT3095" s="6"/>
      <c r="CU3095" s="6"/>
      <c r="CV3095" s="6"/>
      <c r="CW3095" s="6"/>
      <c r="CX3095" s="6"/>
      <c r="CY3095" s="6"/>
      <c r="CZ3095" s="6"/>
      <c r="DA3095" s="6"/>
      <c r="DB3095" s="6"/>
      <c r="DC3095" s="6"/>
      <c r="DD3095" s="6"/>
    </row>
    <row r="3096" spans="1:108" ht="12.75" hidden="1" customHeight="1" outlineLevel="6">
      <c r="A3096" s="104" t="s">
        <v>306</v>
      </c>
      <c r="B3096" s="28">
        <f>B1497</f>
        <v>1</v>
      </c>
      <c r="C3096" s="11"/>
      <c r="D3096" s="18" t="str">
        <f>"&lt;" &amp; A3096 &amp; "&gt;" &amp; TEXT(B3096,"0.000000") &amp; "&lt;/" &amp; A3096 &amp; "&gt;"</f>
        <v>&lt;X_Off&gt;1.000000&lt;/X_Off&gt;</v>
      </c>
      <c r="F3096" s="6"/>
      <c r="G3096" s="6"/>
      <c r="H3096" s="6"/>
      <c r="I3096" s="6"/>
      <c r="J3096" s="6"/>
      <c r="K3096" s="6"/>
      <c r="L3096" s="6"/>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c r="BU3096" s="6"/>
      <c r="BV3096" s="6"/>
      <c r="BW3096" s="6"/>
      <c r="BX3096" s="6"/>
      <c r="BY3096" s="6"/>
      <c r="BZ3096" s="6"/>
      <c r="CA3096" s="6"/>
      <c r="CB3096" s="6"/>
      <c r="CC3096" s="6"/>
      <c r="CD3096" s="6"/>
      <c r="CE3096" s="6"/>
      <c r="CF3096" s="6"/>
      <c r="CG3096" s="6"/>
      <c r="CH3096" s="6"/>
      <c r="CI3096" s="6"/>
      <c r="CJ3096" s="6"/>
      <c r="CK3096" s="6"/>
      <c r="CL3096" s="6"/>
      <c r="CM3096" s="6"/>
      <c r="CN3096" s="6"/>
      <c r="CO3096" s="6"/>
      <c r="CP3096" s="6"/>
      <c r="CQ3096" s="6"/>
      <c r="CR3096" s="6"/>
      <c r="CS3096" s="6"/>
      <c r="CT3096" s="6"/>
      <c r="CU3096" s="6"/>
      <c r="CV3096" s="6"/>
      <c r="CW3096" s="6"/>
      <c r="CX3096" s="6"/>
      <c r="CY3096" s="6"/>
      <c r="CZ3096" s="6"/>
      <c r="DA3096" s="6"/>
      <c r="DB3096" s="6"/>
      <c r="DC3096" s="6"/>
      <c r="DD3096" s="6"/>
    </row>
    <row r="3097" spans="1:108" ht="12.75" hidden="1" customHeight="1" outlineLevel="6">
      <c r="A3097" s="104" t="s">
        <v>307</v>
      </c>
      <c r="B3097" s="28">
        <f>B1498</f>
        <v>0</v>
      </c>
      <c r="C3097" s="11"/>
      <c r="D3097" s="18" t="str">
        <f>"&lt;" &amp; A3097 &amp; "&gt;" &amp; TEXT(B3097,"0.000000") &amp; "&lt;/" &amp; A3097 &amp; "&gt;"</f>
        <v>&lt;Y_Off&gt;0.000000&lt;/Y_Off&gt;</v>
      </c>
      <c r="F3097" s="6"/>
      <c r="G3097" s="6"/>
      <c r="H3097" s="6"/>
      <c r="I3097" s="6"/>
      <c r="J3097" s="6"/>
      <c r="K3097" s="6"/>
      <c r="L3097" s="6"/>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c r="BU3097" s="6"/>
      <c r="BV3097" s="6"/>
      <c r="BW3097" s="6"/>
      <c r="BX3097" s="6"/>
      <c r="BY3097" s="6"/>
      <c r="BZ3097" s="6"/>
      <c r="CA3097" s="6"/>
      <c r="CB3097" s="6"/>
      <c r="CC3097" s="6"/>
      <c r="CD3097" s="6"/>
      <c r="CE3097" s="6"/>
      <c r="CF3097" s="6"/>
      <c r="CG3097" s="6"/>
      <c r="CH3097" s="6"/>
      <c r="CI3097" s="6"/>
      <c r="CJ3097" s="6"/>
      <c r="CK3097" s="6"/>
      <c r="CL3097" s="6"/>
      <c r="CM3097" s="6"/>
      <c r="CN3097" s="6"/>
      <c r="CO3097" s="6"/>
      <c r="CP3097" s="6"/>
      <c r="CQ3097" s="6"/>
      <c r="CR3097" s="6"/>
      <c r="CS3097" s="6"/>
      <c r="CT3097" s="6"/>
      <c r="CU3097" s="6"/>
      <c r="CV3097" s="6"/>
      <c r="CW3097" s="6"/>
      <c r="CX3097" s="6"/>
      <c r="CY3097" s="6"/>
      <c r="CZ3097" s="6"/>
      <c r="DA3097" s="6"/>
      <c r="DB3097" s="6"/>
      <c r="DC3097" s="6"/>
      <c r="DD3097" s="6"/>
    </row>
    <row r="3098" spans="1:108" ht="12.75" hidden="1" customHeight="1" outlineLevel="6">
      <c r="A3098" s="104" t="s">
        <v>287</v>
      </c>
      <c r="B3098" s="28">
        <f>B1499</f>
        <v>0.02</v>
      </c>
      <c r="C3098" s="11"/>
      <c r="D3098" s="18" t="str">
        <f>"&lt;" &amp; A3098 &amp; "&gt;" &amp; TEXT(B3098,"0.000000") &amp; "&lt;/" &amp; A3098 &amp; "&gt;"</f>
        <v>&lt;Chord&gt;0.020000&lt;/Chord&gt;</v>
      </c>
      <c r="F3098" s="6"/>
      <c r="G3098" s="6"/>
      <c r="H3098" s="6"/>
      <c r="I3098" s="6"/>
      <c r="J3098" s="6"/>
      <c r="K3098" s="6"/>
      <c r="L3098" s="6"/>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c r="BU3098" s="6"/>
      <c r="BV3098" s="6"/>
      <c r="BW3098" s="6"/>
      <c r="BX3098" s="6"/>
      <c r="BY3098" s="6"/>
      <c r="BZ3098" s="6"/>
      <c r="CA3098" s="6"/>
      <c r="CB3098" s="6"/>
      <c r="CC3098" s="6"/>
      <c r="CD3098" s="6"/>
      <c r="CE3098" s="6"/>
      <c r="CF3098" s="6"/>
      <c r="CG3098" s="6"/>
      <c r="CH3098" s="6"/>
      <c r="CI3098" s="6"/>
      <c r="CJ3098" s="6"/>
      <c r="CK3098" s="6"/>
      <c r="CL3098" s="6"/>
      <c r="CM3098" s="6"/>
      <c r="CN3098" s="6"/>
      <c r="CO3098" s="6"/>
      <c r="CP3098" s="6"/>
      <c r="CQ3098" s="6"/>
      <c r="CR3098" s="6"/>
      <c r="CS3098" s="6"/>
      <c r="CT3098" s="6"/>
      <c r="CU3098" s="6"/>
      <c r="CV3098" s="6"/>
      <c r="CW3098" s="6"/>
      <c r="CX3098" s="6"/>
      <c r="CY3098" s="6"/>
      <c r="CZ3098" s="6"/>
      <c r="DA3098" s="6"/>
      <c r="DB3098" s="6"/>
      <c r="DC3098" s="6"/>
      <c r="DD3098" s="6"/>
    </row>
    <row r="3099" spans="1:108" ht="12.75" hidden="1" customHeight="1" outlineLevel="6">
      <c r="A3099" s="104" t="s">
        <v>9</v>
      </c>
      <c r="B3099" s="28">
        <f>B1500</f>
        <v>2</v>
      </c>
      <c r="C3099" s="11"/>
      <c r="D3099" s="18" t="str">
        <f>"&lt;" &amp; A3099 &amp; "&gt;" &amp; TEXT(B3099,"0.000000") &amp; "&lt;/" &amp; A3099 &amp; "&gt;"</f>
        <v>&lt;Twist&gt;2.000000&lt;/Twist&gt;</v>
      </c>
      <c r="F3099" s="6"/>
      <c r="G3099" s="6"/>
      <c r="H3099" s="6"/>
      <c r="I3099" s="6"/>
      <c r="J3099" s="6"/>
      <c r="K3099" s="6"/>
      <c r="L3099" s="6"/>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c r="BU3099" s="6"/>
      <c r="BV3099" s="6"/>
      <c r="BW3099" s="6"/>
      <c r="BX3099" s="6"/>
      <c r="BY3099" s="6"/>
      <c r="BZ3099" s="6"/>
      <c r="CA3099" s="6"/>
      <c r="CB3099" s="6"/>
      <c r="CC3099" s="6"/>
      <c r="CD3099" s="6"/>
      <c r="CE3099" s="6"/>
      <c r="CF3099" s="6"/>
      <c r="CG3099" s="6"/>
      <c r="CH3099" s="6"/>
      <c r="CI3099" s="6"/>
      <c r="CJ3099" s="6"/>
      <c r="CK3099" s="6"/>
      <c r="CL3099" s="6"/>
      <c r="CM3099" s="6"/>
      <c r="CN3099" s="6"/>
      <c r="CO3099" s="6"/>
      <c r="CP3099" s="6"/>
      <c r="CQ3099" s="6"/>
      <c r="CR3099" s="6"/>
      <c r="CS3099" s="6"/>
      <c r="CT3099" s="6"/>
      <c r="CU3099" s="6"/>
      <c r="CV3099" s="6"/>
      <c r="CW3099" s="6"/>
      <c r="CX3099" s="6"/>
      <c r="CY3099" s="6"/>
      <c r="CZ3099" s="6"/>
      <c r="DA3099" s="6"/>
      <c r="DB3099" s="6"/>
      <c r="DC3099" s="6"/>
      <c r="DD3099" s="6"/>
    </row>
    <row r="3100" spans="1:108" ht="12.75" hidden="1" customHeight="1" outlineLevel="6">
      <c r="A3100" s="104" t="s">
        <v>2</v>
      </c>
      <c r="B3100" s="100"/>
      <c r="C3100" s="11"/>
      <c r="D3100" s="6" t="str">
        <f>"&lt;" &amp; A3100 &amp; "&gt;"</f>
        <v>&lt;Airfoil&gt;</v>
      </c>
      <c r="F3100" s="6"/>
      <c r="G3100" s="6"/>
      <c r="H3100" s="6"/>
      <c r="I3100" s="6"/>
      <c r="J3100" s="6"/>
      <c r="K3100" s="6"/>
      <c r="L3100" s="6"/>
      <c r="M3100" s="6"/>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c r="BU3100" s="6"/>
      <c r="BV3100" s="6"/>
      <c r="BW3100" s="6"/>
      <c r="BX3100" s="6"/>
      <c r="BY3100" s="6"/>
      <c r="BZ3100" s="6"/>
      <c r="CA3100" s="6"/>
      <c r="CB3100" s="6"/>
      <c r="CC3100" s="6"/>
      <c r="CD3100" s="6"/>
      <c r="CE3100" s="6"/>
      <c r="CF3100" s="6"/>
      <c r="CG3100" s="6"/>
      <c r="CH3100" s="6"/>
      <c r="CI3100" s="6"/>
      <c r="CJ3100" s="6"/>
      <c r="CK3100" s="6"/>
      <c r="CL3100" s="6"/>
      <c r="CM3100" s="6"/>
      <c r="CN3100" s="6"/>
      <c r="CO3100" s="6"/>
      <c r="CP3100" s="6"/>
      <c r="CQ3100" s="6"/>
      <c r="CR3100" s="6"/>
      <c r="CS3100" s="6"/>
      <c r="CT3100" s="6"/>
      <c r="CU3100" s="6"/>
      <c r="CV3100" s="6"/>
      <c r="CW3100" s="6"/>
      <c r="CX3100" s="6"/>
      <c r="CY3100" s="6"/>
      <c r="CZ3100" s="6"/>
      <c r="DA3100" s="6"/>
      <c r="DB3100" s="6"/>
      <c r="DC3100" s="6"/>
      <c r="DD3100" s="6"/>
    </row>
    <row r="3101" spans="1:108" ht="12.75" hidden="1" customHeight="1" outlineLevel="7">
      <c r="A3101" s="104" t="s">
        <v>14</v>
      </c>
      <c r="B3101" s="28">
        <f t="shared" ref="B3101:B3119" si="180">B1502</f>
        <v>1</v>
      </c>
      <c r="C3101" s="11"/>
      <c r="D3101" s="18" t="str">
        <f>"&lt;" &amp; A3101 &amp; "&gt;" &amp; TEXT(B3101,0) &amp; "&lt;/" &amp; A3101 &amp; "&gt;"</f>
        <v>&lt;Type&gt;1&lt;/Type&gt;</v>
      </c>
      <c r="F3101" s="6"/>
      <c r="G3101" s="6"/>
      <c r="H3101" s="6"/>
      <c r="I3101" s="6"/>
      <c r="J3101" s="6"/>
      <c r="K3101" s="6"/>
      <c r="L3101" s="6"/>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c r="BU3101" s="6"/>
      <c r="BV3101" s="6"/>
      <c r="BW3101" s="6"/>
      <c r="BX3101" s="6"/>
      <c r="BY3101" s="6"/>
      <c r="BZ3101" s="6"/>
      <c r="CA3101" s="6"/>
      <c r="CB3101" s="6"/>
      <c r="CC3101" s="6"/>
      <c r="CD3101" s="6"/>
      <c r="CE3101" s="6"/>
      <c r="CF3101" s="6"/>
      <c r="CG3101" s="6"/>
      <c r="CH3101" s="6"/>
      <c r="CI3101" s="6"/>
      <c r="CJ3101" s="6"/>
      <c r="CK3101" s="6"/>
      <c r="CL3101" s="6"/>
      <c r="CM3101" s="6"/>
      <c r="CN3101" s="6"/>
      <c r="CO3101" s="6"/>
      <c r="CP3101" s="6"/>
      <c r="CQ3101" s="6"/>
      <c r="CR3101" s="6"/>
      <c r="CS3101" s="6"/>
      <c r="CT3101" s="6"/>
      <c r="CU3101" s="6"/>
      <c r="CV3101" s="6"/>
      <c r="CW3101" s="6"/>
      <c r="CX3101" s="6"/>
      <c r="CY3101" s="6"/>
      <c r="CZ3101" s="6"/>
      <c r="DA3101" s="6"/>
      <c r="DB3101" s="6"/>
      <c r="DC3101" s="6"/>
      <c r="DD3101" s="6"/>
    </row>
    <row r="3102" spans="1:108" ht="12.75" hidden="1" customHeight="1" outlineLevel="7">
      <c r="A3102" s="104" t="s">
        <v>102</v>
      </c>
      <c r="B3102" s="28">
        <f t="shared" si="180"/>
        <v>0</v>
      </c>
      <c r="C3102" s="11"/>
      <c r="D3102" s="18" t="str">
        <f>"&lt;" &amp; A3102 &amp; "&gt;" &amp; TEXT(B3102,0) &amp; "&lt;/" &amp; A3102 &amp; "&gt;"</f>
        <v>&lt;Inverted_Flag&gt;0&lt;/Inverted_Flag&gt;</v>
      </c>
      <c r="F3102" s="6"/>
      <c r="G3102" s="6"/>
      <c r="H3102" s="6"/>
      <c r="I3102" s="6"/>
      <c r="J3102" s="6"/>
      <c r="K3102" s="6"/>
      <c r="L3102" s="6"/>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c r="BU3102" s="6"/>
      <c r="BV3102" s="6"/>
      <c r="BW3102" s="6"/>
      <c r="BX3102" s="6"/>
      <c r="BY3102" s="6"/>
      <c r="BZ3102" s="6"/>
      <c r="CA3102" s="6"/>
      <c r="CB3102" s="6"/>
      <c r="CC3102" s="6"/>
      <c r="CD3102" s="6"/>
      <c r="CE3102" s="6"/>
      <c r="CF3102" s="6"/>
      <c r="CG3102" s="6"/>
      <c r="CH3102" s="6"/>
      <c r="CI3102" s="6"/>
      <c r="CJ3102" s="6"/>
      <c r="CK3102" s="6"/>
      <c r="CL3102" s="6"/>
      <c r="CM3102" s="6"/>
      <c r="CN3102" s="6"/>
      <c r="CO3102" s="6"/>
      <c r="CP3102" s="6"/>
      <c r="CQ3102" s="6"/>
      <c r="CR3102" s="6"/>
      <c r="CS3102" s="6"/>
      <c r="CT3102" s="6"/>
      <c r="CU3102" s="6"/>
      <c r="CV3102" s="6"/>
      <c r="CW3102" s="6"/>
      <c r="CX3102" s="6"/>
      <c r="CY3102" s="6"/>
      <c r="CZ3102" s="6"/>
      <c r="DA3102" s="6"/>
      <c r="DB3102" s="6"/>
      <c r="DC3102" s="6"/>
      <c r="DD3102" s="6"/>
    </row>
    <row r="3103" spans="1:108" ht="12.75" hidden="1" customHeight="1" outlineLevel="7">
      <c r="A3103" s="104" t="s">
        <v>4</v>
      </c>
      <c r="B3103" s="28">
        <f t="shared" si="180"/>
        <v>0</v>
      </c>
      <c r="C3103" s="11"/>
      <c r="D3103" s="18" t="str">
        <f t="shared" ref="D3103:D3108" si="181">"&lt;" &amp; A3103 &amp; "&gt;" &amp; TEXT(B3103,"0.000000") &amp; "&lt;/" &amp; A3103 &amp; "&gt;"</f>
        <v>&lt;Camber&gt;0.000000&lt;/Camber&gt;</v>
      </c>
      <c r="F3103" s="6"/>
      <c r="G3103" s="6"/>
      <c r="H3103" s="6"/>
      <c r="I3103" s="6"/>
      <c r="J3103" s="6"/>
      <c r="K3103" s="6"/>
      <c r="L3103" s="6"/>
      <c r="M3103" s="6"/>
      <c r="N3103" s="6"/>
      <c r="O3103" s="6"/>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c r="BU3103" s="6"/>
      <c r="BV3103" s="6"/>
      <c r="BW3103" s="6"/>
      <c r="BX3103" s="6"/>
      <c r="BY3103" s="6"/>
      <c r="BZ3103" s="6"/>
      <c r="CA3103" s="6"/>
      <c r="CB3103" s="6"/>
      <c r="CC3103" s="6"/>
      <c r="CD3103" s="6"/>
      <c r="CE3103" s="6"/>
      <c r="CF3103" s="6"/>
      <c r="CG3103" s="6"/>
      <c r="CH3103" s="6"/>
      <c r="CI3103" s="6"/>
      <c r="CJ3103" s="6"/>
      <c r="CK3103" s="6"/>
      <c r="CL3103" s="6"/>
      <c r="CM3103" s="6"/>
      <c r="CN3103" s="6"/>
      <c r="CO3103" s="6"/>
      <c r="CP3103" s="6"/>
      <c r="CQ3103" s="6"/>
      <c r="CR3103" s="6"/>
      <c r="CS3103" s="6"/>
      <c r="CT3103" s="6"/>
      <c r="CU3103" s="6"/>
      <c r="CV3103" s="6"/>
      <c r="CW3103" s="6"/>
      <c r="CX3103" s="6"/>
      <c r="CY3103" s="6"/>
      <c r="CZ3103" s="6"/>
      <c r="DA3103" s="6"/>
      <c r="DB3103" s="6"/>
      <c r="DC3103" s="6"/>
      <c r="DD3103" s="6"/>
    </row>
    <row r="3104" spans="1:108" ht="12.75" hidden="1" customHeight="1" outlineLevel="7">
      <c r="A3104" s="104" t="s">
        <v>103</v>
      </c>
      <c r="B3104" s="28">
        <f t="shared" si="180"/>
        <v>0.5</v>
      </c>
      <c r="C3104" s="11"/>
      <c r="D3104" s="18" t="str">
        <f t="shared" si="181"/>
        <v>&lt;Camber_Loc&gt;0.500000&lt;/Camber_Loc&gt;</v>
      </c>
      <c r="F3104" s="6"/>
      <c r="G3104" s="6"/>
      <c r="H3104" s="6"/>
      <c r="I3104" s="6"/>
      <c r="J3104" s="6"/>
      <c r="K3104" s="6"/>
      <c r="L3104" s="6"/>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c r="BU3104" s="6"/>
      <c r="BV3104" s="6"/>
      <c r="BW3104" s="6"/>
      <c r="BX3104" s="6"/>
      <c r="BY3104" s="6"/>
      <c r="BZ3104" s="6"/>
      <c r="CA3104" s="6"/>
      <c r="CB3104" s="6"/>
      <c r="CC3104" s="6"/>
      <c r="CD3104" s="6"/>
      <c r="CE3104" s="6"/>
      <c r="CF3104" s="6"/>
      <c r="CG3104" s="6"/>
      <c r="CH3104" s="6"/>
      <c r="CI3104" s="6"/>
      <c r="CJ3104" s="6"/>
      <c r="CK3104" s="6"/>
      <c r="CL3104" s="6"/>
      <c r="CM3104" s="6"/>
      <c r="CN3104" s="6"/>
      <c r="CO3104" s="6"/>
      <c r="CP3104" s="6"/>
      <c r="CQ3104" s="6"/>
      <c r="CR3104" s="6"/>
      <c r="CS3104" s="6"/>
      <c r="CT3104" s="6"/>
      <c r="CU3104" s="6"/>
      <c r="CV3104" s="6"/>
      <c r="CW3104" s="6"/>
      <c r="CX3104" s="6"/>
      <c r="CY3104" s="6"/>
      <c r="CZ3104" s="6"/>
      <c r="DA3104" s="6"/>
      <c r="DB3104" s="6"/>
      <c r="DC3104" s="6"/>
      <c r="DD3104" s="6"/>
    </row>
    <row r="3105" spans="1:108" ht="12.75" hidden="1" customHeight="1" outlineLevel="7">
      <c r="A3105" s="104" t="s">
        <v>5</v>
      </c>
      <c r="B3105" s="28">
        <f t="shared" si="180"/>
        <v>0.2</v>
      </c>
      <c r="C3105" s="11"/>
      <c r="D3105" s="18" t="str">
        <f t="shared" si="181"/>
        <v>&lt;Thickness&gt;0.200000&lt;/Thickness&gt;</v>
      </c>
      <c r="F3105" s="6"/>
      <c r="G3105" s="6"/>
      <c r="H3105" s="6"/>
      <c r="I3105" s="6"/>
      <c r="J3105" s="6"/>
      <c r="K3105" s="6"/>
      <c r="L3105" s="6"/>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c r="BU3105" s="6"/>
      <c r="BV3105" s="6"/>
      <c r="BW3105" s="6"/>
      <c r="BX3105" s="6"/>
      <c r="BY3105" s="6"/>
      <c r="BZ3105" s="6"/>
      <c r="CA3105" s="6"/>
      <c r="CB3105" s="6"/>
      <c r="CC3105" s="6"/>
      <c r="CD3105" s="6"/>
      <c r="CE3105" s="6"/>
      <c r="CF3105" s="6"/>
      <c r="CG3105" s="6"/>
      <c r="CH3105" s="6"/>
      <c r="CI3105" s="6"/>
      <c r="CJ3105" s="6"/>
      <c r="CK3105" s="6"/>
      <c r="CL3105" s="6"/>
      <c r="CM3105" s="6"/>
      <c r="CN3105" s="6"/>
      <c r="CO3105" s="6"/>
      <c r="CP3105" s="6"/>
      <c r="CQ3105" s="6"/>
      <c r="CR3105" s="6"/>
      <c r="CS3105" s="6"/>
      <c r="CT3105" s="6"/>
      <c r="CU3105" s="6"/>
      <c r="CV3105" s="6"/>
      <c r="CW3105" s="6"/>
      <c r="CX3105" s="6"/>
      <c r="CY3105" s="6"/>
      <c r="CZ3105" s="6"/>
      <c r="DA3105" s="6"/>
      <c r="DB3105" s="6"/>
      <c r="DC3105" s="6"/>
      <c r="DD3105" s="6"/>
    </row>
    <row r="3106" spans="1:108" ht="12.75" hidden="1" customHeight="1" outlineLevel="7">
      <c r="A3106" s="104" t="s">
        <v>104</v>
      </c>
      <c r="B3106" s="28">
        <f t="shared" si="180"/>
        <v>0.3</v>
      </c>
      <c r="C3106" s="11"/>
      <c r="D3106" s="18" t="str">
        <f t="shared" si="181"/>
        <v>&lt;Thickness_Loc&gt;0.300000&lt;/Thickness_Loc&gt;</v>
      </c>
      <c r="F3106" s="6"/>
      <c r="G3106" s="6"/>
      <c r="H3106" s="6"/>
      <c r="I3106" s="6"/>
      <c r="J3106" s="6"/>
      <c r="K3106" s="6"/>
      <c r="L3106" s="6"/>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c r="BU3106" s="6"/>
      <c r="BV3106" s="6"/>
      <c r="BW3106" s="6"/>
      <c r="BX3106" s="6"/>
      <c r="BY3106" s="6"/>
      <c r="BZ3106" s="6"/>
      <c r="CA3106" s="6"/>
      <c r="CB3106" s="6"/>
      <c r="CC3106" s="6"/>
      <c r="CD3106" s="6"/>
      <c r="CE3106" s="6"/>
      <c r="CF3106" s="6"/>
      <c r="CG3106" s="6"/>
      <c r="CH3106" s="6"/>
      <c r="CI3106" s="6"/>
      <c r="CJ3106" s="6"/>
      <c r="CK3106" s="6"/>
      <c r="CL3106" s="6"/>
      <c r="CM3106" s="6"/>
      <c r="CN3106" s="6"/>
      <c r="CO3106" s="6"/>
      <c r="CP3106" s="6"/>
      <c r="CQ3106" s="6"/>
      <c r="CR3106" s="6"/>
      <c r="CS3106" s="6"/>
      <c r="CT3106" s="6"/>
      <c r="CU3106" s="6"/>
      <c r="CV3106" s="6"/>
      <c r="CW3106" s="6"/>
      <c r="CX3106" s="6"/>
      <c r="CY3106" s="6"/>
      <c r="CZ3106" s="6"/>
      <c r="DA3106" s="6"/>
      <c r="DB3106" s="6"/>
      <c r="DC3106" s="6"/>
      <c r="DD3106" s="6"/>
    </row>
    <row r="3107" spans="1:108" ht="12.75" hidden="1" customHeight="1" outlineLevel="7">
      <c r="A3107" s="104" t="s">
        <v>105</v>
      </c>
      <c r="B3107" s="28">
        <f t="shared" si="180"/>
        <v>4.4075999999999997E-2</v>
      </c>
      <c r="C3107" s="11"/>
      <c r="D3107" s="18" t="str">
        <f t="shared" si="181"/>
        <v>&lt;Radius_Le&gt;0.044076&lt;/Radius_Le&gt;</v>
      </c>
      <c r="F3107" s="6"/>
      <c r="G3107" s="6"/>
      <c r="H3107" s="6"/>
      <c r="I3107" s="6"/>
      <c r="J3107" s="6"/>
      <c r="K3107" s="6"/>
      <c r="L3107" s="6"/>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c r="BU3107" s="6"/>
      <c r="BV3107" s="6"/>
      <c r="BW3107" s="6"/>
      <c r="BX3107" s="6"/>
      <c r="BY3107" s="6"/>
      <c r="BZ3107" s="6"/>
      <c r="CA3107" s="6"/>
      <c r="CB3107" s="6"/>
      <c r="CC3107" s="6"/>
      <c r="CD3107" s="6"/>
      <c r="CE3107" s="6"/>
      <c r="CF3107" s="6"/>
      <c r="CG3107" s="6"/>
      <c r="CH3107" s="6"/>
      <c r="CI3107" s="6"/>
      <c r="CJ3107" s="6"/>
      <c r="CK3107" s="6"/>
      <c r="CL3107" s="6"/>
      <c r="CM3107" s="6"/>
      <c r="CN3107" s="6"/>
      <c r="CO3107" s="6"/>
      <c r="CP3107" s="6"/>
      <c r="CQ3107" s="6"/>
      <c r="CR3107" s="6"/>
      <c r="CS3107" s="6"/>
      <c r="CT3107" s="6"/>
      <c r="CU3107" s="6"/>
      <c r="CV3107" s="6"/>
      <c r="CW3107" s="6"/>
      <c r="CX3107" s="6"/>
      <c r="CY3107" s="6"/>
      <c r="CZ3107" s="6"/>
      <c r="DA3107" s="6"/>
      <c r="DB3107" s="6"/>
      <c r="DC3107" s="6"/>
      <c r="DD3107" s="6"/>
    </row>
    <row r="3108" spans="1:108" ht="12.75" hidden="1" customHeight="1" outlineLevel="7">
      <c r="A3108" s="104" t="s">
        <v>106</v>
      </c>
      <c r="B3108" s="28">
        <f t="shared" si="180"/>
        <v>0</v>
      </c>
      <c r="C3108" s="11"/>
      <c r="D3108" s="18" t="str">
        <f t="shared" si="181"/>
        <v>&lt;Radius_Te&gt;0.000000&lt;/Radius_Te&gt;</v>
      </c>
      <c r="F3108" s="6"/>
      <c r="G3108" s="6"/>
      <c r="H3108" s="6"/>
      <c r="I3108" s="6"/>
      <c r="J3108" s="6"/>
      <c r="K3108" s="6"/>
      <c r="L3108" s="6"/>
      <c r="M3108" s="6"/>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c r="BU3108" s="6"/>
      <c r="BV3108" s="6"/>
      <c r="BW3108" s="6"/>
      <c r="BX3108" s="6"/>
      <c r="BY3108" s="6"/>
      <c r="BZ3108" s="6"/>
      <c r="CA3108" s="6"/>
      <c r="CB3108" s="6"/>
      <c r="CC3108" s="6"/>
      <c r="CD3108" s="6"/>
      <c r="CE3108" s="6"/>
      <c r="CF3108" s="6"/>
      <c r="CG3108" s="6"/>
      <c r="CH3108" s="6"/>
      <c r="CI3108" s="6"/>
      <c r="CJ3108" s="6"/>
      <c r="CK3108" s="6"/>
      <c r="CL3108" s="6"/>
      <c r="CM3108" s="6"/>
      <c r="CN3108" s="6"/>
      <c r="CO3108" s="6"/>
      <c r="CP3108" s="6"/>
      <c r="CQ3108" s="6"/>
      <c r="CR3108" s="6"/>
      <c r="CS3108" s="6"/>
      <c r="CT3108" s="6"/>
      <c r="CU3108" s="6"/>
      <c r="CV3108" s="6"/>
      <c r="CW3108" s="6"/>
      <c r="CX3108" s="6"/>
      <c r="CY3108" s="6"/>
      <c r="CZ3108" s="6"/>
      <c r="DA3108" s="6"/>
      <c r="DB3108" s="6"/>
      <c r="DC3108" s="6"/>
      <c r="DD3108" s="6"/>
    </row>
    <row r="3109" spans="1:108" ht="12.75" hidden="1" customHeight="1" outlineLevel="7">
      <c r="A3109" s="104" t="s">
        <v>107</v>
      </c>
      <c r="B3109" s="28">
        <f t="shared" si="180"/>
        <v>63</v>
      </c>
      <c r="C3109" s="11"/>
      <c r="D3109" s="18" t="str">
        <f>"&lt;" &amp; A3109 &amp; "&gt;" &amp; TEXT(B3109,0) &amp; "&lt;/" &amp; A3109 &amp; "&gt;"</f>
        <v>&lt;Six_Series&gt;63&lt;/Six_Series&gt;</v>
      </c>
      <c r="F3109" s="6"/>
      <c r="G3109" s="6"/>
      <c r="H3109" s="6"/>
      <c r="I3109" s="6"/>
      <c r="J3109" s="6"/>
      <c r="K3109" s="6"/>
      <c r="L3109" s="6"/>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c r="BU3109" s="6"/>
      <c r="BV3109" s="6"/>
      <c r="BW3109" s="6"/>
      <c r="BX3109" s="6"/>
      <c r="BY3109" s="6"/>
      <c r="BZ3109" s="6"/>
      <c r="CA3109" s="6"/>
      <c r="CB3109" s="6"/>
      <c r="CC3109" s="6"/>
      <c r="CD3109" s="6"/>
      <c r="CE3109" s="6"/>
      <c r="CF3109" s="6"/>
      <c r="CG3109" s="6"/>
      <c r="CH3109" s="6"/>
      <c r="CI3109" s="6"/>
      <c r="CJ3109" s="6"/>
      <c r="CK3109" s="6"/>
      <c r="CL3109" s="6"/>
      <c r="CM3109" s="6"/>
      <c r="CN3109" s="6"/>
      <c r="CO3109" s="6"/>
      <c r="CP3109" s="6"/>
      <c r="CQ3109" s="6"/>
      <c r="CR3109" s="6"/>
      <c r="CS3109" s="6"/>
      <c r="CT3109" s="6"/>
      <c r="CU3109" s="6"/>
      <c r="CV3109" s="6"/>
      <c r="CW3109" s="6"/>
      <c r="CX3109" s="6"/>
      <c r="CY3109" s="6"/>
      <c r="CZ3109" s="6"/>
      <c r="DA3109" s="6"/>
      <c r="DB3109" s="6"/>
      <c r="DC3109" s="6"/>
      <c r="DD3109" s="6"/>
    </row>
    <row r="3110" spans="1:108" ht="12.75" hidden="1" customHeight="1" outlineLevel="7">
      <c r="A3110" s="104" t="s">
        <v>108</v>
      </c>
      <c r="B3110" s="28">
        <f t="shared" si="180"/>
        <v>0</v>
      </c>
      <c r="C3110" s="11"/>
      <c r="D3110" s="18" t="str">
        <f>"&lt;" &amp; A3110 &amp; "&gt;" &amp; TEXT(B3110,"0.000000") &amp; "&lt;/" &amp; A3110 &amp; "&gt;"</f>
        <v>&lt;Ideal_Cl&gt;0.000000&lt;/Ideal_Cl&gt;</v>
      </c>
      <c r="F3110" s="6"/>
      <c r="G3110" s="6"/>
      <c r="H3110" s="6"/>
      <c r="I3110" s="6"/>
      <c r="J3110" s="6"/>
      <c r="K3110" s="6"/>
      <c r="L3110" s="6"/>
      <c r="M3110" s="6"/>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c r="BU3110" s="6"/>
      <c r="BV3110" s="6"/>
      <c r="BW3110" s="6"/>
      <c r="BX3110" s="6"/>
      <c r="BY3110" s="6"/>
      <c r="BZ3110" s="6"/>
      <c r="CA3110" s="6"/>
      <c r="CB3110" s="6"/>
      <c r="CC3110" s="6"/>
      <c r="CD3110" s="6"/>
      <c r="CE3110" s="6"/>
      <c r="CF3110" s="6"/>
      <c r="CG3110" s="6"/>
      <c r="CH3110" s="6"/>
      <c r="CI3110" s="6"/>
      <c r="CJ3110" s="6"/>
      <c r="CK3110" s="6"/>
      <c r="CL3110" s="6"/>
      <c r="CM3110" s="6"/>
      <c r="CN3110" s="6"/>
      <c r="CO3110" s="6"/>
      <c r="CP3110" s="6"/>
      <c r="CQ3110" s="6"/>
      <c r="CR3110" s="6"/>
      <c r="CS3110" s="6"/>
      <c r="CT3110" s="6"/>
      <c r="CU3110" s="6"/>
      <c r="CV3110" s="6"/>
      <c r="CW3110" s="6"/>
      <c r="CX3110" s="6"/>
      <c r="CY3110" s="6"/>
      <c r="CZ3110" s="6"/>
      <c r="DA3110" s="6"/>
      <c r="DB3110" s="6"/>
      <c r="DC3110" s="6"/>
      <c r="DD3110" s="6"/>
    </row>
    <row r="3111" spans="1:108" ht="12.75" hidden="1" customHeight="1" outlineLevel="7">
      <c r="A3111" s="104" t="s">
        <v>109</v>
      </c>
      <c r="B3111" s="28">
        <f t="shared" si="180"/>
        <v>0</v>
      </c>
      <c r="C3111" s="11"/>
      <c r="D3111" s="18" t="str">
        <f>"&lt;" &amp; A3111 &amp; "&gt;" &amp; TEXT(B3111,"0.000000") &amp; "&lt;/" &amp; A3111 &amp; "&gt;"</f>
        <v>&lt;A&gt;0.000000&lt;/A&gt;</v>
      </c>
      <c r="F3111" s="6"/>
      <c r="G3111" s="6"/>
      <c r="H3111" s="6"/>
      <c r="I3111" s="6"/>
      <c r="J3111" s="6"/>
      <c r="K3111" s="6"/>
      <c r="L3111" s="6"/>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c r="BU3111" s="6"/>
      <c r="BV3111" s="6"/>
      <c r="BW3111" s="6"/>
      <c r="BX3111" s="6"/>
      <c r="BY3111" s="6"/>
      <c r="BZ3111" s="6"/>
      <c r="CA3111" s="6"/>
      <c r="CB3111" s="6"/>
      <c r="CC3111" s="6"/>
      <c r="CD3111" s="6"/>
      <c r="CE3111" s="6"/>
      <c r="CF3111" s="6"/>
      <c r="CG3111" s="6"/>
      <c r="CH3111" s="6"/>
      <c r="CI3111" s="6"/>
      <c r="CJ3111" s="6"/>
      <c r="CK3111" s="6"/>
      <c r="CL3111" s="6"/>
      <c r="CM3111" s="6"/>
      <c r="CN3111" s="6"/>
      <c r="CO3111" s="6"/>
      <c r="CP3111" s="6"/>
      <c r="CQ3111" s="6"/>
      <c r="CR3111" s="6"/>
      <c r="CS3111" s="6"/>
      <c r="CT3111" s="6"/>
      <c r="CU3111" s="6"/>
      <c r="CV3111" s="6"/>
      <c r="CW3111" s="6"/>
      <c r="CX3111" s="6"/>
      <c r="CY3111" s="6"/>
      <c r="CZ3111" s="6"/>
      <c r="DA3111" s="6"/>
      <c r="DB3111" s="6"/>
      <c r="DC3111" s="6"/>
      <c r="DD3111" s="6"/>
    </row>
    <row r="3112" spans="1:108" ht="12.75" hidden="1" customHeight="1" outlineLevel="7">
      <c r="A3112" s="104" t="s">
        <v>110</v>
      </c>
      <c r="B3112" s="28">
        <f t="shared" si="180"/>
        <v>0</v>
      </c>
      <c r="C3112" s="11"/>
      <c r="D3112" s="18" t="str">
        <f>"&lt;" &amp; A3112 &amp; "&gt;" &amp; TEXT(B3112,0) &amp; "&lt;/" &amp; A3112 &amp; "&gt;"</f>
        <v>&lt;Slat_Flag&gt;0&lt;/Slat_Flag&gt;</v>
      </c>
      <c r="F3112" s="6"/>
      <c r="G3112" s="6"/>
      <c r="H3112" s="6"/>
      <c r="I3112" s="6"/>
      <c r="J3112" s="6"/>
      <c r="K3112" s="6"/>
      <c r="L3112" s="6"/>
      <c r="M3112" s="6"/>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c r="BU3112" s="6"/>
      <c r="BV3112" s="6"/>
      <c r="BW3112" s="6"/>
      <c r="BX3112" s="6"/>
      <c r="BY3112" s="6"/>
      <c r="BZ3112" s="6"/>
      <c r="CA3112" s="6"/>
      <c r="CB3112" s="6"/>
      <c r="CC3112" s="6"/>
      <c r="CD3112" s="6"/>
      <c r="CE3112" s="6"/>
      <c r="CF3112" s="6"/>
      <c r="CG3112" s="6"/>
      <c r="CH3112" s="6"/>
      <c r="CI3112" s="6"/>
      <c r="CJ3112" s="6"/>
      <c r="CK3112" s="6"/>
      <c r="CL3112" s="6"/>
      <c r="CM3112" s="6"/>
      <c r="CN3112" s="6"/>
      <c r="CO3112" s="6"/>
      <c r="CP3112" s="6"/>
      <c r="CQ3112" s="6"/>
      <c r="CR3112" s="6"/>
      <c r="CS3112" s="6"/>
      <c r="CT3112" s="6"/>
      <c r="CU3112" s="6"/>
      <c r="CV3112" s="6"/>
      <c r="CW3112" s="6"/>
      <c r="CX3112" s="6"/>
      <c r="CY3112" s="6"/>
      <c r="CZ3112" s="6"/>
      <c r="DA3112" s="6"/>
      <c r="DB3112" s="6"/>
      <c r="DC3112" s="6"/>
      <c r="DD3112" s="6"/>
    </row>
    <row r="3113" spans="1:108" ht="12.75" hidden="1" customHeight="1" outlineLevel="7">
      <c r="A3113" s="104" t="s">
        <v>111</v>
      </c>
      <c r="B3113" s="28">
        <f t="shared" si="180"/>
        <v>0</v>
      </c>
      <c r="C3113" s="11"/>
      <c r="D3113" s="18" t="str">
        <f>"&lt;" &amp; A3113 &amp; "&gt;" &amp; TEXT(B3113,0) &amp; "&lt;/" &amp; A3113 &amp; "&gt;"</f>
        <v>&lt;Slat_Shear_Flag&gt;0&lt;/Slat_Shear_Flag&gt;</v>
      </c>
      <c r="F3113" s="6"/>
      <c r="G3113" s="6"/>
      <c r="H3113" s="6"/>
      <c r="I3113" s="6"/>
      <c r="J3113" s="6"/>
      <c r="K3113" s="6"/>
      <c r="L3113" s="6"/>
      <c r="M3113" s="6"/>
      <c r="N3113" s="6"/>
      <c r="O3113" s="6"/>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c r="BU3113" s="6"/>
      <c r="BV3113" s="6"/>
      <c r="BW3113" s="6"/>
      <c r="BX3113" s="6"/>
      <c r="BY3113" s="6"/>
      <c r="BZ3113" s="6"/>
      <c r="CA3113" s="6"/>
      <c r="CB3113" s="6"/>
      <c r="CC3113" s="6"/>
      <c r="CD3113" s="6"/>
      <c r="CE3113" s="6"/>
      <c r="CF3113" s="6"/>
      <c r="CG3113" s="6"/>
      <c r="CH3113" s="6"/>
      <c r="CI3113" s="6"/>
      <c r="CJ3113" s="6"/>
      <c r="CK3113" s="6"/>
      <c r="CL3113" s="6"/>
      <c r="CM3113" s="6"/>
      <c r="CN3113" s="6"/>
      <c r="CO3113" s="6"/>
      <c r="CP3113" s="6"/>
      <c r="CQ3113" s="6"/>
      <c r="CR3113" s="6"/>
      <c r="CS3113" s="6"/>
      <c r="CT3113" s="6"/>
      <c r="CU3113" s="6"/>
      <c r="CV3113" s="6"/>
      <c r="CW3113" s="6"/>
      <c r="CX3113" s="6"/>
      <c r="CY3113" s="6"/>
      <c r="CZ3113" s="6"/>
      <c r="DA3113" s="6"/>
      <c r="DB3113" s="6"/>
      <c r="DC3113" s="6"/>
      <c r="DD3113" s="6"/>
    </row>
    <row r="3114" spans="1:108" ht="12.75" hidden="1" customHeight="1" outlineLevel="7">
      <c r="A3114" s="104" t="s">
        <v>112</v>
      </c>
      <c r="B3114" s="28">
        <f t="shared" si="180"/>
        <v>0.25</v>
      </c>
      <c r="C3114" s="11"/>
      <c r="D3114" s="18" t="str">
        <f>"&lt;" &amp; A3114 &amp; "&gt;" &amp; TEXT(B3114,"0.000000") &amp; "&lt;/" &amp; A3114 &amp; "&gt;"</f>
        <v>&lt;Slat_Chord&gt;0.250000&lt;/Slat_Chord&gt;</v>
      </c>
      <c r="F3114" s="6"/>
      <c r="G3114" s="6"/>
      <c r="H3114" s="6"/>
      <c r="I3114" s="6"/>
      <c r="J3114" s="6"/>
      <c r="K3114" s="6"/>
      <c r="L3114" s="6"/>
      <c r="M3114" s="6"/>
      <c r="N3114" s="6"/>
      <c r="O3114" s="6"/>
      <c r="P3114" s="6"/>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c r="BU3114" s="6"/>
      <c r="BV3114" s="6"/>
      <c r="BW3114" s="6"/>
      <c r="BX3114" s="6"/>
      <c r="BY3114" s="6"/>
      <c r="BZ3114" s="6"/>
      <c r="CA3114" s="6"/>
      <c r="CB3114" s="6"/>
      <c r="CC3114" s="6"/>
      <c r="CD3114" s="6"/>
      <c r="CE3114" s="6"/>
      <c r="CF3114" s="6"/>
      <c r="CG3114" s="6"/>
      <c r="CH3114" s="6"/>
      <c r="CI3114" s="6"/>
      <c r="CJ3114" s="6"/>
      <c r="CK3114" s="6"/>
      <c r="CL3114" s="6"/>
      <c r="CM3114" s="6"/>
      <c r="CN3114" s="6"/>
      <c r="CO3114" s="6"/>
      <c r="CP3114" s="6"/>
      <c r="CQ3114" s="6"/>
      <c r="CR3114" s="6"/>
      <c r="CS3114" s="6"/>
      <c r="CT3114" s="6"/>
      <c r="CU3114" s="6"/>
      <c r="CV3114" s="6"/>
      <c r="CW3114" s="6"/>
      <c r="CX3114" s="6"/>
      <c r="CY3114" s="6"/>
      <c r="CZ3114" s="6"/>
      <c r="DA3114" s="6"/>
      <c r="DB3114" s="6"/>
      <c r="DC3114" s="6"/>
      <c r="DD3114" s="6"/>
    </row>
    <row r="3115" spans="1:108" ht="12.75" hidden="1" customHeight="1" outlineLevel="7">
      <c r="A3115" s="104" t="s">
        <v>113</v>
      </c>
      <c r="B3115" s="28">
        <f t="shared" si="180"/>
        <v>10</v>
      </c>
      <c r="C3115" s="11"/>
      <c r="D3115" s="18" t="str">
        <f>"&lt;" &amp; A3115 &amp; "&gt;" &amp; TEXT(B3115,"0.000000") &amp; "&lt;/" &amp; A3115 &amp; "&gt;"</f>
        <v>&lt;Slat_Angle&gt;10.000000&lt;/Slat_Angle&gt;</v>
      </c>
      <c r="F3115" s="6"/>
      <c r="G3115" s="6"/>
      <c r="H3115" s="6"/>
      <c r="I3115" s="6"/>
      <c r="J3115" s="6"/>
      <c r="K3115" s="6"/>
      <c r="L3115" s="6"/>
      <c r="M3115" s="6"/>
      <c r="N3115" s="6"/>
      <c r="O3115" s="6"/>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c r="BU3115" s="6"/>
      <c r="BV3115" s="6"/>
      <c r="BW3115" s="6"/>
      <c r="BX3115" s="6"/>
      <c r="BY3115" s="6"/>
      <c r="BZ3115" s="6"/>
      <c r="CA3115" s="6"/>
      <c r="CB3115" s="6"/>
      <c r="CC3115" s="6"/>
      <c r="CD3115" s="6"/>
      <c r="CE3115" s="6"/>
      <c r="CF3115" s="6"/>
      <c r="CG3115" s="6"/>
      <c r="CH3115" s="6"/>
      <c r="CI3115" s="6"/>
      <c r="CJ3115" s="6"/>
      <c r="CK3115" s="6"/>
      <c r="CL3115" s="6"/>
      <c r="CM3115" s="6"/>
      <c r="CN3115" s="6"/>
      <c r="CO3115" s="6"/>
      <c r="CP3115" s="6"/>
      <c r="CQ3115" s="6"/>
      <c r="CR3115" s="6"/>
      <c r="CS3115" s="6"/>
      <c r="CT3115" s="6"/>
      <c r="CU3115" s="6"/>
      <c r="CV3115" s="6"/>
      <c r="CW3115" s="6"/>
      <c r="CX3115" s="6"/>
      <c r="CY3115" s="6"/>
      <c r="CZ3115" s="6"/>
      <c r="DA3115" s="6"/>
      <c r="DB3115" s="6"/>
      <c r="DC3115" s="6"/>
      <c r="DD3115" s="6"/>
    </row>
    <row r="3116" spans="1:108" ht="12.75" hidden="1" customHeight="1" outlineLevel="7">
      <c r="A3116" s="104" t="s">
        <v>114</v>
      </c>
      <c r="B3116" s="28">
        <f t="shared" si="180"/>
        <v>0</v>
      </c>
      <c r="C3116" s="11"/>
      <c r="D3116" s="18" t="str">
        <f>"&lt;" &amp; A3116 &amp; "&gt;" &amp; TEXT(B3116,0) &amp; "&lt;/" &amp; A3116 &amp; "&gt;"</f>
        <v>&lt;Flap_Flag&gt;0&lt;/Flap_Flag&gt;</v>
      </c>
      <c r="F3116" s="6"/>
      <c r="G3116" s="6"/>
      <c r="H3116" s="6"/>
      <c r="I3116" s="6"/>
      <c r="J3116" s="6"/>
      <c r="K3116" s="6"/>
      <c r="L3116" s="6"/>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c r="BU3116" s="6"/>
      <c r="BV3116" s="6"/>
      <c r="BW3116" s="6"/>
      <c r="BX3116" s="6"/>
      <c r="BY3116" s="6"/>
      <c r="BZ3116" s="6"/>
      <c r="CA3116" s="6"/>
      <c r="CB3116" s="6"/>
      <c r="CC3116" s="6"/>
      <c r="CD3116" s="6"/>
      <c r="CE3116" s="6"/>
      <c r="CF3116" s="6"/>
      <c r="CG3116" s="6"/>
      <c r="CH3116" s="6"/>
      <c r="CI3116" s="6"/>
      <c r="CJ3116" s="6"/>
      <c r="CK3116" s="6"/>
      <c r="CL3116" s="6"/>
      <c r="CM3116" s="6"/>
      <c r="CN3116" s="6"/>
      <c r="CO3116" s="6"/>
      <c r="CP3116" s="6"/>
      <c r="CQ3116" s="6"/>
      <c r="CR3116" s="6"/>
      <c r="CS3116" s="6"/>
      <c r="CT3116" s="6"/>
      <c r="CU3116" s="6"/>
      <c r="CV3116" s="6"/>
      <c r="CW3116" s="6"/>
      <c r="CX3116" s="6"/>
      <c r="CY3116" s="6"/>
      <c r="CZ3116" s="6"/>
      <c r="DA3116" s="6"/>
      <c r="DB3116" s="6"/>
      <c r="DC3116" s="6"/>
      <c r="DD3116" s="6"/>
    </row>
    <row r="3117" spans="1:108" ht="12.75" hidden="1" customHeight="1" outlineLevel="7">
      <c r="A3117" s="104" t="s">
        <v>115</v>
      </c>
      <c r="B3117" s="28">
        <f t="shared" si="180"/>
        <v>0</v>
      </c>
      <c r="C3117" s="11"/>
      <c r="D3117" s="18" t="str">
        <f>"&lt;" &amp; A3117 &amp; "&gt;" &amp; TEXT(B3117,0) &amp; "&lt;/" &amp; A3117 &amp; "&gt;"</f>
        <v>&lt;Flap_Shear_Flag&gt;0&lt;/Flap_Shear_Flag&gt;</v>
      </c>
      <c r="F3117" s="6"/>
      <c r="G3117" s="6"/>
      <c r="H3117" s="6"/>
      <c r="I3117" s="6"/>
      <c r="J3117" s="6"/>
      <c r="K3117" s="6"/>
      <c r="L3117" s="6"/>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c r="BU3117" s="6"/>
      <c r="BV3117" s="6"/>
      <c r="BW3117" s="6"/>
      <c r="BX3117" s="6"/>
      <c r="BY3117" s="6"/>
      <c r="BZ3117" s="6"/>
      <c r="CA3117" s="6"/>
      <c r="CB3117" s="6"/>
      <c r="CC3117" s="6"/>
      <c r="CD3117" s="6"/>
      <c r="CE3117" s="6"/>
      <c r="CF3117" s="6"/>
      <c r="CG3117" s="6"/>
      <c r="CH3117" s="6"/>
      <c r="CI3117" s="6"/>
      <c r="CJ3117" s="6"/>
      <c r="CK3117" s="6"/>
      <c r="CL3117" s="6"/>
      <c r="CM3117" s="6"/>
      <c r="CN3117" s="6"/>
      <c r="CO3117" s="6"/>
      <c r="CP3117" s="6"/>
      <c r="CQ3117" s="6"/>
      <c r="CR3117" s="6"/>
      <c r="CS3117" s="6"/>
      <c r="CT3117" s="6"/>
      <c r="CU3117" s="6"/>
      <c r="CV3117" s="6"/>
      <c r="CW3117" s="6"/>
      <c r="CX3117" s="6"/>
      <c r="CY3117" s="6"/>
      <c r="CZ3117" s="6"/>
      <c r="DA3117" s="6"/>
      <c r="DB3117" s="6"/>
      <c r="DC3117" s="6"/>
      <c r="DD3117" s="6"/>
    </row>
    <row r="3118" spans="1:108" ht="12.75" hidden="1" customHeight="1" outlineLevel="7">
      <c r="A3118" s="104" t="s">
        <v>116</v>
      </c>
      <c r="B3118" s="28">
        <f t="shared" si="180"/>
        <v>0.25</v>
      </c>
      <c r="C3118" s="11"/>
      <c r="D3118" s="18" t="str">
        <f>"&lt;" &amp; A3118 &amp; "&gt;" &amp; TEXT(B3118,"0.000000") &amp; "&lt;/" &amp; A3118 &amp; "&gt;"</f>
        <v>&lt;Flap_Chord&gt;0.250000&lt;/Flap_Chord&gt;</v>
      </c>
      <c r="F3118" s="6"/>
      <c r="G3118" s="6"/>
      <c r="H3118" s="6"/>
      <c r="I3118" s="6"/>
      <c r="J3118" s="6"/>
      <c r="K3118" s="6"/>
      <c r="L3118" s="6"/>
      <c r="M3118" s="6"/>
      <c r="N3118" s="6"/>
      <c r="O3118" s="6"/>
      <c r="P3118" s="6"/>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c r="BU3118" s="6"/>
      <c r="BV3118" s="6"/>
      <c r="BW3118" s="6"/>
      <c r="BX3118" s="6"/>
      <c r="BY3118" s="6"/>
      <c r="BZ3118" s="6"/>
      <c r="CA3118" s="6"/>
      <c r="CB3118" s="6"/>
      <c r="CC3118" s="6"/>
      <c r="CD3118" s="6"/>
      <c r="CE3118" s="6"/>
      <c r="CF3118" s="6"/>
      <c r="CG3118" s="6"/>
      <c r="CH3118" s="6"/>
      <c r="CI3118" s="6"/>
      <c r="CJ3118" s="6"/>
      <c r="CK3118" s="6"/>
      <c r="CL3118" s="6"/>
      <c r="CM3118" s="6"/>
      <c r="CN3118" s="6"/>
      <c r="CO3118" s="6"/>
      <c r="CP3118" s="6"/>
      <c r="CQ3118" s="6"/>
      <c r="CR3118" s="6"/>
      <c r="CS3118" s="6"/>
      <c r="CT3118" s="6"/>
      <c r="CU3118" s="6"/>
      <c r="CV3118" s="6"/>
      <c r="CW3118" s="6"/>
      <c r="CX3118" s="6"/>
      <c r="CY3118" s="6"/>
      <c r="CZ3118" s="6"/>
      <c r="DA3118" s="6"/>
      <c r="DB3118" s="6"/>
      <c r="DC3118" s="6"/>
      <c r="DD3118" s="6"/>
    </row>
    <row r="3119" spans="1:108" ht="12.75" hidden="1" customHeight="1" outlineLevel="7">
      <c r="A3119" s="104" t="s">
        <v>117</v>
      </c>
      <c r="B3119" s="28">
        <f t="shared" si="180"/>
        <v>10</v>
      </c>
      <c r="C3119" s="11"/>
      <c r="D3119" s="18" t="str">
        <f>"&lt;" &amp; A3119 &amp; "&gt;" &amp; TEXT(B3119,"0.000000") &amp; "&lt;/" &amp; A3119 &amp; "&gt;"</f>
        <v>&lt;Flap_Angle&gt;10.000000&lt;/Flap_Angle&gt;</v>
      </c>
      <c r="F3119" s="6"/>
      <c r="G3119" s="6"/>
      <c r="H3119" s="6"/>
      <c r="I3119" s="6"/>
      <c r="J3119" s="6"/>
      <c r="K3119" s="6"/>
      <c r="L3119" s="6"/>
      <c r="M3119" s="6"/>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c r="BU3119" s="6"/>
      <c r="BV3119" s="6"/>
      <c r="BW3119" s="6"/>
      <c r="BX3119" s="6"/>
      <c r="BY3119" s="6"/>
      <c r="BZ3119" s="6"/>
      <c r="CA3119" s="6"/>
      <c r="CB3119" s="6"/>
      <c r="CC3119" s="6"/>
      <c r="CD3119" s="6"/>
      <c r="CE3119" s="6"/>
      <c r="CF3119" s="6"/>
      <c r="CG3119" s="6"/>
      <c r="CH3119" s="6"/>
      <c r="CI3119" s="6"/>
      <c r="CJ3119" s="6"/>
      <c r="CK3119" s="6"/>
      <c r="CL3119" s="6"/>
      <c r="CM3119" s="6"/>
      <c r="CN3119" s="6"/>
      <c r="CO3119" s="6"/>
      <c r="CP3119" s="6"/>
      <c r="CQ3119" s="6"/>
      <c r="CR3119" s="6"/>
      <c r="CS3119" s="6"/>
      <c r="CT3119" s="6"/>
      <c r="CU3119" s="6"/>
      <c r="CV3119" s="6"/>
      <c r="CW3119" s="6"/>
      <c r="CX3119" s="6"/>
      <c r="CY3119" s="6"/>
      <c r="CZ3119" s="6"/>
      <c r="DA3119" s="6"/>
      <c r="DB3119" s="6"/>
      <c r="DC3119" s="6"/>
      <c r="DD3119" s="6"/>
    </row>
    <row r="3120" spans="1:108" ht="12.75" hidden="1" customHeight="1" outlineLevel="7">
      <c r="A3120" s="104" t="s">
        <v>118</v>
      </c>
      <c r="B3120" s="18"/>
      <c r="C3120" s="11"/>
      <c r="D3120" s="6" t="str">
        <f>"&lt;" &amp; A3120 &amp; "&gt;"</f>
        <v>&lt;/Airfoil&gt;</v>
      </c>
      <c r="F3120" s="6"/>
      <c r="G3120" s="6"/>
      <c r="H3120" s="6"/>
      <c r="I3120" s="6"/>
      <c r="J3120" s="6"/>
      <c r="K3120" s="6"/>
      <c r="L3120" s="6"/>
      <c r="M3120" s="6"/>
      <c r="N3120" s="6"/>
      <c r="O3120" s="6"/>
      <c r="P3120" s="6"/>
      <c r="Q3120" s="6"/>
      <c r="R3120" s="6"/>
      <c r="S3120" s="6"/>
      <c r="T3120" s="6"/>
      <c r="U3120" s="6"/>
      <c r="V3120" s="6"/>
      <c r="W3120" s="6"/>
      <c r="X3120" s="6"/>
      <c r="Y3120" s="6"/>
      <c r="Z3120" s="6"/>
      <c r="AA3120" s="6"/>
      <c r="AB3120" s="6"/>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c r="BU3120" s="6"/>
      <c r="BV3120" s="6"/>
      <c r="BW3120" s="6"/>
      <c r="BX3120" s="6"/>
      <c r="BY3120" s="6"/>
      <c r="BZ3120" s="6"/>
      <c r="CA3120" s="6"/>
      <c r="CB3120" s="6"/>
      <c r="CC3120" s="6"/>
      <c r="CD3120" s="6"/>
      <c r="CE3120" s="6"/>
      <c r="CF3120" s="6"/>
      <c r="CG3120" s="6"/>
      <c r="CH3120" s="6"/>
      <c r="CI3120" s="6"/>
      <c r="CJ3120" s="6"/>
      <c r="CK3120" s="6"/>
      <c r="CL3120" s="6"/>
      <c r="CM3120" s="6"/>
      <c r="CN3120" s="6"/>
      <c r="CO3120" s="6"/>
      <c r="CP3120" s="6"/>
      <c r="CQ3120" s="6"/>
      <c r="CR3120" s="6"/>
      <c r="CS3120" s="6"/>
      <c r="CT3120" s="6"/>
      <c r="CU3120" s="6"/>
      <c r="CV3120" s="6"/>
      <c r="CW3120" s="6"/>
      <c r="CX3120" s="6"/>
      <c r="CY3120" s="6"/>
      <c r="CZ3120" s="6"/>
      <c r="DA3120" s="6"/>
      <c r="DB3120" s="6"/>
      <c r="DC3120" s="6"/>
      <c r="DD3120" s="6"/>
    </row>
    <row r="3121" spans="1:108" ht="12.75" hidden="1" customHeight="1" outlineLevel="6">
      <c r="A3121" s="104" t="s">
        <v>308</v>
      </c>
      <c r="B3121" s="18"/>
      <c r="C3121" s="11"/>
      <c r="D3121" s="6" t="str">
        <f>"&lt;" &amp; A3121 &amp; "&gt;"</f>
        <v>&lt;/Sect_Parms&gt;</v>
      </c>
      <c r="F3121" s="6"/>
      <c r="G3121" s="6"/>
      <c r="H3121" s="6"/>
      <c r="I3121" s="6"/>
      <c r="J3121" s="6"/>
      <c r="K3121" s="6"/>
      <c r="L3121" s="6"/>
      <c r="M3121" s="6"/>
      <c r="N3121" s="6"/>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c r="BU3121" s="6"/>
      <c r="BV3121" s="6"/>
      <c r="BW3121" s="6"/>
      <c r="BX3121" s="6"/>
      <c r="BY3121" s="6"/>
      <c r="BZ3121" s="6"/>
      <c r="CA3121" s="6"/>
      <c r="CB3121" s="6"/>
      <c r="CC3121" s="6"/>
      <c r="CD3121" s="6"/>
      <c r="CE3121" s="6"/>
      <c r="CF3121" s="6"/>
      <c r="CG3121" s="6"/>
      <c r="CH3121" s="6"/>
      <c r="CI3121" s="6"/>
      <c r="CJ3121" s="6"/>
      <c r="CK3121" s="6"/>
      <c r="CL3121" s="6"/>
      <c r="CM3121" s="6"/>
      <c r="CN3121" s="6"/>
      <c r="CO3121" s="6"/>
      <c r="CP3121" s="6"/>
      <c r="CQ3121" s="6"/>
      <c r="CR3121" s="6"/>
      <c r="CS3121" s="6"/>
      <c r="CT3121" s="6"/>
      <c r="CU3121" s="6"/>
      <c r="CV3121" s="6"/>
      <c r="CW3121" s="6"/>
      <c r="CX3121" s="6"/>
      <c r="CY3121" s="6"/>
      <c r="CZ3121" s="6"/>
      <c r="DA3121" s="6"/>
      <c r="DB3121" s="6"/>
      <c r="DC3121" s="6"/>
      <c r="DD3121" s="6"/>
    </row>
    <row r="3122" spans="1:108" ht="12.75" hidden="1" customHeight="1" outlineLevel="5">
      <c r="A3122" s="104" t="s">
        <v>309</v>
      </c>
      <c r="B3122" s="18"/>
      <c r="C3122" s="11"/>
      <c r="D3122" s="6" t="str">
        <f>"&lt;" &amp; A3122 &amp; "&gt;"</f>
        <v>&lt;/Prop_Parms&gt;</v>
      </c>
      <c r="F3122" s="6"/>
      <c r="G3122" s="6"/>
      <c r="H3122" s="6"/>
      <c r="I3122" s="6"/>
      <c r="J3122" s="6"/>
      <c r="K3122" s="6"/>
      <c r="L3122" s="6"/>
      <c r="M3122" s="6"/>
      <c r="N3122" s="6"/>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c r="BU3122" s="6"/>
      <c r="BV3122" s="6"/>
      <c r="BW3122" s="6"/>
      <c r="BX3122" s="6"/>
      <c r="BY3122" s="6"/>
      <c r="BZ3122" s="6"/>
      <c r="CA3122" s="6"/>
      <c r="CB3122" s="6"/>
      <c r="CC3122" s="6"/>
      <c r="CD3122" s="6"/>
      <c r="CE3122" s="6"/>
      <c r="CF3122" s="6"/>
      <c r="CG3122" s="6"/>
      <c r="CH3122" s="6"/>
      <c r="CI3122" s="6"/>
      <c r="CJ3122" s="6"/>
      <c r="CK3122" s="6"/>
      <c r="CL3122" s="6"/>
      <c r="CM3122" s="6"/>
      <c r="CN3122" s="6"/>
      <c r="CO3122" s="6"/>
      <c r="CP3122" s="6"/>
      <c r="CQ3122" s="6"/>
      <c r="CR3122" s="6"/>
      <c r="CS3122" s="6"/>
      <c r="CT3122" s="6"/>
      <c r="CU3122" s="6"/>
      <c r="CV3122" s="6"/>
      <c r="CW3122" s="6"/>
      <c r="CX3122" s="6"/>
      <c r="CY3122" s="6"/>
      <c r="CZ3122" s="6"/>
      <c r="DA3122" s="6"/>
      <c r="DB3122" s="6"/>
      <c r="DC3122" s="6"/>
      <c r="DD3122" s="6"/>
    </row>
    <row r="3123" spans="1:108" ht="12.75" hidden="1" customHeight="1" outlineLevel="4">
      <c r="A3123" s="104" t="s">
        <v>138</v>
      </c>
      <c r="B3123" s="18"/>
      <c r="C3123" s="11" t="str">
        <f>C2956</f>
        <v>Yes</v>
      </c>
      <c r="D3123" s="133" t="str">
        <f>IF(C3123="Yes",("&lt;"&amp;A3123&amp;"&gt;"),("&lt;"&amp;A3123&amp;"--&gt;"))</f>
        <v>&lt;/Component&gt;</v>
      </c>
      <c r="F3123" s="6"/>
      <c r="G3123" s="6"/>
      <c r="H3123" s="6"/>
      <c r="I3123" s="6"/>
      <c r="J3123" s="6"/>
      <c r="K3123" s="6"/>
      <c r="L3123" s="6"/>
      <c r="M3123" s="6"/>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c r="BU3123" s="6"/>
      <c r="BV3123" s="6"/>
      <c r="BW3123" s="6"/>
      <c r="BX3123" s="6"/>
      <c r="BY3123" s="6"/>
      <c r="BZ3123" s="6"/>
      <c r="CA3123" s="6"/>
      <c r="CB3123" s="6"/>
      <c r="CC3123" s="6"/>
      <c r="CD3123" s="6"/>
      <c r="CE3123" s="6"/>
      <c r="CF3123" s="6"/>
      <c r="CG3123" s="6"/>
      <c r="CH3123" s="6"/>
      <c r="CI3123" s="6"/>
      <c r="CJ3123" s="6"/>
      <c r="CK3123" s="6"/>
      <c r="CL3123" s="6"/>
      <c r="CM3123" s="6"/>
      <c r="CN3123" s="6"/>
      <c r="CO3123" s="6"/>
      <c r="CP3123" s="6"/>
      <c r="CQ3123" s="6"/>
      <c r="CR3123" s="6"/>
      <c r="CS3123" s="6"/>
      <c r="CT3123" s="6"/>
      <c r="CU3123" s="6"/>
      <c r="CV3123" s="6"/>
      <c r="CW3123" s="6"/>
      <c r="CX3123" s="6"/>
      <c r="CY3123" s="6"/>
      <c r="CZ3123" s="6"/>
      <c r="DA3123" s="6"/>
      <c r="DB3123" s="6"/>
      <c r="DC3123" s="6"/>
      <c r="DD3123" s="6"/>
    </row>
    <row r="3124" spans="1:108" ht="12.75" hidden="1" customHeight="1" outlineLevel="3" collapsed="1">
      <c r="A3124" s="104" t="s">
        <v>40</v>
      </c>
      <c r="B3124" s="110" t="s">
        <v>542</v>
      </c>
      <c r="C3124" s="27" t="str">
        <f>IF(Input!$D$27&gt;=4,IF(Input!$D$26="Jet","Yes","No"),"Yes")</f>
        <v>Yes</v>
      </c>
      <c r="D3124" s="6" t="str">
        <f>IF(C3124="Yes",("&lt;"&amp;A3124&amp;"&gt;"),("&lt;!--"&amp;A3124&amp;"&gt;"))</f>
        <v>&lt;Component&gt;</v>
      </c>
      <c r="F3124" s="6"/>
      <c r="G3124" s="6"/>
      <c r="H3124" s="6"/>
      <c r="I3124" s="6"/>
      <c r="J3124" s="6"/>
      <c r="K3124" s="6"/>
      <c r="L3124" s="6"/>
      <c r="M3124" s="6"/>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c r="BU3124" s="6"/>
      <c r="BV3124" s="6"/>
      <c r="BW3124" s="6"/>
      <c r="BX3124" s="6"/>
      <c r="BY3124" s="6"/>
      <c r="BZ3124" s="6"/>
      <c r="CA3124" s="6"/>
      <c r="CB3124" s="6"/>
      <c r="CC3124" s="6"/>
      <c r="CD3124" s="6"/>
      <c r="CE3124" s="6"/>
      <c r="CF3124" s="6"/>
      <c r="CG3124" s="6"/>
      <c r="CH3124" s="6"/>
      <c r="CI3124" s="6"/>
      <c r="CJ3124" s="6"/>
      <c r="CK3124" s="6"/>
      <c r="CL3124" s="6"/>
      <c r="CM3124" s="6"/>
      <c r="CN3124" s="6"/>
      <c r="CO3124" s="6"/>
      <c r="CP3124" s="6"/>
      <c r="CQ3124" s="6"/>
      <c r="CR3124" s="6"/>
      <c r="CS3124" s="6"/>
      <c r="CT3124" s="6"/>
      <c r="CU3124" s="6"/>
      <c r="CV3124" s="6"/>
      <c r="CW3124" s="6"/>
      <c r="CX3124" s="6"/>
      <c r="CY3124" s="6"/>
      <c r="CZ3124" s="6"/>
      <c r="DA3124" s="6"/>
      <c r="DB3124" s="6"/>
      <c r="DC3124" s="6"/>
      <c r="DD3124" s="6"/>
    </row>
    <row r="3125" spans="1:108" ht="12.75" hidden="1" customHeight="1" outlineLevel="4">
      <c r="A3125" s="104" t="s">
        <v>14</v>
      </c>
      <c r="B3125" s="100" t="s">
        <v>41</v>
      </c>
      <c r="C3125" s="11"/>
      <c r="D3125" s="18" t="str">
        <f>"&lt;" &amp; A3125 &amp; "&gt;" &amp; TEXT(B3125,"0.000000") &amp; "&lt;/" &amp; A3125 &amp; "&gt;"</f>
        <v>&lt;Type&gt;Mswing&lt;/Type&gt;</v>
      </c>
      <c r="F3125" s="6"/>
      <c r="G3125" s="6"/>
      <c r="H3125" s="6"/>
      <c r="I3125" s="6"/>
      <c r="J3125" s="6"/>
      <c r="K3125" s="6"/>
      <c r="L3125" s="6"/>
      <c r="M3125" s="6"/>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c r="BU3125" s="6"/>
      <c r="BV3125" s="6"/>
      <c r="BW3125" s="6"/>
      <c r="BX3125" s="6"/>
      <c r="BY3125" s="6"/>
      <c r="BZ3125" s="6"/>
      <c r="CA3125" s="6"/>
      <c r="CB3125" s="6"/>
      <c r="CC3125" s="6"/>
      <c r="CD3125" s="6"/>
      <c r="CE3125" s="6"/>
      <c r="CF3125" s="6"/>
      <c r="CG3125" s="6"/>
      <c r="CH3125" s="6"/>
      <c r="CI3125" s="6"/>
      <c r="CJ3125" s="6"/>
      <c r="CK3125" s="6"/>
      <c r="CL3125" s="6"/>
      <c r="CM3125" s="6"/>
      <c r="CN3125" s="6"/>
      <c r="CO3125" s="6"/>
      <c r="CP3125" s="6"/>
      <c r="CQ3125" s="6"/>
      <c r="CR3125" s="6"/>
      <c r="CS3125" s="6"/>
      <c r="CT3125" s="6"/>
      <c r="CU3125" s="6"/>
      <c r="CV3125" s="6"/>
      <c r="CW3125" s="6"/>
      <c r="CX3125" s="6"/>
      <c r="CY3125" s="6"/>
      <c r="CZ3125" s="6"/>
      <c r="DA3125" s="6"/>
      <c r="DB3125" s="6"/>
      <c r="DC3125" s="6"/>
      <c r="DD3125" s="6"/>
    </row>
    <row r="3126" spans="1:108" ht="12.75" hidden="1" customHeight="1" outlineLevel="4" collapsed="1">
      <c r="A3126" s="104" t="s">
        <v>42</v>
      </c>
      <c r="B3126" s="100"/>
      <c r="C3126" s="11"/>
      <c r="D3126" s="6" t="str">
        <f>"&lt;" &amp; A3126 &amp; "&gt;"</f>
        <v>&lt;General_Parms&gt;</v>
      </c>
      <c r="F3126" s="6"/>
      <c r="G3126" s="6"/>
      <c r="H3126" s="6"/>
      <c r="I3126" s="6"/>
      <c r="J3126" s="6"/>
      <c r="K3126" s="6"/>
      <c r="L3126" s="6"/>
      <c r="M3126" s="6"/>
      <c r="N3126" s="6"/>
      <c r="O3126" s="6"/>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c r="BU3126" s="6"/>
      <c r="BV3126" s="6"/>
      <c r="BW3126" s="6"/>
      <c r="BX3126" s="6"/>
      <c r="BY3126" s="6"/>
      <c r="BZ3126" s="6"/>
      <c r="CA3126" s="6"/>
      <c r="CB3126" s="6"/>
      <c r="CC3126" s="6"/>
      <c r="CD3126" s="6"/>
      <c r="CE3126" s="6"/>
      <c r="CF3126" s="6"/>
      <c r="CG3126" s="6"/>
      <c r="CH3126" s="6"/>
      <c r="CI3126" s="6"/>
      <c r="CJ3126" s="6"/>
      <c r="CK3126" s="6"/>
      <c r="CL3126" s="6"/>
      <c r="CM3126" s="6"/>
      <c r="CN3126" s="6"/>
      <c r="CO3126" s="6"/>
      <c r="CP3126" s="6"/>
      <c r="CQ3126" s="6"/>
      <c r="CR3126" s="6"/>
      <c r="CS3126" s="6"/>
      <c r="CT3126" s="6"/>
      <c r="CU3126" s="6"/>
      <c r="CV3126" s="6"/>
      <c r="CW3126" s="6"/>
      <c r="CX3126" s="6"/>
      <c r="CY3126" s="6"/>
      <c r="CZ3126" s="6"/>
      <c r="DA3126" s="6"/>
      <c r="DB3126" s="6"/>
      <c r="DC3126" s="6"/>
      <c r="DD3126" s="6"/>
    </row>
    <row r="3127" spans="1:108" ht="12.75" hidden="1" customHeight="1" outlineLevel="5">
      <c r="A3127" s="104" t="s">
        <v>1</v>
      </c>
      <c r="B3127" s="100" t="str">
        <f t="shared" ref="B3127:B3170" si="182">B1528</f>
        <v>pylon</v>
      </c>
      <c r="C3127" s="11"/>
      <c r="D3127" s="18" t="str">
        <f>"&lt;" &amp; A3127 &amp; "&gt;" &amp; TEXT(B3127,"0.000000") &amp; "&lt;/" &amp; A3127 &amp; "&gt;"</f>
        <v>&lt;Name&gt;pylon&lt;/Name&gt;</v>
      </c>
      <c r="F3127" s="6"/>
      <c r="G3127" s="6"/>
      <c r="H3127" s="6"/>
      <c r="I3127" s="6"/>
      <c r="J3127" s="6"/>
      <c r="K3127" s="6"/>
      <c r="L3127" s="6"/>
      <c r="M3127" s="6"/>
      <c r="N3127" s="6"/>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c r="BU3127" s="6"/>
      <c r="BV3127" s="6"/>
      <c r="BW3127" s="6"/>
      <c r="BX3127" s="6"/>
      <c r="BY3127" s="6"/>
      <c r="BZ3127" s="6"/>
      <c r="CA3127" s="6"/>
      <c r="CB3127" s="6"/>
      <c r="CC3127" s="6"/>
      <c r="CD3127" s="6"/>
      <c r="CE3127" s="6"/>
      <c r="CF3127" s="6"/>
      <c r="CG3127" s="6"/>
      <c r="CH3127" s="6"/>
      <c r="CI3127" s="6"/>
      <c r="CJ3127" s="6"/>
      <c r="CK3127" s="6"/>
      <c r="CL3127" s="6"/>
      <c r="CM3127" s="6"/>
      <c r="CN3127" s="6"/>
      <c r="CO3127" s="6"/>
      <c r="CP3127" s="6"/>
      <c r="CQ3127" s="6"/>
      <c r="CR3127" s="6"/>
      <c r="CS3127" s="6"/>
      <c r="CT3127" s="6"/>
      <c r="CU3127" s="6"/>
      <c r="CV3127" s="6"/>
      <c r="CW3127" s="6"/>
      <c r="CX3127" s="6"/>
      <c r="CY3127" s="6"/>
      <c r="CZ3127" s="6"/>
      <c r="DA3127" s="6"/>
      <c r="DB3127" s="6"/>
      <c r="DC3127" s="6"/>
      <c r="DD3127" s="6"/>
    </row>
    <row r="3128" spans="1:108" ht="12.75" hidden="1" customHeight="1" outlineLevel="5">
      <c r="A3128" s="104" t="s">
        <v>43</v>
      </c>
      <c r="B3128" s="28">
        <f t="shared" si="182"/>
        <v>0</v>
      </c>
      <c r="C3128" s="11"/>
      <c r="D3128" s="18" t="str">
        <f>"&lt;" &amp; A3128 &amp; "&gt;" &amp; TEXT(B3128,"0.000000") &amp; "&lt;/" &amp; A3128 &amp; "&gt;"</f>
        <v>&lt;ColorR&gt;0.000000&lt;/ColorR&gt;</v>
      </c>
      <c r="F3128" s="6"/>
      <c r="G3128" s="6"/>
      <c r="H3128" s="6"/>
      <c r="I3128" s="6"/>
      <c r="J3128" s="6"/>
      <c r="K3128" s="6"/>
      <c r="L3128" s="6"/>
      <c r="M3128" s="6"/>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c r="BU3128" s="6"/>
      <c r="BV3128" s="6"/>
      <c r="BW3128" s="6"/>
      <c r="BX3128" s="6"/>
      <c r="BY3128" s="6"/>
      <c r="BZ3128" s="6"/>
      <c r="CA3128" s="6"/>
      <c r="CB3128" s="6"/>
      <c r="CC3128" s="6"/>
      <c r="CD3128" s="6"/>
      <c r="CE3128" s="6"/>
      <c r="CF3128" s="6"/>
      <c r="CG3128" s="6"/>
      <c r="CH3128" s="6"/>
      <c r="CI3128" s="6"/>
      <c r="CJ3128" s="6"/>
      <c r="CK3128" s="6"/>
      <c r="CL3128" s="6"/>
      <c r="CM3128" s="6"/>
      <c r="CN3128" s="6"/>
      <c r="CO3128" s="6"/>
      <c r="CP3128" s="6"/>
      <c r="CQ3128" s="6"/>
      <c r="CR3128" s="6"/>
      <c r="CS3128" s="6"/>
      <c r="CT3128" s="6"/>
      <c r="CU3128" s="6"/>
      <c r="CV3128" s="6"/>
      <c r="CW3128" s="6"/>
      <c r="CX3128" s="6"/>
      <c r="CY3128" s="6"/>
      <c r="CZ3128" s="6"/>
      <c r="DA3128" s="6"/>
      <c r="DB3128" s="6"/>
      <c r="DC3128" s="6"/>
      <c r="DD3128" s="6"/>
    </row>
    <row r="3129" spans="1:108" ht="12.75" hidden="1" customHeight="1" outlineLevel="5">
      <c r="A3129" s="104" t="s">
        <v>44</v>
      </c>
      <c r="B3129" s="28">
        <f t="shared" si="182"/>
        <v>255</v>
      </c>
      <c r="C3129" s="11"/>
      <c r="D3129" s="18" t="str">
        <f>"&lt;" &amp; A3129 &amp; "&gt;" &amp; TEXT(B3129,"0.000000") &amp; "&lt;/" &amp; A3129 &amp; "&gt;"</f>
        <v>&lt;ColorG&gt;255.000000&lt;/ColorG&gt;</v>
      </c>
      <c r="F3129" s="6"/>
      <c r="G3129" s="6"/>
      <c r="H3129" s="6"/>
      <c r="I3129" s="6"/>
      <c r="J3129" s="6"/>
      <c r="K3129" s="6"/>
      <c r="L3129" s="6"/>
      <c r="M3129" s="6"/>
      <c r="N3129" s="6"/>
      <c r="O3129" s="6"/>
      <c r="P3129" s="6"/>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c r="BU3129" s="6"/>
      <c r="BV3129" s="6"/>
      <c r="BW3129" s="6"/>
      <c r="BX3129" s="6"/>
      <c r="BY3129" s="6"/>
      <c r="BZ3129" s="6"/>
      <c r="CA3129" s="6"/>
      <c r="CB3129" s="6"/>
      <c r="CC3129" s="6"/>
      <c r="CD3129" s="6"/>
      <c r="CE3129" s="6"/>
      <c r="CF3129" s="6"/>
      <c r="CG3129" s="6"/>
      <c r="CH3129" s="6"/>
      <c r="CI3129" s="6"/>
      <c r="CJ3129" s="6"/>
      <c r="CK3129" s="6"/>
      <c r="CL3129" s="6"/>
      <c r="CM3129" s="6"/>
      <c r="CN3129" s="6"/>
      <c r="CO3129" s="6"/>
      <c r="CP3129" s="6"/>
      <c r="CQ3129" s="6"/>
      <c r="CR3129" s="6"/>
      <c r="CS3129" s="6"/>
      <c r="CT3129" s="6"/>
      <c r="CU3129" s="6"/>
      <c r="CV3129" s="6"/>
      <c r="CW3129" s="6"/>
      <c r="CX3129" s="6"/>
      <c r="CY3129" s="6"/>
      <c r="CZ3129" s="6"/>
      <c r="DA3129" s="6"/>
      <c r="DB3129" s="6"/>
      <c r="DC3129" s="6"/>
      <c r="DD3129" s="6"/>
    </row>
    <row r="3130" spans="1:108" ht="12.75" hidden="1" customHeight="1" outlineLevel="5">
      <c r="A3130" s="104" t="s">
        <v>45</v>
      </c>
      <c r="B3130" s="28">
        <f t="shared" si="182"/>
        <v>0</v>
      </c>
      <c r="C3130" s="11"/>
      <c r="D3130" s="18" t="str">
        <f>"&lt;" &amp; A3130 &amp; "&gt;" &amp; TEXT(B3130,"0.000000") &amp; "&lt;/" &amp; A3130 &amp; "&gt;"</f>
        <v>&lt;ColorB&gt;0.000000&lt;/ColorB&gt;</v>
      </c>
      <c r="F3130" s="6"/>
      <c r="G3130" s="6"/>
      <c r="H3130" s="6"/>
      <c r="I3130" s="6"/>
      <c r="J3130" s="6"/>
      <c r="K3130" s="6"/>
      <c r="L3130" s="6"/>
      <c r="M3130" s="6"/>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c r="BU3130" s="6"/>
      <c r="BV3130" s="6"/>
      <c r="BW3130" s="6"/>
      <c r="BX3130" s="6"/>
      <c r="BY3130" s="6"/>
      <c r="BZ3130" s="6"/>
      <c r="CA3130" s="6"/>
      <c r="CB3130" s="6"/>
      <c r="CC3130" s="6"/>
      <c r="CD3130" s="6"/>
      <c r="CE3130" s="6"/>
      <c r="CF3130" s="6"/>
      <c r="CG3130" s="6"/>
      <c r="CH3130" s="6"/>
      <c r="CI3130" s="6"/>
      <c r="CJ3130" s="6"/>
      <c r="CK3130" s="6"/>
      <c r="CL3130" s="6"/>
      <c r="CM3130" s="6"/>
      <c r="CN3130" s="6"/>
      <c r="CO3130" s="6"/>
      <c r="CP3130" s="6"/>
      <c r="CQ3130" s="6"/>
      <c r="CR3130" s="6"/>
      <c r="CS3130" s="6"/>
      <c r="CT3130" s="6"/>
      <c r="CU3130" s="6"/>
      <c r="CV3130" s="6"/>
      <c r="CW3130" s="6"/>
      <c r="CX3130" s="6"/>
      <c r="CY3130" s="6"/>
      <c r="CZ3130" s="6"/>
      <c r="DA3130" s="6"/>
      <c r="DB3130" s="6"/>
      <c r="DC3130" s="6"/>
      <c r="DD3130" s="6"/>
    </row>
    <row r="3131" spans="1:108" ht="12.75" hidden="1" customHeight="1" outlineLevel="5">
      <c r="A3131" s="104" t="s">
        <v>46</v>
      </c>
      <c r="B3131" s="28">
        <f t="shared" si="182"/>
        <v>0</v>
      </c>
      <c r="C3131" s="11"/>
      <c r="D3131" s="18" t="str">
        <f t="shared" ref="D3131:D3140" si="183">"&lt;" &amp; A3131 &amp; "&gt;" &amp; TEXT(B3131,0) &amp; "&lt;/" &amp; A3131 &amp; "&gt;"</f>
        <v>&lt;Symmetry&gt;0&lt;/Symmetry&gt;</v>
      </c>
      <c r="F3131" s="6"/>
      <c r="G3131" s="6"/>
      <c r="H3131" s="6"/>
      <c r="I3131" s="6"/>
      <c r="J3131" s="6"/>
      <c r="K3131" s="6"/>
      <c r="L3131" s="6"/>
      <c r="M3131" s="6"/>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c r="BU3131" s="6"/>
      <c r="BV3131" s="6"/>
      <c r="BW3131" s="6"/>
      <c r="BX3131" s="6"/>
      <c r="BY3131" s="6"/>
      <c r="BZ3131" s="6"/>
      <c r="CA3131" s="6"/>
      <c r="CB3131" s="6"/>
      <c r="CC3131" s="6"/>
      <c r="CD3131" s="6"/>
      <c r="CE3131" s="6"/>
      <c r="CF3131" s="6"/>
      <c r="CG3131" s="6"/>
      <c r="CH3131" s="6"/>
      <c r="CI3131" s="6"/>
      <c r="CJ3131" s="6"/>
      <c r="CK3131" s="6"/>
      <c r="CL3131" s="6"/>
      <c r="CM3131" s="6"/>
      <c r="CN3131" s="6"/>
      <c r="CO3131" s="6"/>
      <c r="CP3131" s="6"/>
      <c r="CQ3131" s="6"/>
      <c r="CR3131" s="6"/>
      <c r="CS3131" s="6"/>
      <c r="CT3131" s="6"/>
      <c r="CU3131" s="6"/>
      <c r="CV3131" s="6"/>
      <c r="CW3131" s="6"/>
      <c r="CX3131" s="6"/>
      <c r="CY3131" s="6"/>
      <c r="CZ3131" s="6"/>
      <c r="DA3131" s="6"/>
      <c r="DB3131" s="6"/>
      <c r="DC3131" s="6"/>
      <c r="DD3131" s="6"/>
    </row>
    <row r="3132" spans="1:108" ht="12.75" hidden="1" customHeight="1" outlineLevel="5">
      <c r="A3132" s="104" t="s">
        <v>47</v>
      </c>
      <c r="B3132" s="28">
        <f t="shared" si="182"/>
        <v>0</v>
      </c>
      <c r="C3132" s="11"/>
      <c r="D3132" s="18" t="str">
        <f t="shared" si="183"/>
        <v>&lt;RelXFormFlag&gt;0&lt;/RelXFormFlag&gt;</v>
      </c>
      <c r="F3132" s="6"/>
      <c r="G3132" s="6"/>
      <c r="H3132" s="6"/>
      <c r="I3132" s="6"/>
      <c r="J3132" s="6"/>
      <c r="K3132" s="6"/>
      <c r="L3132" s="6"/>
      <c r="M3132" s="6"/>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c r="BU3132" s="6"/>
      <c r="BV3132" s="6"/>
      <c r="BW3132" s="6"/>
      <c r="BX3132" s="6"/>
      <c r="BY3132" s="6"/>
      <c r="BZ3132" s="6"/>
      <c r="CA3132" s="6"/>
      <c r="CB3132" s="6"/>
      <c r="CC3132" s="6"/>
      <c r="CD3132" s="6"/>
      <c r="CE3132" s="6"/>
      <c r="CF3132" s="6"/>
      <c r="CG3132" s="6"/>
      <c r="CH3132" s="6"/>
      <c r="CI3132" s="6"/>
      <c r="CJ3132" s="6"/>
      <c r="CK3132" s="6"/>
      <c r="CL3132" s="6"/>
      <c r="CM3132" s="6"/>
      <c r="CN3132" s="6"/>
      <c r="CO3132" s="6"/>
      <c r="CP3132" s="6"/>
      <c r="CQ3132" s="6"/>
      <c r="CR3132" s="6"/>
      <c r="CS3132" s="6"/>
      <c r="CT3132" s="6"/>
      <c r="CU3132" s="6"/>
      <c r="CV3132" s="6"/>
      <c r="CW3132" s="6"/>
      <c r="CX3132" s="6"/>
      <c r="CY3132" s="6"/>
      <c r="CZ3132" s="6"/>
      <c r="DA3132" s="6"/>
      <c r="DB3132" s="6"/>
      <c r="DC3132" s="6"/>
      <c r="DD3132" s="6"/>
    </row>
    <row r="3133" spans="1:108" ht="12.75" hidden="1" customHeight="1" outlineLevel="5">
      <c r="A3133" s="104" t="s">
        <v>48</v>
      </c>
      <c r="B3133" s="28">
        <f t="shared" si="182"/>
        <v>2</v>
      </c>
      <c r="C3133" s="11"/>
      <c r="D3133" s="18" t="str">
        <f t="shared" si="183"/>
        <v>&lt;MaterialID&gt;2&lt;/MaterialID&gt;</v>
      </c>
      <c r="F3133" s="6"/>
      <c r="G3133" s="6"/>
      <c r="H3133" s="6"/>
      <c r="I3133" s="6"/>
      <c r="J3133" s="6"/>
      <c r="K3133" s="6"/>
      <c r="L3133" s="6"/>
      <c r="M3133" s="6"/>
      <c r="N3133" s="6"/>
      <c r="O3133" s="6"/>
      <c r="P3133" s="6"/>
      <c r="Q3133" s="6"/>
      <c r="R3133" s="6"/>
      <c r="S3133" s="6"/>
      <c r="T3133" s="6"/>
      <c r="U3133" s="6"/>
      <c r="V3133" s="6"/>
      <c r="W3133" s="6"/>
      <c r="X3133" s="6"/>
      <c r="Y3133" s="6"/>
      <c r="Z3133" s="6"/>
      <c r="AA3133" s="6"/>
      <c r="AB3133" s="6"/>
      <c r="AC3133" s="6"/>
      <c r="AD3133" s="6"/>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c r="BU3133" s="6"/>
      <c r="BV3133" s="6"/>
      <c r="BW3133" s="6"/>
      <c r="BX3133" s="6"/>
      <c r="BY3133" s="6"/>
      <c r="BZ3133" s="6"/>
      <c r="CA3133" s="6"/>
      <c r="CB3133" s="6"/>
      <c r="CC3133" s="6"/>
      <c r="CD3133" s="6"/>
      <c r="CE3133" s="6"/>
      <c r="CF3133" s="6"/>
      <c r="CG3133" s="6"/>
      <c r="CH3133" s="6"/>
      <c r="CI3133" s="6"/>
      <c r="CJ3133" s="6"/>
      <c r="CK3133" s="6"/>
      <c r="CL3133" s="6"/>
      <c r="CM3133" s="6"/>
      <c r="CN3133" s="6"/>
      <c r="CO3133" s="6"/>
      <c r="CP3133" s="6"/>
      <c r="CQ3133" s="6"/>
      <c r="CR3133" s="6"/>
      <c r="CS3133" s="6"/>
      <c r="CT3133" s="6"/>
      <c r="CU3133" s="6"/>
      <c r="CV3133" s="6"/>
      <c r="CW3133" s="6"/>
      <c r="CX3133" s="6"/>
      <c r="CY3133" s="6"/>
      <c r="CZ3133" s="6"/>
      <c r="DA3133" s="6"/>
      <c r="DB3133" s="6"/>
      <c r="DC3133" s="6"/>
      <c r="DD3133" s="6"/>
    </row>
    <row r="3134" spans="1:108" ht="12.75" hidden="1" customHeight="1" outlineLevel="5">
      <c r="A3134" s="104" t="s">
        <v>49</v>
      </c>
      <c r="B3134" s="28">
        <f t="shared" si="182"/>
        <v>1</v>
      </c>
      <c r="C3134" s="11"/>
      <c r="D3134" s="18" t="str">
        <f t="shared" si="183"/>
        <v>&lt;OutputFlag&gt;1&lt;/OutputFlag&gt;</v>
      </c>
      <c r="F3134" s="6"/>
      <c r="G3134" s="6"/>
      <c r="H3134" s="6"/>
      <c r="I3134" s="6"/>
      <c r="J3134" s="6"/>
      <c r="K3134" s="6"/>
      <c r="L3134" s="6"/>
      <c r="M3134" s="6"/>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c r="BU3134" s="6"/>
      <c r="BV3134" s="6"/>
      <c r="BW3134" s="6"/>
      <c r="BX3134" s="6"/>
      <c r="BY3134" s="6"/>
      <c r="BZ3134" s="6"/>
      <c r="CA3134" s="6"/>
      <c r="CB3134" s="6"/>
      <c r="CC3134" s="6"/>
      <c r="CD3134" s="6"/>
      <c r="CE3134" s="6"/>
      <c r="CF3134" s="6"/>
      <c r="CG3134" s="6"/>
      <c r="CH3134" s="6"/>
      <c r="CI3134" s="6"/>
      <c r="CJ3134" s="6"/>
      <c r="CK3134" s="6"/>
      <c r="CL3134" s="6"/>
      <c r="CM3134" s="6"/>
      <c r="CN3134" s="6"/>
      <c r="CO3134" s="6"/>
      <c r="CP3134" s="6"/>
      <c r="CQ3134" s="6"/>
      <c r="CR3134" s="6"/>
      <c r="CS3134" s="6"/>
      <c r="CT3134" s="6"/>
      <c r="CU3134" s="6"/>
      <c r="CV3134" s="6"/>
      <c r="CW3134" s="6"/>
      <c r="CX3134" s="6"/>
      <c r="CY3134" s="6"/>
      <c r="CZ3134" s="6"/>
      <c r="DA3134" s="6"/>
      <c r="DB3134" s="6"/>
      <c r="DC3134" s="6"/>
      <c r="DD3134" s="6"/>
    </row>
    <row r="3135" spans="1:108" ht="12.75" hidden="1" customHeight="1" outlineLevel="5">
      <c r="A3135" s="104" t="s">
        <v>50</v>
      </c>
      <c r="B3135" s="28">
        <f t="shared" si="182"/>
        <v>0</v>
      </c>
      <c r="C3135" s="11"/>
      <c r="D3135" s="18" t="str">
        <f t="shared" si="183"/>
        <v>&lt;OutputNameID&gt;0&lt;/OutputNameID&gt;</v>
      </c>
      <c r="F3135" s="6"/>
      <c r="G3135" s="6"/>
      <c r="H3135" s="6"/>
      <c r="I3135" s="6"/>
      <c r="J3135" s="6"/>
      <c r="K3135" s="6"/>
      <c r="L3135" s="6"/>
      <c r="M3135" s="6"/>
      <c r="N3135" s="6"/>
      <c r="O3135" s="6"/>
      <c r="P3135" s="6"/>
      <c r="Q3135" s="6"/>
      <c r="R3135" s="6"/>
      <c r="S3135" s="6"/>
      <c r="T3135" s="6"/>
      <c r="U3135" s="6"/>
      <c r="V3135" s="6"/>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c r="BU3135" s="6"/>
      <c r="BV3135" s="6"/>
      <c r="BW3135" s="6"/>
      <c r="BX3135" s="6"/>
      <c r="BY3135" s="6"/>
      <c r="BZ3135" s="6"/>
      <c r="CA3135" s="6"/>
      <c r="CB3135" s="6"/>
      <c r="CC3135" s="6"/>
      <c r="CD3135" s="6"/>
      <c r="CE3135" s="6"/>
      <c r="CF3135" s="6"/>
      <c r="CG3135" s="6"/>
      <c r="CH3135" s="6"/>
      <c r="CI3135" s="6"/>
      <c r="CJ3135" s="6"/>
      <c r="CK3135" s="6"/>
      <c r="CL3135" s="6"/>
      <c r="CM3135" s="6"/>
      <c r="CN3135" s="6"/>
      <c r="CO3135" s="6"/>
      <c r="CP3135" s="6"/>
      <c r="CQ3135" s="6"/>
      <c r="CR3135" s="6"/>
      <c r="CS3135" s="6"/>
      <c r="CT3135" s="6"/>
      <c r="CU3135" s="6"/>
      <c r="CV3135" s="6"/>
      <c r="CW3135" s="6"/>
      <c r="CX3135" s="6"/>
      <c r="CY3135" s="6"/>
      <c r="CZ3135" s="6"/>
      <c r="DA3135" s="6"/>
      <c r="DB3135" s="6"/>
      <c r="DC3135" s="6"/>
      <c r="DD3135" s="6"/>
    </row>
    <row r="3136" spans="1:108" ht="12.75" hidden="1" customHeight="1" outlineLevel="5">
      <c r="A3136" s="104" t="s">
        <v>51</v>
      </c>
      <c r="B3136" s="28">
        <f t="shared" si="182"/>
        <v>1</v>
      </c>
      <c r="C3136" s="11"/>
      <c r="D3136" s="18" t="str">
        <f t="shared" si="183"/>
        <v>&lt;DisplayChildrenFlag&gt;1&lt;/DisplayChildrenFlag&gt;</v>
      </c>
      <c r="F3136" s="6"/>
      <c r="G3136" s="6"/>
      <c r="H3136" s="6"/>
      <c r="I3136" s="6"/>
      <c r="J3136" s="6"/>
      <c r="K3136" s="6"/>
      <c r="L3136" s="6"/>
      <c r="M3136" s="6"/>
      <c r="N3136" s="6"/>
      <c r="O3136" s="6"/>
      <c r="P3136" s="6"/>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c r="BU3136" s="6"/>
      <c r="BV3136" s="6"/>
      <c r="BW3136" s="6"/>
      <c r="BX3136" s="6"/>
      <c r="BY3136" s="6"/>
      <c r="BZ3136" s="6"/>
      <c r="CA3136" s="6"/>
      <c r="CB3136" s="6"/>
      <c r="CC3136" s="6"/>
      <c r="CD3136" s="6"/>
      <c r="CE3136" s="6"/>
      <c r="CF3136" s="6"/>
      <c r="CG3136" s="6"/>
      <c r="CH3136" s="6"/>
      <c r="CI3136" s="6"/>
      <c r="CJ3136" s="6"/>
      <c r="CK3136" s="6"/>
      <c r="CL3136" s="6"/>
      <c r="CM3136" s="6"/>
      <c r="CN3136" s="6"/>
      <c r="CO3136" s="6"/>
      <c r="CP3136" s="6"/>
      <c r="CQ3136" s="6"/>
      <c r="CR3136" s="6"/>
      <c r="CS3136" s="6"/>
      <c r="CT3136" s="6"/>
      <c r="CU3136" s="6"/>
      <c r="CV3136" s="6"/>
      <c r="CW3136" s="6"/>
      <c r="CX3136" s="6"/>
      <c r="CY3136" s="6"/>
      <c r="CZ3136" s="6"/>
      <c r="DA3136" s="6"/>
      <c r="DB3136" s="6"/>
      <c r="DC3136" s="6"/>
      <c r="DD3136" s="6"/>
    </row>
    <row r="3137" spans="1:108" ht="12.75" hidden="1" customHeight="1" outlineLevel="5">
      <c r="A3137" s="104" t="s">
        <v>52</v>
      </c>
      <c r="B3137" s="28">
        <f t="shared" si="182"/>
        <v>21</v>
      </c>
      <c r="C3137" s="11"/>
      <c r="D3137" s="18" t="str">
        <f t="shared" si="183"/>
        <v>&lt;NumPnts&gt;21&lt;/NumPnts&gt;</v>
      </c>
      <c r="F3137" s="6"/>
      <c r="G3137" s="6"/>
      <c r="H3137" s="6"/>
      <c r="I3137" s="6"/>
      <c r="J3137" s="6"/>
      <c r="K3137" s="6"/>
      <c r="L3137" s="6"/>
      <c r="M3137" s="6"/>
      <c r="N3137" s="6"/>
      <c r="O3137" s="6"/>
      <c r="P3137" s="6"/>
      <c r="Q3137" s="6"/>
      <c r="R3137" s="6"/>
      <c r="S3137" s="6"/>
      <c r="T3137" s="6"/>
      <c r="U3137" s="6"/>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c r="BU3137" s="6"/>
      <c r="BV3137" s="6"/>
      <c r="BW3137" s="6"/>
      <c r="BX3137" s="6"/>
      <c r="BY3137" s="6"/>
      <c r="BZ3137" s="6"/>
      <c r="CA3137" s="6"/>
      <c r="CB3137" s="6"/>
      <c r="CC3137" s="6"/>
      <c r="CD3137" s="6"/>
      <c r="CE3137" s="6"/>
      <c r="CF3137" s="6"/>
      <c r="CG3137" s="6"/>
      <c r="CH3137" s="6"/>
      <c r="CI3137" s="6"/>
      <c r="CJ3137" s="6"/>
      <c r="CK3137" s="6"/>
      <c r="CL3137" s="6"/>
      <c r="CM3137" s="6"/>
      <c r="CN3137" s="6"/>
      <c r="CO3137" s="6"/>
      <c r="CP3137" s="6"/>
      <c r="CQ3137" s="6"/>
      <c r="CR3137" s="6"/>
      <c r="CS3137" s="6"/>
      <c r="CT3137" s="6"/>
      <c r="CU3137" s="6"/>
      <c r="CV3137" s="6"/>
      <c r="CW3137" s="6"/>
      <c r="CX3137" s="6"/>
      <c r="CY3137" s="6"/>
      <c r="CZ3137" s="6"/>
      <c r="DA3137" s="6"/>
      <c r="DB3137" s="6"/>
      <c r="DC3137" s="6"/>
      <c r="DD3137" s="6"/>
    </row>
    <row r="3138" spans="1:108" ht="12.75" hidden="1" customHeight="1" outlineLevel="5">
      <c r="A3138" s="104" t="s">
        <v>53</v>
      </c>
      <c r="B3138" s="28">
        <f t="shared" si="182"/>
        <v>11</v>
      </c>
      <c r="C3138" s="11"/>
      <c r="D3138" s="18" t="str">
        <f t="shared" si="183"/>
        <v>&lt;NumXsecs&gt;11&lt;/NumXsecs&gt;</v>
      </c>
      <c r="F3138" s="6"/>
      <c r="G3138" s="6"/>
      <c r="H3138" s="6"/>
      <c r="I3138" s="6"/>
      <c r="J3138" s="6"/>
      <c r="K3138" s="6"/>
      <c r="L3138" s="6"/>
      <c r="M3138" s="6"/>
      <c r="N3138" s="6"/>
      <c r="O3138" s="6"/>
      <c r="P3138" s="6"/>
      <c r="Q3138" s="6"/>
      <c r="R3138" s="6"/>
      <c r="S3138" s="6"/>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c r="BU3138" s="6"/>
      <c r="BV3138" s="6"/>
      <c r="BW3138" s="6"/>
      <c r="BX3138" s="6"/>
      <c r="BY3138" s="6"/>
      <c r="BZ3138" s="6"/>
      <c r="CA3138" s="6"/>
      <c r="CB3138" s="6"/>
      <c r="CC3138" s="6"/>
      <c r="CD3138" s="6"/>
      <c r="CE3138" s="6"/>
      <c r="CF3138" s="6"/>
      <c r="CG3138" s="6"/>
      <c r="CH3138" s="6"/>
      <c r="CI3138" s="6"/>
      <c r="CJ3138" s="6"/>
      <c r="CK3138" s="6"/>
      <c r="CL3138" s="6"/>
      <c r="CM3138" s="6"/>
      <c r="CN3138" s="6"/>
      <c r="CO3138" s="6"/>
      <c r="CP3138" s="6"/>
      <c r="CQ3138" s="6"/>
      <c r="CR3138" s="6"/>
      <c r="CS3138" s="6"/>
      <c r="CT3138" s="6"/>
      <c r="CU3138" s="6"/>
      <c r="CV3138" s="6"/>
      <c r="CW3138" s="6"/>
      <c r="CX3138" s="6"/>
      <c r="CY3138" s="6"/>
      <c r="CZ3138" s="6"/>
      <c r="DA3138" s="6"/>
      <c r="DB3138" s="6"/>
      <c r="DC3138" s="6"/>
      <c r="DD3138" s="6"/>
    </row>
    <row r="3139" spans="1:108" ht="12.75" hidden="1" customHeight="1" outlineLevel="5">
      <c r="A3139" s="104" t="s">
        <v>54</v>
      </c>
      <c r="B3139" s="28">
        <f t="shared" si="182"/>
        <v>0</v>
      </c>
      <c r="C3139" s="11"/>
      <c r="D3139" s="18" t="str">
        <f t="shared" si="183"/>
        <v>&lt;MassPrior&gt;0&lt;/MassPrior&gt;</v>
      </c>
      <c r="F3139" s="6"/>
      <c r="G3139" s="6"/>
      <c r="H3139" s="6"/>
      <c r="I3139" s="6"/>
      <c r="J3139" s="6"/>
      <c r="K3139" s="6"/>
      <c r="L3139" s="6"/>
      <c r="M3139" s="6"/>
      <c r="N3139" s="6"/>
      <c r="O3139" s="6"/>
      <c r="P3139" s="6"/>
      <c r="Q3139" s="6"/>
      <c r="R3139" s="6"/>
      <c r="S3139" s="6"/>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c r="BU3139" s="6"/>
      <c r="BV3139" s="6"/>
      <c r="BW3139" s="6"/>
      <c r="BX3139" s="6"/>
      <c r="BY3139" s="6"/>
      <c r="BZ3139" s="6"/>
      <c r="CA3139" s="6"/>
      <c r="CB3139" s="6"/>
      <c r="CC3139" s="6"/>
      <c r="CD3139" s="6"/>
      <c r="CE3139" s="6"/>
      <c r="CF3139" s="6"/>
      <c r="CG3139" s="6"/>
      <c r="CH3139" s="6"/>
      <c r="CI3139" s="6"/>
      <c r="CJ3139" s="6"/>
      <c r="CK3139" s="6"/>
      <c r="CL3139" s="6"/>
      <c r="CM3139" s="6"/>
      <c r="CN3139" s="6"/>
      <c r="CO3139" s="6"/>
      <c r="CP3139" s="6"/>
      <c r="CQ3139" s="6"/>
      <c r="CR3139" s="6"/>
      <c r="CS3139" s="6"/>
      <c r="CT3139" s="6"/>
      <c r="CU3139" s="6"/>
      <c r="CV3139" s="6"/>
      <c r="CW3139" s="6"/>
      <c r="CX3139" s="6"/>
      <c r="CY3139" s="6"/>
      <c r="CZ3139" s="6"/>
      <c r="DA3139" s="6"/>
      <c r="DB3139" s="6"/>
      <c r="DC3139" s="6"/>
      <c r="DD3139" s="6"/>
    </row>
    <row r="3140" spans="1:108" ht="12.75" hidden="1" customHeight="1" outlineLevel="5">
      <c r="A3140" s="104" t="s">
        <v>55</v>
      </c>
      <c r="B3140" s="28">
        <f t="shared" si="182"/>
        <v>0</v>
      </c>
      <c r="C3140" s="11"/>
      <c r="D3140" s="18" t="str">
        <f t="shared" si="183"/>
        <v>&lt;ShellFlag&gt;0&lt;/ShellFlag&gt;</v>
      </c>
      <c r="F3140" s="6"/>
      <c r="G3140" s="6"/>
      <c r="H3140" s="6"/>
      <c r="I3140" s="6"/>
      <c r="J3140" s="6"/>
      <c r="K3140" s="6"/>
      <c r="L3140" s="6"/>
      <c r="M3140" s="6"/>
      <c r="N3140" s="6"/>
      <c r="O3140" s="6"/>
      <c r="P3140" s="6"/>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c r="BU3140" s="6"/>
      <c r="BV3140" s="6"/>
      <c r="BW3140" s="6"/>
      <c r="BX3140" s="6"/>
      <c r="BY3140" s="6"/>
      <c r="BZ3140" s="6"/>
      <c r="CA3140" s="6"/>
      <c r="CB3140" s="6"/>
      <c r="CC3140" s="6"/>
      <c r="CD3140" s="6"/>
      <c r="CE3140" s="6"/>
      <c r="CF3140" s="6"/>
      <c r="CG3140" s="6"/>
      <c r="CH3140" s="6"/>
      <c r="CI3140" s="6"/>
      <c r="CJ3140" s="6"/>
      <c r="CK3140" s="6"/>
      <c r="CL3140" s="6"/>
      <c r="CM3140" s="6"/>
      <c r="CN3140" s="6"/>
      <c r="CO3140" s="6"/>
      <c r="CP3140" s="6"/>
      <c r="CQ3140" s="6"/>
      <c r="CR3140" s="6"/>
      <c r="CS3140" s="6"/>
      <c r="CT3140" s="6"/>
      <c r="CU3140" s="6"/>
      <c r="CV3140" s="6"/>
      <c r="CW3140" s="6"/>
      <c r="CX3140" s="6"/>
      <c r="CY3140" s="6"/>
      <c r="CZ3140" s="6"/>
      <c r="DA3140" s="6"/>
      <c r="DB3140" s="6"/>
      <c r="DC3140" s="6"/>
      <c r="DD3140" s="6"/>
    </row>
    <row r="3141" spans="1:108" ht="12.75" hidden="1" customHeight="1" outlineLevel="5">
      <c r="A3141" s="104" t="s">
        <v>56</v>
      </c>
      <c r="B3141" s="38">
        <f t="shared" si="182"/>
        <v>0</v>
      </c>
      <c r="C3141" s="11"/>
      <c r="D3141" s="18" t="str">
        <f t="shared" ref="D3141:D3155" si="184">"&lt;" &amp; A3141 &amp; "&gt;" &amp; TEXT(B3141,"0.000000") &amp; "&lt;/" &amp; A3141 &amp; "&gt;"</f>
        <v>&lt;Tran_X&gt;0.000000&lt;/Tran_X&gt;</v>
      </c>
      <c r="F3141" s="6"/>
      <c r="G3141" s="6"/>
      <c r="H3141" s="6"/>
      <c r="I3141" s="6"/>
      <c r="J3141" s="6"/>
      <c r="K3141" s="6"/>
      <c r="L3141" s="6"/>
      <c r="M3141" s="6"/>
      <c r="N3141" s="6"/>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c r="BU3141" s="6"/>
      <c r="BV3141" s="6"/>
      <c r="BW3141" s="6"/>
      <c r="BX3141" s="6"/>
      <c r="BY3141" s="6"/>
      <c r="BZ3141" s="6"/>
      <c r="CA3141" s="6"/>
      <c r="CB3141" s="6"/>
      <c r="CC3141" s="6"/>
      <c r="CD3141" s="6"/>
      <c r="CE3141" s="6"/>
      <c r="CF3141" s="6"/>
      <c r="CG3141" s="6"/>
      <c r="CH3141" s="6"/>
      <c r="CI3141" s="6"/>
      <c r="CJ3141" s="6"/>
      <c r="CK3141" s="6"/>
      <c r="CL3141" s="6"/>
      <c r="CM3141" s="6"/>
      <c r="CN3141" s="6"/>
      <c r="CO3141" s="6"/>
      <c r="CP3141" s="6"/>
      <c r="CQ3141" s="6"/>
      <c r="CR3141" s="6"/>
      <c r="CS3141" s="6"/>
      <c r="CT3141" s="6"/>
      <c r="CU3141" s="6"/>
      <c r="CV3141" s="6"/>
      <c r="CW3141" s="6"/>
      <c r="CX3141" s="6"/>
      <c r="CY3141" s="6"/>
      <c r="CZ3141" s="6"/>
      <c r="DA3141" s="6"/>
      <c r="DB3141" s="6"/>
      <c r="DC3141" s="6"/>
      <c r="DD3141" s="6"/>
    </row>
    <row r="3142" spans="1:108" ht="12.75" hidden="1" customHeight="1" outlineLevel="5">
      <c r="A3142" s="104" t="s">
        <v>57</v>
      </c>
      <c r="B3142" s="38">
        <f t="shared" si="182"/>
        <v>0</v>
      </c>
      <c r="C3142" s="11"/>
      <c r="D3142" s="18" t="str">
        <f t="shared" si="184"/>
        <v>&lt;Tran_Y&gt;0.000000&lt;/Tran_Y&gt;</v>
      </c>
      <c r="F3142" s="6"/>
      <c r="G3142" s="6"/>
      <c r="H3142" s="6"/>
      <c r="I3142" s="6"/>
      <c r="J3142" s="6"/>
      <c r="K3142" s="6"/>
      <c r="L3142" s="6"/>
      <c r="M3142" s="6"/>
      <c r="N3142" s="6"/>
      <c r="O3142" s="6"/>
      <c r="P3142" s="6"/>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c r="BU3142" s="6"/>
      <c r="BV3142" s="6"/>
      <c r="BW3142" s="6"/>
      <c r="BX3142" s="6"/>
      <c r="BY3142" s="6"/>
      <c r="BZ3142" s="6"/>
      <c r="CA3142" s="6"/>
      <c r="CB3142" s="6"/>
      <c r="CC3142" s="6"/>
      <c r="CD3142" s="6"/>
      <c r="CE3142" s="6"/>
      <c r="CF3142" s="6"/>
      <c r="CG3142" s="6"/>
      <c r="CH3142" s="6"/>
      <c r="CI3142" s="6"/>
      <c r="CJ3142" s="6"/>
      <c r="CK3142" s="6"/>
      <c r="CL3142" s="6"/>
      <c r="CM3142" s="6"/>
      <c r="CN3142" s="6"/>
      <c r="CO3142" s="6"/>
      <c r="CP3142" s="6"/>
      <c r="CQ3142" s="6"/>
      <c r="CR3142" s="6"/>
      <c r="CS3142" s="6"/>
      <c r="CT3142" s="6"/>
      <c r="CU3142" s="6"/>
      <c r="CV3142" s="6"/>
      <c r="CW3142" s="6"/>
      <c r="CX3142" s="6"/>
      <c r="CY3142" s="6"/>
      <c r="CZ3142" s="6"/>
      <c r="DA3142" s="6"/>
      <c r="DB3142" s="6"/>
      <c r="DC3142" s="6"/>
      <c r="DD3142" s="6"/>
    </row>
    <row r="3143" spans="1:108" ht="12.75" hidden="1" customHeight="1" outlineLevel="5">
      <c r="A3143" s="104" t="s">
        <v>58</v>
      </c>
      <c r="B3143" s="38">
        <f t="shared" si="182"/>
        <v>0.82173499999999999</v>
      </c>
      <c r="C3143" s="11"/>
      <c r="D3143" s="18" t="str">
        <f t="shared" si="184"/>
        <v>&lt;Tran_Z&gt;0.821735&lt;/Tran_Z&gt;</v>
      </c>
      <c r="F3143" s="6"/>
      <c r="G3143" s="6"/>
      <c r="H3143" s="6"/>
      <c r="I3143" s="6"/>
      <c r="J3143" s="6"/>
      <c r="K3143" s="6"/>
      <c r="L3143" s="6"/>
      <c r="M3143" s="6"/>
      <c r="N3143" s="6"/>
      <c r="O3143" s="6"/>
      <c r="P3143" s="6"/>
      <c r="Q3143" s="6"/>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c r="BU3143" s="6"/>
      <c r="BV3143" s="6"/>
      <c r="BW3143" s="6"/>
      <c r="BX3143" s="6"/>
      <c r="BY3143" s="6"/>
      <c r="BZ3143" s="6"/>
      <c r="CA3143" s="6"/>
      <c r="CB3143" s="6"/>
      <c r="CC3143" s="6"/>
      <c r="CD3143" s="6"/>
      <c r="CE3143" s="6"/>
      <c r="CF3143" s="6"/>
      <c r="CG3143" s="6"/>
      <c r="CH3143" s="6"/>
      <c r="CI3143" s="6"/>
      <c r="CJ3143" s="6"/>
      <c r="CK3143" s="6"/>
      <c r="CL3143" s="6"/>
      <c r="CM3143" s="6"/>
      <c r="CN3143" s="6"/>
      <c r="CO3143" s="6"/>
      <c r="CP3143" s="6"/>
      <c r="CQ3143" s="6"/>
      <c r="CR3143" s="6"/>
      <c r="CS3143" s="6"/>
      <c r="CT3143" s="6"/>
      <c r="CU3143" s="6"/>
      <c r="CV3143" s="6"/>
      <c r="CW3143" s="6"/>
      <c r="CX3143" s="6"/>
      <c r="CY3143" s="6"/>
      <c r="CZ3143" s="6"/>
      <c r="DA3143" s="6"/>
      <c r="DB3143" s="6"/>
      <c r="DC3143" s="6"/>
      <c r="DD3143" s="6"/>
    </row>
    <row r="3144" spans="1:108" ht="12.75" hidden="1" customHeight="1" outlineLevel="5">
      <c r="A3144" s="104" t="s">
        <v>59</v>
      </c>
      <c r="B3144" s="28">
        <f t="shared" si="182"/>
        <v>0</v>
      </c>
      <c r="C3144" s="11"/>
      <c r="D3144" s="18" t="str">
        <f t="shared" si="184"/>
        <v>&lt;TranRel_X&gt;0.000000&lt;/TranRel_X&gt;</v>
      </c>
      <c r="F3144" s="6"/>
      <c r="G3144" s="6"/>
      <c r="H3144" s="6"/>
      <c r="I3144" s="6"/>
      <c r="J3144" s="6"/>
      <c r="K3144" s="6"/>
      <c r="L3144" s="6"/>
      <c r="M3144" s="6"/>
      <c r="N3144" s="6"/>
      <c r="O3144" s="6"/>
      <c r="P3144" s="6"/>
      <c r="Q3144" s="6"/>
      <c r="R3144" s="6"/>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c r="BU3144" s="6"/>
      <c r="BV3144" s="6"/>
      <c r="BW3144" s="6"/>
      <c r="BX3144" s="6"/>
      <c r="BY3144" s="6"/>
      <c r="BZ3144" s="6"/>
      <c r="CA3144" s="6"/>
      <c r="CB3144" s="6"/>
      <c r="CC3144" s="6"/>
      <c r="CD3144" s="6"/>
      <c r="CE3144" s="6"/>
      <c r="CF3144" s="6"/>
      <c r="CG3144" s="6"/>
      <c r="CH3144" s="6"/>
      <c r="CI3144" s="6"/>
      <c r="CJ3144" s="6"/>
      <c r="CK3144" s="6"/>
      <c r="CL3144" s="6"/>
      <c r="CM3144" s="6"/>
      <c r="CN3144" s="6"/>
      <c r="CO3144" s="6"/>
      <c r="CP3144" s="6"/>
      <c r="CQ3144" s="6"/>
      <c r="CR3144" s="6"/>
      <c r="CS3144" s="6"/>
      <c r="CT3144" s="6"/>
      <c r="CU3144" s="6"/>
      <c r="CV3144" s="6"/>
      <c r="CW3144" s="6"/>
      <c r="CX3144" s="6"/>
      <c r="CY3144" s="6"/>
      <c r="CZ3144" s="6"/>
      <c r="DA3144" s="6"/>
      <c r="DB3144" s="6"/>
      <c r="DC3144" s="6"/>
      <c r="DD3144" s="6"/>
    </row>
    <row r="3145" spans="1:108" ht="12.75" hidden="1" customHeight="1" outlineLevel="5">
      <c r="A3145" s="104" t="s">
        <v>60</v>
      </c>
      <c r="B3145" s="28">
        <f t="shared" si="182"/>
        <v>0</v>
      </c>
      <c r="C3145" s="11"/>
      <c r="D3145" s="18" t="str">
        <f t="shared" si="184"/>
        <v>&lt;TranRel_Y&gt;0.000000&lt;/TranRel_Y&gt;</v>
      </c>
      <c r="F3145" s="6"/>
      <c r="G3145" s="6"/>
      <c r="H3145" s="6"/>
      <c r="I3145" s="6"/>
      <c r="J3145" s="6"/>
      <c r="K3145" s="6"/>
      <c r="L3145" s="6"/>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c r="BU3145" s="6"/>
      <c r="BV3145" s="6"/>
      <c r="BW3145" s="6"/>
      <c r="BX3145" s="6"/>
      <c r="BY3145" s="6"/>
      <c r="BZ3145" s="6"/>
      <c r="CA3145" s="6"/>
      <c r="CB3145" s="6"/>
      <c r="CC3145" s="6"/>
      <c r="CD3145" s="6"/>
      <c r="CE3145" s="6"/>
      <c r="CF3145" s="6"/>
      <c r="CG3145" s="6"/>
      <c r="CH3145" s="6"/>
      <c r="CI3145" s="6"/>
      <c r="CJ3145" s="6"/>
      <c r="CK3145" s="6"/>
      <c r="CL3145" s="6"/>
      <c r="CM3145" s="6"/>
      <c r="CN3145" s="6"/>
      <c r="CO3145" s="6"/>
      <c r="CP3145" s="6"/>
      <c r="CQ3145" s="6"/>
      <c r="CR3145" s="6"/>
      <c r="CS3145" s="6"/>
      <c r="CT3145" s="6"/>
      <c r="CU3145" s="6"/>
      <c r="CV3145" s="6"/>
      <c r="CW3145" s="6"/>
      <c r="CX3145" s="6"/>
      <c r="CY3145" s="6"/>
      <c r="CZ3145" s="6"/>
      <c r="DA3145" s="6"/>
      <c r="DB3145" s="6"/>
      <c r="DC3145" s="6"/>
      <c r="DD3145" s="6"/>
    </row>
    <row r="3146" spans="1:108" ht="12.75" hidden="1" customHeight="1" outlineLevel="5">
      <c r="A3146" s="104" t="s">
        <v>61</v>
      </c>
      <c r="B3146" s="28">
        <f t="shared" si="182"/>
        <v>0</v>
      </c>
      <c r="C3146" s="11"/>
      <c r="D3146" s="18" t="str">
        <f t="shared" si="184"/>
        <v>&lt;TranRel_Z&gt;0.000000&lt;/TranRel_Z&gt;</v>
      </c>
      <c r="F3146" s="6"/>
      <c r="G3146" s="6"/>
      <c r="H3146" s="6"/>
      <c r="I3146" s="6"/>
      <c r="J3146" s="6"/>
      <c r="K3146" s="6"/>
      <c r="L3146" s="6"/>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c r="BU3146" s="6"/>
      <c r="BV3146" s="6"/>
      <c r="BW3146" s="6"/>
      <c r="BX3146" s="6"/>
      <c r="BY3146" s="6"/>
      <c r="BZ3146" s="6"/>
      <c r="CA3146" s="6"/>
      <c r="CB3146" s="6"/>
      <c r="CC3146" s="6"/>
      <c r="CD3146" s="6"/>
      <c r="CE3146" s="6"/>
      <c r="CF3146" s="6"/>
      <c r="CG3146" s="6"/>
      <c r="CH3146" s="6"/>
      <c r="CI3146" s="6"/>
      <c r="CJ3146" s="6"/>
      <c r="CK3146" s="6"/>
      <c r="CL3146" s="6"/>
      <c r="CM3146" s="6"/>
      <c r="CN3146" s="6"/>
      <c r="CO3146" s="6"/>
      <c r="CP3146" s="6"/>
      <c r="CQ3146" s="6"/>
      <c r="CR3146" s="6"/>
      <c r="CS3146" s="6"/>
      <c r="CT3146" s="6"/>
      <c r="CU3146" s="6"/>
      <c r="CV3146" s="6"/>
      <c r="CW3146" s="6"/>
      <c r="CX3146" s="6"/>
      <c r="CY3146" s="6"/>
      <c r="CZ3146" s="6"/>
      <c r="DA3146" s="6"/>
      <c r="DB3146" s="6"/>
      <c r="DC3146" s="6"/>
      <c r="DD3146" s="6"/>
    </row>
    <row r="3147" spans="1:108" ht="12.75" hidden="1" customHeight="1" outlineLevel="5">
      <c r="A3147" s="104" t="s">
        <v>62</v>
      </c>
      <c r="B3147" s="28">
        <f t="shared" si="182"/>
        <v>90</v>
      </c>
      <c r="C3147" s="11"/>
      <c r="D3147" s="18" t="str">
        <f t="shared" si="184"/>
        <v>&lt;Rot_X&gt;90.000000&lt;/Rot_X&gt;</v>
      </c>
      <c r="F3147" s="6"/>
      <c r="G3147" s="6"/>
      <c r="H3147" s="6"/>
      <c r="I3147" s="6"/>
      <c r="J3147" s="6"/>
      <c r="K3147" s="6"/>
      <c r="L3147" s="6"/>
      <c r="M3147" s="6"/>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c r="BU3147" s="6"/>
      <c r="BV3147" s="6"/>
      <c r="BW3147" s="6"/>
      <c r="BX3147" s="6"/>
      <c r="BY3147" s="6"/>
      <c r="BZ3147" s="6"/>
      <c r="CA3147" s="6"/>
      <c r="CB3147" s="6"/>
      <c r="CC3147" s="6"/>
      <c r="CD3147" s="6"/>
      <c r="CE3147" s="6"/>
      <c r="CF3147" s="6"/>
      <c r="CG3147" s="6"/>
      <c r="CH3147" s="6"/>
      <c r="CI3147" s="6"/>
      <c r="CJ3147" s="6"/>
      <c r="CK3147" s="6"/>
      <c r="CL3147" s="6"/>
      <c r="CM3147" s="6"/>
      <c r="CN3147" s="6"/>
      <c r="CO3147" s="6"/>
      <c r="CP3147" s="6"/>
      <c r="CQ3147" s="6"/>
      <c r="CR3147" s="6"/>
      <c r="CS3147" s="6"/>
      <c r="CT3147" s="6"/>
      <c r="CU3147" s="6"/>
      <c r="CV3147" s="6"/>
      <c r="CW3147" s="6"/>
      <c r="CX3147" s="6"/>
      <c r="CY3147" s="6"/>
      <c r="CZ3147" s="6"/>
      <c r="DA3147" s="6"/>
      <c r="DB3147" s="6"/>
      <c r="DC3147" s="6"/>
      <c r="DD3147" s="6"/>
    </row>
    <row r="3148" spans="1:108" ht="12.75" hidden="1" customHeight="1" outlineLevel="5">
      <c r="A3148" s="104" t="s">
        <v>63</v>
      </c>
      <c r="B3148" s="28">
        <f t="shared" si="182"/>
        <v>0</v>
      </c>
      <c r="C3148" s="11"/>
      <c r="D3148" s="18" t="str">
        <f t="shared" si="184"/>
        <v>&lt;Rot_Y&gt;0.000000&lt;/Rot_Y&gt;</v>
      </c>
      <c r="F3148" s="6"/>
      <c r="G3148" s="6"/>
      <c r="H3148" s="6"/>
      <c r="I3148" s="6"/>
      <c r="J3148" s="6"/>
      <c r="K3148" s="6"/>
      <c r="L3148" s="6"/>
      <c r="M3148" s="6"/>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c r="BU3148" s="6"/>
      <c r="BV3148" s="6"/>
      <c r="BW3148" s="6"/>
      <c r="BX3148" s="6"/>
      <c r="BY3148" s="6"/>
      <c r="BZ3148" s="6"/>
      <c r="CA3148" s="6"/>
      <c r="CB3148" s="6"/>
      <c r="CC3148" s="6"/>
      <c r="CD3148" s="6"/>
      <c r="CE3148" s="6"/>
      <c r="CF3148" s="6"/>
      <c r="CG3148" s="6"/>
      <c r="CH3148" s="6"/>
      <c r="CI3148" s="6"/>
      <c r="CJ3148" s="6"/>
      <c r="CK3148" s="6"/>
      <c r="CL3148" s="6"/>
      <c r="CM3148" s="6"/>
      <c r="CN3148" s="6"/>
      <c r="CO3148" s="6"/>
      <c r="CP3148" s="6"/>
      <c r="CQ3148" s="6"/>
      <c r="CR3148" s="6"/>
      <c r="CS3148" s="6"/>
      <c r="CT3148" s="6"/>
      <c r="CU3148" s="6"/>
      <c r="CV3148" s="6"/>
      <c r="CW3148" s="6"/>
      <c r="CX3148" s="6"/>
      <c r="CY3148" s="6"/>
      <c r="CZ3148" s="6"/>
      <c r="DA3148" s="6"/>
      <c r="DB3148" s="6"/>
      <c r="DC3148" s="6"/>
      <c r="DD3148" s="6"/>
    </row>
    <row r="3149" spans="1:108" ht="12.75" hidden="1" customHeight="1" outlineLevel="5">
      <c r="A3149" s="104" t="s">
        <v>64</v>
      </c>
      <c r="B3149" s="28">
        <f t="shared" si="182"/>
        <v>0</v>
      </c>
      <c r="C3149" s="11"/>
      <c r="D3149" s="18" t="str">
        <f t="shared" si="184"/>
        <v>&lt;Rot_Z&gt;0.000000&lt;/Rot_Z&gt;</v>
      </c>
      <c r="F3149" s="6"/>
      <c r="G3149" s="6"/>
      <c r="H3149" s="6"/>
      <c r="I3149" s="6"/>
      <c r="J3149" s="6"/>
      <c r="K3149" s="6"/>
      <c r="L3149" s="6"/>
      <c r="M3149" s="6"/>
      <c r="N3149" s="6"/>
      <c r="O3149" s="6"/>
      <c r="P3149" s="6"/>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c r="BU3149" s="6"/>
      <c r="BV3149" s="6"/>
      <c r="BW3149" s="6"/>
      <c r="BX3149" s="6"/>
      <c r="BY3149" s="6"/>
      <c r="BZ3149" s="6"/>
      <c r="CA3149" s="6"/>
      <c r="CB3149" s="6"/>
      <c r="CC3149" s="6"/>
      <c r="CD3149" s="6"/>
      <c r="CE3149" s="6"/>
      <c r="CF3149" s="6"/>
      <c r="CG3149" s="6"/>
      <c r="CH3149" s="6"/>
      <c r="CI3149" s="6"/>
      <c r="CJ3149" s="6"/>
      <c r="CK3149" s="6"/>
      <c r="CL3149" s="6"/>
      <c r="CM3149" s="6"/>
      <c r="CN3149" s="6"/>
      <c r="CO3149" s="6"/>
      <c r="CP3149" s="6"/>
      <c r="CQ3149" s="6"/>
      <c r="CR3149" s="6"/>
      <c r="CS3149" s="6"/>
      <c r="CT3149" s="6"/>
      <c r="CU3149" s="6"/>
      <c r="CV3149" s="6"/>
      <c r="CW3149" s="6"/>
      <c r="CX3149" s="6"/>
      <c r="CY3149" s="6"/>
      <c r="CZ3149" s="6"/>
      <c r="DA3149" s="6"/>
      <c r="DB3149" s="6"/>
      <c r="DC3149" s="6"/>
      <c r="DD3149" s="6"/>
    </row>
    <row r="3150" spans="1:108" ht="12.75" hidden="1" customHeight="1" outlineLevel="5">
      <c r="A3150" s="104" t="s">
        <v>65</v>
      </c>
      <c r="B3150" s="28">
        <f t="shared" si="182"/>
        <v>0</v>
      </c>
      <c r="C3150" s="11"/>
      <c r="D3150" s="18" t="str">
        <f t="shared" si="184"/>
        <v>&lt;RotRel_X&gt;0.000000&lt;/RotRel_X&gt;</v>
      </c>
      <c r="F3150" s="6"/>
      <c r="G3150" s="6"/>
      <c r="H3150" s="6"/>
      <c r="I3150" s="6"/>
      <c r="J3150" s="6"/>
      <c r="K3150" s="6"/>
      <c r="L3150" s="6"/>
      <c r="M3150" s="6"/>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c r="BU3150" s="6"/>
      <c r="BV3150" s="6"/>
      <c r="BW3150" s="6"/>
      <c r="BX3150" s="6"/>
      <c r="BY3150" s="6"/>
      <c r="BZ3150" s="6"/>
      <c r="CA3150" s="6"/>
      <c r="CB3150" s="6"/>
      <c r="CC3150" s="6"/>
      <c r="CD3150" s="6"/>
      <c r="CE3150" s="6"/>
      <c r="CF3150" s="6"/>
      <c r="CG3150" s="6"/>
      <c r="CH3150" s="6"/>
      <c r="CI3150" s="6"/>
      <c r="CJ3150" s="6"/>
      <c r="CK3150" s="6"/>
      <c r="CL3150" s="6"/>
      <c r="CM3150" s="6"/>
      <c r="CN3150" s="6"/>
      <c r="CO3150" s="6"/>
      <c r="CP3150" s="6"/>
      <c r="CQ3150" s="6"/>
      <c r="CR3150" s="6"/>
      <c r="CS3150" s="6"/>
      <c r="CT3150" s="6"/>
      <c r="CU3150" s="6"/>
      <c r="CV3150" s="6"/>
      <c r="CW3150" s="6"/>
      <c r="CX3150" s="6"/>
      <c r="CY3150" s="6"/>
      <c r="CZ3150" s="6"/>
      <c r="DA3150" s="6"/>
      <c r="DB3150" s="6"/>
      <c r="DC3150" s="6"/>
      <c r="DD3150" s="6"/>
    </row>
    <row r="3151" spans="1:108" ht="12.75" hidden="1" customHeight="1" outlineLevel="5">
      <c r="A3151" s="104" t="s">
        <v>66</v>
      </c>
      <c r="B3151" s="28">
        <f t="shared" si="182"/>
        <v>0</v>
      </c>
      <c r="C3151" s="11"/>
      <c r="D3151" s="18" t="str">
        <f t="shared" si="184"/>
        <v>&lt;RotRel_Y&gt;0.000000&lt;/RotRel_Y&gt;</v>
      </c>
      <c r="F3151" s="6"/>
      <c r="G3151" s="6"/>
      <c r="H3151" s="6"/>
      <c r="I3151" s="6"/>
      <c r="J3151" s="6"/>
      <c r="K3151" s="6"/>
      <c r="L3151" s="6"/>
      <c r="M3151" s="6"/>
      <c r="N3151" s="6"/>
      <c r="O3151" s="6"/>
      <c r="P3151" s="6"/>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c r="BU3151" s="6"/>
      <c r="BV3151" s="6"/>
      <c r="BW3151" s="6"/>
      <c r="BX3151" s="6"/>
      <c r="BY3151" s="6"/>
      <c r="BZ3151" s="6"/>
      <c r="CA3151" s="6"/>
      <c r="CB3151" s="6"/>
      <c r="CC3151" s="6"/>
      <c r="CD3151" s="6"/>
      <c r="CE3151" s="6"/>
      <c r="CF3151" s="6"/>
      <c r="CG3151" s="6"/>
      <c r="CH3151" s="6"/>
      <c r="CI3151" s="6"/>
      <c r="CJ3151" s="6"/>
      <c r="CK3151" s="6"/>
      <c r="CL3151" s="6"/>
      <c r="CM3151" s="6"/>
      <c r="CN3151" s="6"/>
      <c r="CO3151" s="6"/>
      <c r="CP3151" s="6"/>
      <c r="CQ3151" s="6"/>
      <c r="CR3151" s="6"/>
      <c r="CS3151" s="6"/>
      <c r="CT3151" s="6"/>
      <c r="CU3151" s="6"/>
      <c r="CV3151" s="6"/>
      <c r="CW3151" s="6"/>
      <c r="CX3151" s="6"/>
      <c r="CY3151" s="6"/>
      <c r="CZ3151" s="6"/>
      <c r="DA3151" s="6"/>
      <c r="DB3151" s="6"/>
      <c r="DC3151" s="6"/>
      <c r="DD3151" s="6"/>
    </row>
    <row r="3152" spans="1:108" ht="12.75" hidden="1" customHeight="1" outlineLevel="5">
      <c r="A3152" s="104" t="s">
        <v>67</v>
      </c>
      <c r="B3152" s="28">
        <f t="shared" si="182"/>
        <v>0</v>
      </c>
      <c r="C3152" s="11"/>
      <c r="D3152" s="18" t="str">
        <f t="shared" si="184"/>
        <v>&lt;RotRel_Z&gt;0.000000&lt;/RotRel_Z&gt;</v>
      </c>
      <c r="F3152" s="6"/>
      <c r="G3152" s="6"/>
      <c r="H3152" s="6"/>
      <c r="I3152" s="6"/>
      <c r="J3152" s="6"/>
      <c r="K3152" s="6"/>
      <c r="L3152" s="6"/>
      <c r="M3152" s="6"/>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c r="BU3152" s="6"/>
      <c r="BV3152" s="6"/>
      <c r="BW3152" s="6"/>
      <c r="BX3152" s="6"/>
      <c r="BY3152" s="6"/>
      <c r="BZ3152" s="6"/>
      <c r="CA3152" s="6"/>
      <c r="CB3152" s="6"/>
      <c r="CC3152" s="6"/>
      <c r="CD3152" s="6"/>
      <c r="CE3152" s="6"/>
      <c r="CF3152" s="6"/>
      <c r="CG3152" s="6"/>
      <c r="CH3152" s="6"/>
      <c r="CI3152" s="6"/>
      <c r="CJ3152" s="6"/>
      <c r="CK3152" s="6"/>
      <c r="CL3152" s="6"/>
      <c r="CM3152" s="6"/>
      <c r="CN3152" s="6"/>
      <c r="CO3152" s="6"/>
      <c r="CP3152" s="6"/>
      <c r="CQ3152" s="6"/>
      <c r="CR3152" s="6"/>
      <c r="CS3152" s="6"/>
      <c r="CT3152" s="6"/>
      <c r="CU3152" s="6"/>
      <c r="CV3152" s="6"/>
      <c r="CW3152" s="6"/>
      <c r="CX3152" s="6"/>
      <c r="CY3152" s="6"/>
      <c r="CZ3152" s="6"/>
      <c r="DA3152" s="6"/>
      <c r="DB3152" s="6"/>
      <c r="DC3152" s="6"/>
      <c r="DD3152" s="6"/>
    </row>
    <row r="3153" spans="1:108" ht="12.75" hidden="1" customHeight="1" outlineLevel="5">
      <c r="A3153" s="104" t="s">
        <v>68</v>
      </c>
      <c r="B3153" s="28">
        <f t="shared" si="182"/>
        <v>0</v>
      </c>
      <c r="C3153" s="11"/>
      <c r="D3153" s="18" t="str">
        <f t="shared" si="184"/>
        <v>&lt;Origin&gt;0.000000&lt;/Origin&gt;</v>
      </c>
      <c r="F3153" s="6"/>
      <c r="G3153" s="6"/>
      <c r="H3153" s="6"/>
      <c r="I3153" s="6"/>
      <c r="J3153" s="6"/>
      <c r="K3153" s="6"/>
      <c r="L3153" s="6"/>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c r="BU3153" s="6"/>
      <c r="BV3153" s="6"/>
      <c r="BW3153" s="6"/>
      <c r="BX3153" s="6"/>
      <c r="BY3153" s="6"/>
      <c r="BZ3153" s="6"/>
      <c r="CA3153" s="6"/>
      <c r="CB3153" s="6"/>
      <c r="CC3153" s="6"/>
      <c r="CD3153" s="6"/>
      <c r="CE3153" s="6"/>
      <c r="CF3153" s="6"/>
      <c r="CG3153" s="6"/>
      <c r="CH3153" s="6"/>
      <c r="CI3153" s="6"/>
      <c r="CJ3153" s="6"/>
      <c r="CK3153" s="6"/>
      <c r="CL3153" s="6"/>
      <c r="CM3153" s="6"/>
      <c r="CN3153" s="6"/>
      <c r="CO3153" s="6"/>
      <c r="CP3153" s="6"/>
      <c r="CQ3153" s="6"/>
      <c r="CR3153" s="6"/>
      <c r="CS3153" s="6"/>
      <c r="CT3153" s="6"/>
      <c r="CU3153" s="6"/>
      <c r="CV3153" s="6"/>
      <c r="CW3153" s="6"/>
      <c r="CX3153" s="6"/>
      <c r="CY3153" s="6"/>
      <c r="CZ3153" s="6"/>
      <c r="DA3153" s="6"/>
      <c r="DB3153" s="6"/>
      <c r="DC3153" s="6"/>
      <c r="DD3153" s="6"/>
    </row>
    <row r="3154" spans="1:108" ht="12.75" hidden="1" customHeight="1" outlineLevel="5">
      <c r="A3154" s="104" t="s">
        <v>69</v>
      </c>
      <c r="B3154" s="28">
        <f t="shared" si="182"/>
        <v>1</v>
      </c>
      <c r="C3154" s="11"/>
      <c r="D3154" s="18" t="str">
        <f t="shared" si="184"/>
        <v>&lt;Density&gt;1.000000&lt;/Density&gt;</v>
      </c>
      <c r="F3154" s="6"/>
      <c r="G3154" s="6"/>
      <c r="H3154" s="6"/>
      <c r="I3154" s="6"/>
      <c r="J3154" s="6"/>
      <c r="K3154" s="6"/>
      <c r="L3154" s="6"/>
      <c r="M3154" s="6"/>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c r="BU3154" s="6"/>
      <c r="BV3154" s="6"/>
      <c r="BW3154" s="6"/>
      <c r="BX3154" s="6"/>
      <c r="BY3154" s="6"/>
      <c r="BZ3154" s="6"/>
      <c r="CA3154" s="6"/>
      <c r="CB3154" s="6"/>
      <c r="CC3154" s="6"/>
      <c r="CD3154" s="6"/>
      <c r="CE3154" s="6"/>
      <c r="CF3154" s="6"/>
      <c r="CG3154" s="6"/>
      <c r="CH3154" s="6"/>
      <c r="CI3154" s="6"/>
      <c r="CJ3154" s="6"/>
      <c r="CK3154" s="6"/>
      <c r="CL3154" s="6"/>
      <c r="CM3154" s="6"/>
      <c r="CN3154" s="6"/>
      <c r="CO3154" s="6"/>
      <c r="CP3154" s="6"/>
      <c r="CQ3154" s="6"/>
      <c r="CR3154" s="6"/>
      <c r="CS3154" s="6"/>
      <c r="CT3154" s="6"/>
      <c r="CU3154" s="6"/>
      <c r="CV3154" s="6"/>
      <c r="CW3154" s="6"/>
      <c r="CX3154" s="6"/>
      <c r="CY3154" s="6"/>
      <c r="CZ3154" s="6"/>
      <c r="DA3154" s="6"/>
      <c r="DB3154" s="6"/>
      <c r="DC3154" s="6"/>
      <c r="DD3154" s="6"/>
    </row>
    <row r="3155" spans="1:108" ht="12.75" hidden="1" customHeight="1" outlineLevel="5">
      <c r="A3155" s="104" t="s">
        <v>70</v>
      </c>
      <c r="B3155" s="28">
        <f t="shared" si="182"/>
        <v>1</v>
      </c>
      <c r="C3155" s="11"/>
      <c r="D3155" s="18" t="str">
        <f t="shared" si="184"/>
        <v>&lt;ShellMassArea&gt;1.000000&lt;/ShellMassArea&gt;</v>
      </c>
      <c r="F3155" s="6"/>
      <c r="G3155" s="6"/>
      <c r="H3155" s="6"/>
      <c r="I3155" s="6"/>
      <c r="J3155" s="6"/>
      <c r="K3155" s="6"/>
      <c r="L3155" s="6"/>
      <c r="M3155" s="6"/>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c r="BU3155" s="6"/>
      <c r="BV3155" s="6"/>
      <c r="BW3155" s="6"/>
      <c r="BX3155" s="6"/>
      <c r="BY3155" s="6"/>
      <c r="BZ3155" s="6"/>
      <c r="CA3155" s="6"/>
      <c r="CB3155" s="6"/>
      <c r="CC3155" s="6"/>
      <c r="CD3155" s="6"/>
      <c r="CE3155" s="6"/>
      <c r="CF3155" s="6"/>
      <c r="CG3155" s="6"/>
      <c r="CH3155" s="6"/>
      <c r="CI3155" s="6"/>
      <c r="CJ3155" s="6"/>
      <c r="CK3155" s="6"/>
      <c r="CL3155" s="6"/>
      <c r="CM3155" s="6"/>
      <c r="CN3155" s="6"/>
      <c r="CO3155" s="6"/>
      <c r="CP3155" s="6"/>
      <c r="CQ3155" s="6"/>
      <c r="CR3155" s="6"/>
      <c r="CS3155" s="6"/>
      <c r="CT3155" s="6"/>
      <c r="CU3155" s="6"/>
      <c r="CV3155" s="6"/>
      <c r="CW3155" s="6"/>
      <c r="CX3155" s="6"/>
      <c r="CY3155" s="6"/>
      <c r="CZ3155" s="6"/>
      <c r="DA3155" s="6"/>
      <c r="DB3155" s="6"/>
      <c r="DC3155" s="6"/>
      <c r="DD3155" s="6"/>
    </row>
    <row r="3156" spans="1:108" ht="12.75" hidden="1" customHeight="1" outlineLevel="5">
      <c r="A3156" s="104" t="s">
        <v>71</v>
      </c>
      <c r="B3156" s="28">
        <f t="shared" si="182"/>
        <v>0</v>
      </c>
      <c r="C3156" s="11"/>
      <c r="D3156" s="18" t="str">
        <f>"&lt;" &amp; A3156 &amp; "&gt;" &amp; TEXT(B3156,0) &amp; "&lt;/" &amp; A3156 &amp; "&gt;"</f>
        <v>&lt;RefFlag&gt;0&lt;/RefFlag&gt;</v>
      </c>
      <c r="F3156" s="6"/>
      <c r="G3156" s="6"/>
      <c r="H3156" s="6"/>
      <c r="I3156" s="6"/>
      <c r="J3156" s="6"/>
      <c r="K3156" s="6"/>
      <c r="L3156" s="6"/>
      <c r="M3156" s="6"/>
      <c r="N3156" s="6"/>
      <c r="O3156" s="6"/>
      <c r="P3156" s="6"/>
      <c r="Q3156" s="6"/>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c r="BU3156" s="6"/>
      <c r="BV3156" s="6"/>
      <c r="BW3156" s="6"/>
      <c r="BX3156" s="6"/>
      <c r="BY3156" s="6"/>
      <c r="BZ3156" s="6"/>
      <c r="CA3156" s="6"/>
      <c r="CB3156" s="6"/>
      <c r="CC3156" s="6"/>
      <c r="CD3156" s="6"/>
      <c r="CE3156" s="6"/>
      <c r="CF3156" s="6"/>
      <c r="CG3156" s="6"/>
      <c r="CH3156" s="6"/>
      <c r="CI3156" s="6"/>
      <c r="CJ3156" s="6"/>
      <c r="CK3156" s="6"/>
      <c r="CL3156" s="6"/>
      <c r="CM3156" s="6"/>
      <c r="CN3156" s="6"/>
      <c r="CO3156" s="6"/>
      <c r="CP3156" s="6"/>
      <c r="CQ3156" s="6"/>
      <c r="CR3156" s="6"/>
      <c r="CS3156" s="6"/>
      <c r="CT3156" s="6"/>
      <c r="CU3156" s="6"/>
      <c r="CV3156" s="6"/>
      <c r="CW3156" s="6"/>
      <c r="CX3156" s="6"/>
      <c r="CY3156" s="6"/>
      <c r="CZ3156" s="6"/>
      <c r="DA3156" s="6"/>
      <c r="DB3156" s="6"/>
      <c r="DC3156" s="6"/>
      <c r="DD3156" s="6"/>
    </row>
    <row r="3157" spans="1:108" ht="12.75" hidden="1" customHeight="1" outlineLevel="5">
      <c r="A3157" s="104" t="s">
        <v>72</v>
      </c>
      <c r="B3157" s="28">
        <f t="shared" si="182"/>
        <v>100</v>
      </c>
      <c r="C3157" s="11"/>
      <c r="D3157" s="18" t="str">
        <f>"&lt;" &amp; A3157 &amp; "&gt;" &amp; TEXT(B3157,"0.000000") &amp; "&lt;/" &amp; A3157 &amp; "&gt;"</f>
        <v>&lt;RefArea&gt;100.000000&lt;/RefArea&gt;</v>
      </c>
      <c r="F3157" s="6"/>
      <c r="G3157" s="6"/>
      <c r="H3157" s="6"/>
      <c r="I3157" s="6"/>
      <c r="J3157" s="6"/>
      <c r="K3157" s="6"/>
      <c r="L3157" s="6"/>
      <c r="M3157" s="6"/>
      <c r="N3157" s="6"/>
      <c r="O3157" s="6"/>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c r="BU3157" s="6"/>
      <c r="BV3157" s="6"/>
      <c r="BW3157" s="6"/>
      <c r="BX3157" s="6"/>
      <c r="BY3157" s="6"/>
      <c r="BZ3157" s="6"/>
      <c r="CA3157" s="6"/>
      <c r="CB3157" s="6"/>
      <c r="CC3157" s="6"/>
      <c r="CD3157" s="6"/>
      <c r="CE3157" s="6"/>
      <c r="CF3157" s="6"/>
      <c r="CG3157" s="6"/>
      <c r="CH3157" s="6"/>
      <c r="CI3157" s="6"/>
      <c r="CJ3157" s="6"/>
      <c r="CK3157" s="6"/>
      <c r="CL3157" s="6"/>
      <c r="CM3157" s="6"/>
      <c r="CN3157" s="6"/>
      <c r="CO3157" s="6"/>
      <c r="CP3157" s="6"/>
      <c r="CQ3157" s="6"/>
      <c r="CR3157" s="6"/>
      <c r="CS3157" s="6"/>
      <c r="CT3157" s="6"/>
      <c r="CU3157" s="6"/>
      <c r="CV3157" s="6"/>
      <c r="CW3157" s="6"/>
      <c r="CX3157" s="6"/>
      <c r="CY3157" s="6"/>
      <c r="CZ3157" s="6"/>
      <c r="DA3157" s="6"/>
      <c r="DB3157" s="6"/>
      <c r="DC3157" s="6"/>
      <c r="DD3157" s="6"/>
    </row>
    <row r="3158" spans="1:108" ht="12.75" hidden="1" customHeight="1" outlineLevel="5">
      <c r="A3158" s="104" t="s">
        <v>73</v>
      </c>
      <c r="B3158" s="28">
        <f t="shared" si="182"/>
        <v>10</v>
      </c>
      <c r="C3158" s="11"/>
      <c r="D3158" s="18" t="str">
        <f>"&lt;" &amp; A3158 &amp; "&gt;" &amp; TEXT(B3158,"0.000000") &amp; "&lt;/" &amp; A3158 &amp; "&gt;"</f>
        <v>&lt;RefSpan&gt;10.000000&lt;/RefSpan&gt;</v>
      </c>
      <c r="F3158" s="6"/>
      <c r="G3158" s="6"/>
      <c r="H3158" s="6"/>
      <c r="I3158" s="6"/>
      <c r="J3158" s="6"/>
      <c r="K3158" s="6"/>
      <c r="L3158" s="6"/>
      <c r="M3158" s="6"/>
      <c r="N3158" s="6"/>
      <c r="O3158" s="6"/>
      <c r="P3158" s="6"/>
      <c r="Q3158" s="6"/>
      <c r="R3158" s="6"/>
      <c r="S3158" s="6"/>
      <c r="T3158" s="6"/>
      <c r="U3158" s="6"/>
      <c r="V3158" s="6"/>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c r="BU3158" s="6"/>
      <c r="BV3158" s="6"/>
      <c r="BW3158" s="6"/>
      <c r="BX3158" s="6"/>
      <c r="BY3158" s="6"/>
      <c r="BZ3158" s="6"/>
      <c r="CA3158" s="6"/>
      <c r="CB3158" s="6"/>
      <c r="CC3158" s="6"/>
      <c r="CD3158" s="6"/>
      <c r="CE3158" s="6"/>
      <c r="CF3158" s="6"/>
      <c r="CG3158" s="6"/>
      <c r="CH3158" s="6"/>
      <c r="CI3158" s="6"/>
      <c r="CJ3158" s="6"/>
      <c r="CK3158" s="6"/>
      <c r="CL3158" s="6"/>
      <c r="CM3158" s="6"/>
      <c r="CN3158" s="6"/>
      <c r="CO3158" s="6"/>
      <c r="CP3158" s="6"/>
      <c r="CQ3158" s="6"/>
      <c r="CR3158" s="6"/>
      <c r="CS3158" s="6"/>
      <c r="CT3158" s="6"/>
      <c r="CU3158" s="6"/>
      <c r="CV3158" s="6"/>
      <c r="CW3158" s="6"/>
      <c r="CX3158" s="6"/>
      <c r="CY3158" s="6"/>
      <c r="CZ3158" s="6"/>
      <c r="DA3158" s="6"/>
      <c r="DB3158" s="6"/>
      <c r="DC3158" s="6"/>
      <c r="DD3158" s="6"/>
    </row>
    <row r="3159" spans="1:108" ht="12.75" hidden="1" customHeight="1" outlineLevel="5">
      <c r="A3159" s="104" t="s">
        <v>74</v>
      </c>
      <c r="B3159" s="28">
        <f t="shared" si="182"/>
        <v>1</v>
      </c>
      <c r="C3159" s="11"/>
      <c r="D3159" s="18" t="str">
        <f>"&lt;" &amp; A3159 &amp; "&gt;" &amp; TEXT(B3159,"0.000000") &amp; "&lt;/" &amp; A3159 &amp; "&gt;"</f>
        <v>&lt;RefCbar&gt;1.000000&lt;/RefCbar&gt;</v>
      </c>
      <c r="F3159" s="6"/>
      <c r="G3159" s="6"/>
      <c r="H3159" s="6"/>
      <c r="I3159" s="6"/>
      <c r="J3159" s="6"/>
      <c r="K3159" s="6"/>
      <c r="L3159" s="6"/>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c r="BU3159" s="6"/>
      <c r="BV3159" s="6"/>
      <c r="BW3159" s="6"/>
      <c r="BX3159" s="6"/>
      <c r="BY3159" s="6"/>
      <c r="BZ3159" s="6"/>
      <c r="CA3159" s="6"/>
      <c r="CB3159" s="6"/>
      <c r="CC3159" s="6"/>
      <c r="CD3159" s="6"/>
      <c r="CE3159" s="6"/>
      <c r="CF3159" s="6"/>
      <c r="CG3159" s="6"/>
      <c r="CH3159" s="6"/>
      <c r="CI3159" s="6"/>
      <c r="CJ3159" s="6"/>
      <c r="CK3159" s="6"/>
      <c r="CL3159" s="6"/>
      <c r="CM3159" s="6"/>
      <c r="CN3159" s="6"/>
      <c r="CO3159" s="6"/>
      <c r="CP3159" s="6"/>
      <c r="CQ3159" s="6"/>
      <c r="CR3159" s="6"/>
      <c r="CS3159" s="6"/>
      <c r="CT3159" s="6"/>
      <c r="CU3159" s="6"/>
      <c r="CV3159" s="6"/>
      <c r="CW3159" s="6"/>
      <c r="CX3159" s="6"/>
      <c r="CY3159" s="6"/>
      <c r="CZ3159" s="6"/>
      <c r="DA3159" s="6"/>
      <c r="DB3159" s="6"/>
      <c r="DC3159" s="6"/>
      <c r="DD3159" s="6"/>
    </row>
    <row r="3160" spans="1:108" ht="12.75" hidden="1" customHeight="1" outlineLevel="5">
      <c r="A3160" s="104" t="s">
        <v>75</v>
      </c>
      <c r="B3160" s="28">
        <f t="shared" si="182"/>
        <v>1</v>
      </c>
      <c r="C3160" s="11"/>
      <c r="D3160" s="18" t="str">
        <f>"&lt;" &amp; A3160 &amp; "&gt;" &amp; TEXT(B3160,0) &amp; "&lt;/" &amp; A3160 &amp; "&gt;"</f>
        <v>&lt;AutoRefAreaFlag&gt;1&lt;/AutoRefAreaFlag&gt;</v>
      </c>
      <c r="F3160" s="6"/>
      <c r="G3160" s="6"/>
      <c r="H3160" s="6"/>
      <c r="I3160" s="6"/>
      <c r="J3160" s="6"/>
      <c r="K3160" s="6"/>
      <c r="L3160" s="6"/>
      <c r="M3160" s="6"/>
      <c r="N3160" s="6"/>
      <c r="O3160" s="6"/>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c r="BU3160" s="6"/>
      <c r="BV3160" s="6"/>
      <c r="BW3160" s="6"/>
      <c r="BX3160" s="6"/>
      <c r="BY3160" s="6"/>
      <c r="BZ3160" s="6"/>
      <c r="CA3160" s="6"/>
      <c r="CB3160" s="6"/>
      <c r="CC3160" s="6"/>
      <c r="CD3160" s="6"/>
      <c r="CE3160" s="6"/>
      <c r="CF3160" s="6"/>
      <c r="CG3160" s="6"/>
      <c r="CH3160" s="6"/>
      <c r="CI3160" s="6"/>
      <c r="CJ3160" s="6"/>
      <c r="CK3160" s="6"/>
      <c r="CL3160" s="6"/>
      <c r="CM3160" s="6"/>
      <c r="CN3160" s="6"/>
      <c r="CO3160" s="6"/>
      <c r="CP3160" s="6"/>
      <c r="CQ3160" s="6"/>
      <c r="CR3160" s="6"/>
      <c r="CS3160" s="6"/>
      <c r="CT3160" s="6"/>
      <c r="CU3160" s="6"/>
      <c r="CV3160" s="6"/>
      <c r="CW3160" s="6"/>
      <c r="CX3160" s="6"/>
      <c r="CY3160" s="6"/>
      <c r="CZ3160" s="6"/>
      <c r="DA3160" s="6"/>
      <c r="DB3160" s="6"/>
      <c r="DC3160" s="6"/>
      <c r="DD3160" s="6"/>
    </row>
    <row r="3161" spans="1:108" ht="12.75" hidden="1" customHeight="1" outlineLevel="5">
      <c r="A3161" s="104" t="s">
        <v>76</v>
      </c>
      <c r="B3161" s="28">
        <f t="shared" si="182"/>
        <v>1</v>
      </c>
      <c r="C3161" s="11"/>
      <c r="D3161" s="18" t="str">
        <f>"&lt;" &amp; A3161 &amp; "&gt;" &amp; TEXT(B3161,0) &amp; "&lt;/" &amp; A3161 &amp; "&gt;"</f>
        <v>&lt;AutoRefSpanFlag&gt;1&lt;/AutoRefSpanFlag&gt;</v>
      </c>
      <c r="F3161" s="6"/>
      <c r="G3161" s="6"/>
      <c r="H3161" s="6"/>
      <c r="I3161" s="6"/>
      <c r="J3161" s="6"/>
      <c r="K3161" s="6"/>
      <c r="L3161" s="6"/>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c r="BU3161" s="6"/>
      <c r="BV3161" s="6"/>
      <c r="BW3161" s="6"/>
      <c r="BX3161" s="6"/>
      <c r="BY3161" s="6"/>
      <c r="BZ3161" s="6"/>
      <c r="CA3161" s="6"/>
      <c r="CB3161" s="6"/>
      <c r="CC3161" s="6"/>
      <c r="CD3161" s="6"/>
      <c r="CE3161" s="6"/>
      <c r="CF3161" s="6"/>
      <c r="CG3161" s="6"/>
      <c r="CH3161" s="6"/>
      <c r="CI3161" s="6"/>
      <c r="CJ3161" s="6"/>
      <c r="CK3161" s="6"/>
      <c r="CL3161" s="6"/>
      <c r="CM3161" s="6"/>
      <c r="CN3161" s="6"/>
      <c r="CO3161" s="6"/>
      <c r="CP3161" s="6"/>
      <c r="CQ3161" s="6"/>
      <c r="CR3161" s="6"/>
      <c r="CS3161" s="6"/>
      <c r="CT3161" s="6"/>
      <c r="CU3161" s="6"/>
      <c r="CV3161" s="6"/>
      <c r="CW3161" s="6"/>
      <c r="CX3161" s="6"/>
      <c r="CY3161" s="6"/>
      <c r="CZ3161" s="6"/>
      <c r="DA3161" s="6"/>
      <c r="DB3161" s="6"/>
      <c r="DC3161" s="6"/>
      <c r="DD3161" s="6"/>
    </row>
    <row r="3162" spans="1:108" ht="12.75" hidden="1" customHeight="1" outlineLevel="5">
      <c r="A3162" s="104" t="s">
        <v>77</v>
      </c>
      <c r="B3162" s="28">
        <f t="shared" si="182"/>
        <v>1</v>
      </c>
      <c r="C3162" s="11"/>
      <c r="D3162" s="18" t="str">
        <f>"&lt;" &amp; A3162 &amp; "&gt;" &amp; TEXT(B3162,0) &amp; "&lt;/" &amp; A3162 &amp; "&gt;"</f>
        <v>&lt;AutoRefCbarFlag&gt;1&lt;/AutoRefCbarFlag&gt;</v>
      </c>
      <c r="F3162" s="6"/>
      <c r="G3162" s="6"/>
      <c r="H3162" s="6"/>
      <c r="I3162" s="6"/>
      <c r="J3162" s="6"/>
      <c r="K3162" s="6"/>
      <c r="L3162" s="6"/>
      <c r="M3162" s="6"/>
      <c r="N3162" s="6"/>
      <c r="O3162" s="6"/>
      <c r="P3162" s="6"/>
      <c r="Q3162" s="6"/>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c r="BU3162" s="6"/>
      <c r="BV3162" s="6"/>
      <c r="BW3162" s="6"/>
      <c r="BX3162" s="6"/>
      <c r="BY3162" s="6"/>
      <c r="BZ3162" s="6"/>
      <c r="CA3162" s="6"/>
      <c r="CB3162" s="6"/>
      <c r="CC3162" s="6"/>
      <c r="CD3162" s="6"/>
      <c r="CE3162" s="6"/>
      <c r="CF3162" s="6"/>
      <c r="CG3162" s="6"/>
      <c r="CH3162" s="6"/>
      <c r="CI3162" s="6"/>
      <c r="CJ3162" s="6"/>
      <c r="CK3162" s="6"/>
      <c r="CL3162" s="6"/>
      <c r="CM3162" s="6"/>
      <c r="CN3162" s="6"/>
      <c r="CO3162" s="6"/>
      <c r="CP3162" s="6"/>
      <c r="CQ3162" s="6"/>
      <c r="CR3162" s="6"/>
      <c r="CS3162" s="6"/>
      <c r="CT3162" s="6"/>
      <c r="CU3162" s="6"/>
      <c r="CV3162" s="6"/>
      <c r="CW3162" s="6"/>
      <c r="CX3162" s="6"/>
      <c r="CY3162" s="6"/>
      <c r="CZ3162" s="6"/>
      <c r="DA3162" s="6"/>
      <c r="DB3162" s="6"/>
      <c r="DC3162" s="6"/>
      <c r="DD3162" s="6"/>
    </row>
    <row r="3163" spans="1:108" ht="12.75" hidden="1" customHeight="1" outlineLevel="5">
      <c r="A3163" s="104" t="s">
        <v>78</v>
      </c>
      <c r="B3163" s="28">
        <f t="shared" si="182"/>
        <v>0</v>
      </c>
      <c r="C3163" s="11"/>
      <c r="D3163" s="18" t="str">
        <f>"&lt;" &amp; A3163 &amp; "&gt;" &amp; TEXT(B3163,"0.000000") &amp; "&lt;/" &amp; A3163 &amp; "&gt;"</f>
        <v>&lt;AeroCenter_X&gt;0.000000&lt;/AeroCenter_X&gt;</v>
      </c>
      <c r="F3163" s="6"/>
      <c r="G3163" s="6"/>
      <c r="H3163" s="6"/>
      <c r="I3163" s="6"/>
      <c r="J3163" s="6"/>
      <c r="K3163" s="6"/>
      <c r="L3163" s="6"/>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c r="BU3163" s="6"/>
      <c r="BV3163" s="6"/>
      <c r="BW3163" s="6"/>
      <c r="BX3163" s="6"/>
      <c r="BY3163" s="6"/>
      <c r="BZ3163" s="6"/>
      <c r="CA3163" s="6"/>
      <c r="CB3163" s="6"/>
      <c r="CC3163" s="6"/>
      <c r="CD3163" s="6"/>
      <c r="CE3163" s="6"/>
      <c r="CF3163" s="6"/>
      <c r="CG3163" s="6"/>
      <c r="CH3163" s="6"/>
      <c r="CI3163" s="6"/>
      <c r="CJ3163" s="6"/>
      <c r="CK3163" s="6"/>
      <c r="CL3163" s="6"/>
      <c r="CM3163" s="6"/>
      <c r="CN3163" s="6"/>
      <c r="CO3163" s="6"/>
      <c r="CP3163" s="6"/>
      <c r="CQ3163" s="6"/>
      <c r="CR3163" s="6"/>
      <c r="CS3163" s="6"/>
      <c r="CT3163" s="6"/>
      <c r="CU3163" s="6"/>
      <c r="CV3163" s="6"/>
      <c r="CW3163" s="6"/>
      <c r="CX3163" s="6"/>
      <c r="CY3163" s="6"/>
      <c r="CZ3163" s="6"/>
      <c r="DA3163" s="6"/>
      <c r="DB3163" s="6"/>
      <c r="DC3163" s="6"/>
      <c r="DD3163" s="6"/>
    </row>
    <row r="3164" spans="1:108" ht="12.75" hidden="1" customHeight="1" outlineLevel="5">
      <c r="A3164" s="104" t="s">
        <v>79</v>
      </c>
      <c r="B3164" s="28">
        <f t="shared" si="182"/>
        <v>0</v>
      </c>
      <c r="C3164" s="11"/>
      <c r="D3164" s="18" t="str">
        <f>"&lt;" &amp; A3164 &amp; "&gt;" &amp; TEXT(B3164,"0.000000") &amp; "&lt;/" &amp; A3164 &amp; "&gt;"</f>
        <v>&lt;AeroCenter_Y&gt;0.000000&lt;/AeroCenter_Y&gt;</v>
      </c>
      <c r="F3164" s="6"/>
      <c r="G3164" s="6"/>
      <c r="H3164" s="6"/>
      <c r="I3164" s="6"/>
      <c r="J3164" s="6"/>
      <c r="K3164" s="6"/>
      <c r="L3164" s="6"/>
      <c r="M3164" s="6"/>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c r="BU3164" s="6"/>
      <c r="BV3164" s="6"/>
      <c r="BW3164" s="6"/>
      <c r="BX3164" s="6"/>
      <c r="BY3164" s="6"/>
      <c r="BZ3164" s="6"/>
      <c r="CA3164" s="6"/>
      <c r="CB3164" s="6"/>
      <c r="CC3164" s="6"/>
      <c r="CD3164" s="6"/>
      <c r="CE3164" s="6"/>
      <c r="CF3164" s="6"/>
      <c r="CG3164" s="6"/>
      <c r="CH3164" s="6"/>
      <c r="CI3164" s="6"/>
      <c r="CJ3164" s="6"/>
      <c r="CK3164" s="6"/>
      <c r="CL3164" s="6"/>
      <c r="CM3164" s="6"/>
      <c r="CN3164" s="6"/>
      <c r="CO3164" s="6"/>
      <c r="CP3164" s="6"/>
      <c r="CQ3164" s="6"/>
      <c r="CR3164" s="6"/>
      <c r="CS3164" s="6"/>
      <c r="CT3164" s="6"/>
      <c r="CU3164" s="6"/>
      <c r="CV3164" s="6"/>
      <c r="CW3164" s="6"/>
      <c r="CX3164" s="6"/>
      <c r="CY3164" s="6"/>
      <c r="CZ3164" s="6"/>
      <c r="DA3164" s="6"/>
      <c r="DB3164" s="6"/>
      <c r="DC3164" s="6"/>
      <c r="DD3164" s="6"/>
    </row>
    <row r="3165" spans="1:108" ht="12.75" hidden="1" customHeight="1" outlineLevel="5">
      <c r="A3165" s="104" t="s">
        <v>80</v>
      </c>
      <c r="B3165" s="28">
        <f t="shared" si="182"/>
        <v>0</v>
      </c>
      <c r="C3165" s="11"/>
      <c r="D3165" s="18" t="str">
        <f>"&lt;" &amp; A3165 &amp; "&gt;" &amp; TEXT(B3165,"0.000000") &amp; "&lt;/" &amp; A3165 &amp; "&gt;"</f>
        <v>&lt;AeroCenter_Z&gt;0.000000&lt;/AeroCenter_Z&gt;</v>
      </c>
      <c r="F3165" s="6"/>
      <c r="G3165" s="6"/>
      <c r="H3165" s="6"/>
      <c r="I3165" s="6"/>
      <c r="J3165" s="6"/>
      <c r="K3165" s="6"/>
      <c r="L3165" s="6"/>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c r="BU3165" s="6"/>
      <c r="BV3165" s="6"/>
      <c r="BW3165" s="6"/>
      <c r="BX3165" s="6"/>
      <c r="BY3165" s="6"/>
      <c r="BZ3165" s="6"/>
      <c r="CA3165" s="6"/>
      <c r="CB3165" s="6"/>
      <c r="CC3165" s="6"/>
      <c r="CD3165" s="6"/>
      <c r="CE3165" s="6"/>
      <c r="CF3165" s="6"/>
      <c r="CG3165" s="6"/>
      <c r="CH3165" s="6"/>
      <c r="CI3165" s="6"/>
      <c r="CJ3165" s="6"/>
      <c r="CK3165" s="6"/>
      <c r="CL3165" s="6"/>
      <c r="CM3165" s="6"/>
      <c r="CN3165" s="6"/>
      <c r="CO3165" s="6"/>
      <c r="CP3165" s="6"/>
      <c r="CQ3165" s="6"/>
      <c r="CR3165" s="6"/>
      <c r="CS3165" s="6"/>
      <c r="CT3165" s="6"/>
      <c r="CU3165" s="6"/>
      <c r="CV3165" s="6"/>
      <c r="CW3165" s="6"/>
      <c r="CX3165" s="6"/>
      <c r="CY3165" s="6"/>
      <c r="CZ3165" s="6"/>
      <c r="DA3165" s="6"/>
      <c r="DB3165" s="6"/>
      <c r="DC3165" s="6"/>
      <c r="DD3165" s="6"/>
    </row>
    <row r="3166" spans="1:108" ht="12.75" hidden="1" customHeight="1" outlineLevel="5">
      <c r="A3166" s="104" t="s">
        <v>81</v>
      </c>
      <c r="B3166" s="28">
        <f t="shared" si="182"/>
        <v>1</v>
      </c>
      <c r="C3166" s="11"/>
      <c r="D3166" s="18" t="str">
        <f>"&lt;" &amp; A3166 &amp; "&gt;" &amp; TEXT(B3166,0) &amp; "&lt;/" &amp; A3166 &amp; "&gt;"</f>
        <v>&lt;AutoAeroCenterFlag&gt;1&lt;/AutoAeroCenterFlag&gt;</v>
      </c>
      <c r="F3166" s="6"/>
      <c r="G3166" s="6"/>
      <c r="H3166" s="6"/>
      <c r="I3166" s="6"/>
      <c r="J3166" s="6"/>
      <c r="K3166" s="6"/>
      <c r="L3166" s="6"/>
      <c r="M3166" s="6"/>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c r="BU3166" s="6"/>
      <c r="BV3166" s="6"/>
      <c r="BW3166" s="6"/>
      <c r="BX3166" s="6"/>
      <c r="BY3166" s="6"/>
      <c r="BZ3166" s="6"/>
      <c r="CA3166" s="6"/>
      <c r="CB3166" s="6"/>
      <c r="CC3166" s="6"/>
      <c r="CD3166" s="6"/>
      <c r="CE3166" s="6"/>
      <c r="CF3166" s="6"/>
      <c r="CG3166" s="6"/>
      <c r="CH3166" s="6"/>
      <c r="CI3166" s="6"/>
      <c r="CJ3166" s="6"/>
      <c r="CK3166" s="6"/>
      <c r="CL3166" s="6"/>
      <c r="CM3166" s="6"/>
      <c r="CN3166" s="6"/>
      <c r="CO3166" s="6"/>
      <c r="CP3166" s="6"/>
      <c r="CQ3166" s="6"/>
      <c r="CR3166" s="6"/>
      <c r="CS3166" s="6"/>
      <c r="CT3166" s="6"/>
      <c r="CU3166" s="6"/>
      <c r="CV3166" s="6"/>
      <c r="CW3166" s="6"/>
      <c r="CX3166" s="6"/>
      <c r="CY3166" s="6"/>
      <c r="CZ3166" s="6"/>
      <c r="DA3166" s="6"/>
      <c r="DB3166" s="6"/>
      <c r="DC3166" s="6"/>
      <c r="DD3166" s="6"/>
    </row>
    <row r="3167" spans="1:108" ht="12.75" hidden="1" customHeight="1" outlineLevel="5">
      <c r="A3167" s="104" t="s">
        <v>82</v>
      </c>
      <c r="B3167" s="28">
        <f t="shared" si="182"/>
        <v>0</v>
      </c>
      <c r="C3167" s="11"/>
      <c r="D3167" s="18" t="str">
        <f>"&lt;" &amp; A3167 &amp; "&gt;" &amp; TEXT(B3167,0) &amp; "&lt;/" &amp; A3167 &amp; "&gt;"</f>
        <v>&lt;WakeActiveFlag&gt;0&lt;/WakeActiveFlag&gt;</v>
      </c>
      <c r="F3167" s="6"/>
      <c r="G3167" s="6"/>
      <c r="H3167" s="6"/>
      <c r="I3167" s="6"/>
      <c r="J3167" s="6"/>
      <c r="K3167" s="6"/>
      <c r="L3167" s="6"/>
      <c r="M3167" s="6"/>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c r="BU3167" s="6"/>
      <c r="BV3167" s="6"/>
      <c r="BW3167" s="6"/>
      <c r="BX3167" s="6"/>
      <c r="BY3167" s="6"/>
      <c r="BZ3167" s="6"/>
      <c r="CA3167" s="6"/>
      <c r="CB3167" s="6"/>
      <c r="CC3167" s="6"/>
      <c r="CD3167" s="6"/>
      <c r="CE3167" s="6"/>
      <c r="CF3167" s="6"/>
      <c r="CG3167" s="6"/>
      <c r="CH3167" s="6"/>
      <c r="CI3167" s="6"/>
      <c r="CJ3167" s="6"/>
      <c r="CK3167" s="6"/>
      <c r="CL3167" s="6"/>
      <c r="CM3167" s="6"/>
      <c r="CN3167" s="6"/>
      <c r="CO3167" s="6"/>
      <c r="CP3167" s="6"/>
      <c r="CQ3167" s="6"/>
      <c r="CR3167" s="6"/>
      <c r="CS3167" s="6"/>
      <c r="CT3167" s="6"/>
      <c r="CU3167" s="6"/>
      <c r="CV3167" s="6"/>
      <c r="CW3167" s="6"/>
      <c r="CX3167" s="6"/>
      <c r="CY3167" s="6"/>
      <c r="CZ3167" s="6"/>
      <c r="DA3167" s="6"/>
      <c r="DB3167" s="6"/>
      <c r="DC3167" s="6"/>
      <c r="DD3167" s="6"/>
    </row>
    <row r="3168" spans="1:108" ht="12.75" hidden="1" customHeight="1" outlineLevel="5">
      <c r="A3168" s="104" t="s">
        <v>83</v>
      </c>
      <c r="B3168" s="28">
        <f t="shared" si="182"/>
        <v>3</v>
      </c>
      <c r="C3168" s="11"/>
      <c r="D3168" s="18" t="str">
        <f>"&lt;" &amp; A3168 &amp; "&gt;" &amp; TEXT(B3168,0) &amp; "&lt;/" &amp; A3168 &amp; "&gt;"</f>
        <v>&lt;PosAttachFlag&gt;3&lt;/PosAttachFlag&gt;</v>
      </c>
      <c r="F3168" s="6"/>
      <c r="G3168" s="6"/>
      <c r="H3168" s="6"/>
      <c r="I3168" s="6"/>
      <c r="J3168" s="6"/>
      <c r="K3168" s="6"/>
      <c r="L3168" s="6"/>
      <c r="M3168" s="6"/>
      <c r="N3168" s="6"/>
      <c r="O3168" s="6"/>
      <c r="P3168" s="6"/>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c r="BU3168" s="6"/>
      <c r="BV3168" s="6"/>
      <c r="BW3168" s="6"/>
      <c r="BX3168" s="6"/>
      <c r="BY3168" s="6"/>
      <c r="BZ3168" s="6"/>
      <c r="CA3168" s="6"/>
      <c r="CB3168" s="6"/>
      <c r="CC3168" s="6"/>
      <c r="CD3168" s="6"/>
      <c r="CE3168" s="6"/>
      <c r="CF3168" s="6"/>
      <c r="CG3168" s="6"/>
      <c r="CH3168" s="6"/>
      <c r="CI3168" s="6"/>
      <c r="CJ3168" s="6"/>
      <c r="CK3168" s="6"/>
      <c r="CL3168" s="6"/>
      <c r="CM3168" s="6"/>
      <c r="CN3168" s="6"/>
      <c r="CO3168" s="6"/>
      <c r="CP3168" s="6"/>
      <c r="CQ3168" s="6"/>
      <c r="CR3168" s="6"/>
      <c r="CS3168" s="6"/>
      <c r="CT3168" s="6"/>
      <c r="CU3168" s="6"/>
      <c r="CV3168" s="6"/>
      <c r="CW3168" s="6"/>
      <c r="CX3168" s="6"/>
      <c r="CY3168" s="6"/>
      <c r="CZ3168" s="6"/>
      <c r="DA3168" s="6"/>
      <c r="DB3168" s="6"/>
      <c r="DC3168" s="6"/>
      <c r="DD3168" s="6"/>
    </row>
    <row r="3169" spans="1:108" ht="12.75" hidden="1" customHeight="1" outlineLevel="5">
      <c r="A3169" s="104" t="s">
        <v>84</v>
      </c>
      <c r="B3169" s="28">
        <f t="shared" si="182"/>
        <v>0</v>
      </c>
      <c r="C3169" s="11"/>
      <c r="D3169" s="18" t="str">
        <f>"&lt;" &amp; A3169 &amp; "&gt;" &amp; TEXT(B3169,"0.000000") &amp; "&lt;/" &amp; A3169 &amp; "&gt;"</f>
        <v>&lt;U_Attach&gt;0.000000&lt;/U_Attach&gt;</v>
      </c>
      <c r="F3169" s="6"/>
      <c r="G3169" s="6"/>
      <c r="H3169" s="6"/>
      <c r="I3169" s="6"/>
      <c r="J3169" s="6"/>
      <c r="K3169" s="6"/>
      <c r="L3169" s="6"/>
      <c r="M3169" s="6"/>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c r="BU3169" s="6"/>
      <c r="BV3169" s="6"/>
      <c r="BW3169" s="6"/>
      <c r="BX3169" s="6"/>
      <c r="BY3169" s="6"/>
      <c r="BZ3169" s="6"/>
      <c r="CA3169" s="6"/>
      <c r="CB3169" s="6"/>
      <c r="CC3169" s="6"/>
      <c r="CD3169" s="6"/>
      <c r="CE3169" s="6"/>
      <c r="CF3169" s="6"/>
      <c r="CG3169" s="6"/>
      <c r="CH3169" s="6"/>
      <c r="CI3169" s="6"/>
      <c r="CJ3169" s="6"/>
      <c r="CK3169" s="6"/>
      <c r="CL3169" s="6"/>
      <c r="CM3169" s="6"/>
      <c r="CN3169" s="6"/>
      <c r="CO3169" s="6"/>
      <c r="CP3169" s="6"/>
      <c r="CQ3169" s="6"/>
      <c r="CR3169" s="6"/>
      <c r="CS3169" s="6"/>
      <c r="CT3169" s="6"/>
      <c r="CU3169" s="6"/>
      <c r="CV3169" s="6"/>
      <c r="CW3169" s="6"/>
      <c r="CX3169" s="6"/>
      <c r="CY3169" s="6"/>
      <c r="CZ3169" s="6"/>
      <c r="DA3169" s="6"/>
      <c r="DB3169" s="6"/>
      <c r="DC3169" s="6"/>
      <c r="DD3169" s="6"/>
    </row>
    <row r="3170" spans="1:108" ht="12.75" hidden="1" customHeight="1" outlineLevel="5">
      <c r="A3170" s="104" t="s">
        <v>85</v>
      </c>
      <c r="B3170" s="28">
        <f t="shared" si="182"/>
        <v>0</v>
      </c>
      <c r="C3170" s="11"/>
      <c r="D3170" s="18" t="str">
        <f>"&lt;" &amp; A3170 &amp; "&gt;" &amp; TEXT(B3170,"0.000000") &amp; "&lt;/" &amp; A3170 &amp; "&gt;"</f>
        <v>&lt;V_Attach&gt;0.000000&lt;/V_Attach&gt;</v>
      </c>
      <c r="F3170" s="6"/>
      <c r="G3170" s="6"/>
      <c r="H3170" s="6"/>
      <c r="I3170" s="6"/>
      <c r="J3170" s="6"/>
      <c r="K3170" s="6"/>
      <c r="L3170" s="6"/>
      <c r="M3170" s="6"/>
      <c r="N3170" s="6"/>
      <c r="O3170" s="6"/>
      <c r="P3170" s="6"/>
      <c r="Q3170" s="6"/>
      <c r="R3170" s="6"/>
      <c r="S3170" s="6"/>
      <c r="T3170" s="6"/>
      <c r="U3170" s="6"/>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c r="BU3170" s="6"/>
      <c r="BV3170" s="6"/>
      <c r="BW3170" s="6"/>
      <c r="BX3170" s="6"/>
      <c r="BY3170" s="6"/>
      <c r="BZ3170" s="6"/>
      <c r="CA3170" s="6"/>
      <c r="CB3170" s="6"/>
      <c r="CC3170" s="6"/>
      <c r="CD3170" s="6"/>
      <c r="CE3170" s="6"/>
      <c r="CF3170" s="6"/>
      <c r="CG3170" s="6"/>
      <c r="CH3170" s="6"/>
      <c r="CI3170" s="6"/>
      <c r="CJ3170" s="6"/>
      <c r="CK3170" s="6"/>
      <c r="CL3170" s="6"/>
      <c r="CM3170" s="6"/>
      <c r="CN3170" s="6"/>
      <c r="CO3170" s="6"/>
      <c r="CP3170" s="6"/>
      <c r="CQ3170" s="6"/>
      <c r="CR3170" s="6"/>
      <c r="CS3170" s="6"/>
      <c r="CT3170" s="6"/>
      <c r="CU3170" s="6"/>
      <c r="CV3170" s="6"/>
      <c r="CW3170" s="6"/>
      <c r="CX3170" s="6"/>
      <c r="CY3170" s="6"/>
      <c r="CZ3170" s="6"/>
      <c r="DA3170" s="6"/>
      <c r="DB3170" s="6"/>
      <c r="DC3170" s="6"/>
      <c r="DD3170" s="6"/>
    </row>
    <row r="3171" spans="1:108" ht="12.75" hidden="1" customHeight="1" outlineLevel="5">
      <c r="A3171" s="104" t="s">
        <v>86</v>
      </c>
      <c r="B3171" s="28">
        <v>148458299</v>
      </c>
      <c r="C3171" s="11"/>
      <c r="D3171" s="18" t="str">
        <f>"&lt;" &amp; A3171 &amp; "&gt;" &amp; TEXT(B3171,0) &amp; "&lt;/" &amp; A3171 &amp; "&gt;"</f>
        <v>&lt;PtrID&gt;148458299&lt;/PtrID&gt;</v>
      </c>
      <c r="F3171" s="6"/>
      <c r="G3171" s="6"/>
      <c r="H3171" s="6"/>
      <c r="I3171" s="6"/>
      <c r="J3171" s="6"/>
      <c r="K3171" s="6"/>
      <c r="L3171" s="6"/>
      <c r="M3171" s="6"/>
      <c r="N3171" s="6"/>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c r="BU3171" s="6"/>
      <c r="BV3171" s="6"/>
      <c r="BW3171" s="6"/>
      <c r="BX3171" s="6"/>
      <c r="BY3171" s="6"/>
      <c r="BZ3171" s="6"/>
      <c r="CA3171" s="6"/>
      <c r="CB3171" s="6"/>
      <c r="CC3171" s="6"/>
      <c r="CD3171" s="6"/>
      <c r="CE3171" s="6"/>
      <c r="CF3171" s="6"/>
      <c r="CG3171" s="6"/>
      <c r="CH3171" s="6"/>
      <c r="CI3171" s="6"/>
      <c r="CJ3171" s="6"/>
      <c r="CK3171" s="6"/>
      <c r="CL3171" s="6"/>
      <c r="CM3171" s="6"/>
      <c r="CN3171" s="6"/>
      <c r="CO3171" s="6"/>
      <c r="CP3171" s="6"/>
      <c r="CQ3171" s="6"/>
      <c r="CR3171" s="6"/>
      <c r="CS3171" s="6"/>
      <c r="CT3171" s="6"/>
      <c r="CU3171" s="6"/>
      <c r="CV3171" s="6"/>
      <c r="CW3171" s="6"/>
      <c r="CX3171" s="6"/>
      <c r="CY3171" s="6"/>
      <c r="CZ3171" s="6"/>
      <c r="DA3171" s="6"/>
      <c r="DB3171" s="6"/>
      <c r="DC3171" s="6"/>
      <c r="DD3171" s="6"/>
    </row>
    <row r="3172" spans="1:108" ht="12.75" hidden="1" customHeight="1" outlineLevel="5">
      <c r="A3172" s="104" t="s">
        <v>87</v>
      </c>
      <c r="B3172" s="28">
        <v>149518280</v>
      </c>
      <c r="C3172" s="11"/>
      <c r="D3172" s="18" t="str">
        <f>"&lt;" &amp; A3172 &amp; "&gt;" &amp; TEXT(B3172,0) &amp; "&lt;/" &amp; A3172 &amp; "&gt;"</f>
        <v>&lt;Parent_PtrID&gt;149518280&lt;/Parent_PtrID&gt;</v>
      </c>
      <c r="F3172" s="6"/>
      <c r="G3172" s="6"/>
      <c r="H3172" s="6"/>
      <c r="I3172" s="6"/>
      <c r="J3172" s="6"/>
      <c r="K3172" s="6"/>
      <c r="L3172" s="6"/>
      <c r="M3172" s="6"/>
      <c r="N3172" s="6"/>
      <c r="O3172" s="6"/>
      <c r="P3172" s="6"/>
      <c r="Q3172" s="6"/>
      <c r="R3172" s="6"/>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c r="BU3172" s="6"/>
      <c r="BV3172" s="6"/>
      <c r="BW3172" s="6"/>
      <c r="BX3172" s="6"/>
      <c r="BY3172" s="6"/>
      <c r="BZ3172" s="6"/>
      <c r="CA3172" s="6"/>
      <c r="CB3172" s="6"/>
      <c r="CC3172" s="6"/>
      <c r="CD3172" s="6"/>
      <c r="CE3172" s="6"/>
      <c r="CF3172" s="6"/>
      <c r="CG3172" s="6"/>
      <c r="CH3172" s="6"/>
      <c r="CI3172" s="6"/>
      <c r="CJ3172" s="6"/>
      <c r="CK3172" s="6"/>
      <c r="CL3172" s="6"/>
      <c r="CM3172" s="6"/>
      <c r="CN3172" s="6"/>
      <c r="CO3172" s="6"/>
      <c r="CP3172" s="6"/>
      <c r="CQ3172" s="6"/>
      <c r="CR3172" s="6"/>
      <c r="CS3172" s="6"/>
      <c r="CT3172" s="6"/>
      <c r="CU3172" s="6"/>
      <c r="CV3172" s="6"/>
      <c r="CW3172" s="6"/>
      <c r="CX3172" s="6"/>
      <c r="CY3172" s="6"/>
      <c r="CZ3172" s="6"/>
      <c r="DA3172" s="6"/>
      <c r="DB3172" s="6"/>
      <c r="DC3172" s="6"/>
      <c r="DD3172" s="6"/>
    </row>
    <row r="3173" spans="1:108" ht="12.75" hidden="1" customHeight="1" outlineLevel="5">
      <c r="A3173" s="104" t="s">
        <v>88</v>
      </c>
      <c r="B3173" s="100"/>
      <c r="C3173" s="11"/>
      <c r="D3173" s="6" t="str">
        <f>"&lt;" &amp; A3173 &amp; "&gt;"</f>
        <v>&lt;/General_Parms&gt;</v>
      </c>
      <c r="F3173" s="6"/>
      <c r="G3173" s="6"/>
      <c r="H3173" s="6"/>
      <c r="I3173" s="6"/>
      <c r="J3173" s="6"/>
      <c r="K3173" s="6"/>
      <c r="L3173" s="6"/>
      <c r="M3173" s="6"/>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c r="BU3173" s="6"/>
      <c r="BV3173" s="6"/>
      <c r="BW3173" s="6"/>
      <c r="BX3173" s="6"/>
      <c r="BY3173" s="6"/>
      <c r="BZ3173" s="6"/>
      <c r="CA3173" s="6"/>
      <c r="CB3173" s="6"/>
      <c r="CC3173" s="6"/>
      <c r="CD3173" s="6"/>
      <c r="CE3173" s="6"/>
      <c r="CF3173" s="6"/>
      <c r="CG3173" s="6"/>
      <c r="CH3173" s="6"/>
      <c r="CI3173" s="6"/>
      <c r="CJ3173" s="6"/>
      <c r="CK3173" s="6"/>
      <c r="CL3173" s="6"/>
      <c r="CM3173" s="6"/>
      <c r="CN3173" s="6"/>
      <c r="CO3173" s="6"/>
      <c r="CP3173" s="6"/>
      <c r="CQ3173" s="6"/>
      <c r="CR3173" s="6"/>
      <c r="CS3173" s="6"/>
      <c r="CT3173" s="6"/>
      <c r="CU3173" s="6"/>
      <c r="CV3173" s="6"/>
      <c r="CW3173" s="6"/>
      <c r="CX3173" s="6"/>
      <c r="CY3173" s="6"/>
      <c r="CZ3173" s="6"/>
      <c r="DA3173" s="6"/>
      <c r="DB3173" s="6"/>
      <c r="DC3173" s="6"/>
      <c r="DD3173" s="6"/>
    </row>
    <row r="3174" spans="1:108" ht="12.75" hidden="1" customHeight="1" outlineLevel="4" collapsed="1">
      <c r="A3174" s="104" t="s">
        <v>89</v>
      </c>
      <c r="B3174" s="100"/>
      <c r="C3174" s="11"/>
      <c r="D3174" s="6" t="str">
        <f>"&lt;" &amp; A3174 &amp; "&gt;"</f>
        <v>&lt;Mswing_Parms&gt;</v>
      </c>
      <c r="F3174" s="6"/>
      <c r="G3174" s="6"/>
      <c r="H3174" s="6"/>
      <c r="I3174" s="6"/>
      <c r="J3174" s="6"/>
      <c r="K3174" s="6"/>
      <c r="L3174" s="6"/>
      <c r="M3174" s="6"/>
      <c r="N3174" s="6"/>
      <c r="O3174" s="6"/>
      <c r="P3174" s="6"/>
      <c r="Q3174" s="6"/>
      <c r="R3174" s="6"/>
      <c r="S3174" s="6"/>
      <c r="T3174" s="6"/>
      <c r="U3174" s="6"/>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c r="BU3174" s="6"/>
      <c r="BV3174" s="6"/>
      <c r="BW3174" s="6"/>
      <c r="BX3174" s="6"/>
      <c r="BY3174" s="6"/>
      <c r="BZ3174" s="6"/>
      <c r="CA3174" s="6"/>
      <c r="CB3174" s="6"/>
      <c r="CC3174" s="6"/>
      <c r="CD3174" s="6"/>
      <c r="CE3174" s="6"/>
      <c r="CF3174" s="6"/>
      <c r="CG3174" s="6"/>
      <c r="CH3174" s="6"/>
      <c r="CI3174" s="6"/>
      <c r="CJ3174" s="6"/>
      <c r="CK3174" s="6"/>
      <c r="CL3174" s="6"/>
      <c r="CM3174" s="6"/>
      <c r="CN3174" s="6"/>
      <c r="CO3174" s="6"/>
      <c r="CP3174" s="6"/>
      <c r="CQ3174" s="6"/>
      <c r="CR3174" s="6"/>
      <c r="CS3174" s="6"/>
      <c r="CT3174" s="6"/>
      <c r="CU3174" s="6"/>
      <c r="CV3174" s="6"/>
      <c r="CW3174" s="6"/>
      <c r="CX3174" s="6"/>
      <c r="CY3174" s="6"/>
      <c r="CZ3174" s="6"/>
      <c r="DA3174" s="6"/>
      <c r="DB3174" s="6"/>
      <c r="DC3174" s="6"/>
      <c r="DD3174" s="6"/>
    </row>
    <row r="3175" spans="1:108" ht="12.75" hidden="1" customHeight="1" outlineLevel="5">
      <c r="A3175" s="104" t="s">
        <v>90</v>
      </c>
      <c r="B3175" s="40" t="e">
        <f>B3235</f>
        <v>#VALUE!</v>
      </c>
      <c r="C3175" s="11"/>
      <c r="D3175" s="18" t="e">
        <f>"&lt;" &amp; A3175 &amp; "&gt;" &amp; TEXT(B3175,"0.000000") &amp; "&lt;/" &amp; A3175 &amp; "&gt;"</f>
        <v>#VALUE!</v>
      </c>
      <c r="F3175" s="6"/>
      <c r="G3175" s="6"/>
      <c r="H3175" s="6"/>
      <c r="I3175" s="6"/>
      <c r="J3175" s="6"/>
      <c r="K3175" s="6"/>
      <c r="L3175" s="6"/>
      <c r="M3175" s="6"/>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c r="BU3175" s="6"/>
      <c r="BV3175" s="6"/>
      <c r="BW3175" s="6"/>
      <c r="BX3175" s="6"/>
      <c r="BY3175" s="6"/>
      <c r="BZ3175" s="6"/>
      <c r="CA3175" s="6"/>
      <c r="CB3175" s="6"/>
      <c r="CC3175" s="6"/>
      <c r="CD3175" s="6"/>
      <c r="CE3175" s="6"/>
      <c r="CF3175" s="6"/>
      <c r="CG3175" s="6"/>
      <c r="CH3175" s="6"/>
      <c r="CI3175" s="6"/>
      <c r="CJ3175" s="6"/>
      <c r="CK3175" s="6"/>
      <c r="CL3175" s="6"/>
      <c r="CM3175" s="6"/>
      <c r="CN3175" s="6"/>
      <c r="CO3175" s="6"/>
      <c r="CP3175" s="6"/>
      <c r="CQ3175" s="6"/>
      <c r="CR3175" s="6"/>
      <c r="CS3175" s="6"/>
      <c r="CT3175" s="6"/>
      <c r="CU3175" s="6"/>
      <c r="CV3175" s="6"/>
      <c r="CW3175" s="6"/>
      <c r="CX3175" s="6"/>
      <c r="CY3175" s="6"/>
      <c r="CZ3175" s="6"/>
      <c r="DA3175" s="6"/>
      <c r="DB3175" s="6"/>
      <c r="DC3175" s="6"/>
      <c r="DD3175" s="6"/>
    </row>
    <row r="3176" spans="1:108" ht="12.75" hidden="1" customHeight="1" outlineLevel="5">
      <c r="A3176" s="104" t="s">
        <v>91</v>
      </c>
      <c r="B3176" s="37">
        <f>B3236</f>
        <v>0.9</v>
      </c>
      <c r="C3176" s="11"/>
      <c r="D3176" s="18" t="str">
        <f>"&lt;" &amp; A3176 &amp; "&gt;" &amp; TEXT(B3176,"0.000000") &amp; "&lt;/" &amp; A3176 &amp; "&gt;"</f>
        <v>&lt;Total_Span&gt;0.900000&lt;/Total_Span&gt;</v>
      </c>
      <c r="F3176" s="6"/>
      <c r="G3176" s="6"/>
      <c r="H3176" s="6"/>
      <c r="I3176" s="6"/>
      <c r="J3176" s="6"/>
      <c r="K3176" s="6"/>
      <c r="L3176" s="6"/>
      <c r="M3176" s="6"/>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c r="BU3176" s="6"/>
      <c r="BV3176" s="6"/>
      <c r="BW3176" s="6"/>
      <c r="BX3176" s="6"/>
      <c r="BY3176" s="6"/>
      <c r="BZ3176" s="6"/>
      <c r="CA3176" s="6"/>
      <c r="CB3176" s="6"/>
      <c r="CC3176" s="6"/>
      <c r="CD3176" s="6"/>
      <c r="CE3176" s="6"/>
      <c r="CF3176" s="6"/>
      <c r="CG3176" s="6"/>
      <c r="CH3176" s="6"/>
      <c r="CI3176" s="6"/>
      <c r="CJ3176" s="6"/>
      <c r="CK3176" s="6"/>
      <c r="CL3176" s="6"/>
      <c r="CM3176" s="6"/>
      <c r="CN3176" s="6"/>
      <c r="CO3176" s="6"/>
      <c r="CP3176" s="6"/>
      <c r="CQ3176" s="6"/>
      <c r="CR3176" s="6"/>
      <c r="CS3176" s="6"/>
      <c r="CT3176" s="6"/>
      <c r="CU3176" s="6"/>
      <c r="CV3176" s="6"/>
      <c r="CW3176" s="6"/>
      <c r="CX3176" s="6"/>
      <c r="CY3176" s="6"/>
      <c r="CZ3176" s="6"/>
      <c r="DA3176" s="6"/>
      <c r="DB3176" s="6"/>
      <c r="DC3176" s="6"/>
      <c r="DD3176" s="6"/>
    </row>
    <row r="3177" spans="1:108" ht="12.75" hidden="1" customHeight="1" outlineLevel="5">
      <c r="A3177" s="104" t="s">
        <v>92</v>
      </c>
      <c r="B3177" s="37">
        <f>B3236*COS(B3243*PI()/180)</f>
        <v>0.9</v>
      </c>
      <c r="C3177" s="11"/>
      <c r="D3177" s="18" t="str">
        <f>"&lt;" &amp; A3177 &amp; "&gt;" &amp; TEXT(B3177,"0.000000") &amp; "&lt;/" &amp; A3177 &amp; "&gt;"</f>
        <v>&lt;Total_Proj_Span&gt;0.900000&lt;/Total_Proj_Span&gt;</v>
      </c>
      <c r="F3177" s="6"/>
      <c r="G3177" s="6"/>
      <c r="H3177" s="6"/>
      <c r="I3177" s="6"/>
      <c r="J3177" s="6"/>
      <c r="K3177" s="6"/>
      <c r="L3177" s="6"/>
      <c r="M3177" s="6"/>
      <c r="N3177" s="6"/>
      <c r="O3177" s="6"/>
      <c r="P3177" s="6"/>
      <c r="Q3177" s="6"/>
      <c r="R3177" s="6"/>
      <c r="S3177" s="6"/>
      <c r="T3177" s="6"/>
      <c r="U3177" s="6"/>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c r="BU3177" s="6"/>
      <c r="BV3177" s="6"/>
      <c r="BW3177" s="6"/>
      <c r="BX3177" s="6"/>
      <c r="BY3177" s="6"/>
      <c r="BZ3177" s="6"/>
      <c r="CA3177" s="6"/>
      <c r="CB3177" s="6"/>
      <c r="CC3177" s="6"/>
      <c r="CD3177" s="6"/>
      <c r="CE3177" s="6"/>
      <c r="CF3177" s="6"/>
      <c r="CG3177" s="6"/>
      <c r="CH3177" s="6"/>
      <c r="CI3177" s="6"/>
      <c r="CJ3177" s="6"/>
      <c r="CK3177" s="6"/>
      <c r="CL3177" s="6"/>
      <c r="CM3177" s="6"/>
      <c r="CN3177" s="6"/>
      <c r="CO3177" s="6"/>
      <c r="CP3177" s="6"/>
      <c r="CQ3177" s="6"/>
      <c r="CR3177" s="6"/>
      <c r="CS3177" s="6"/>
      <c r="CT3177" s="6"/>
      <c r="CU3177" s="6"/>
      <c r="CV3177" s="6"/>
      <c r="CW3177" s="6"/>
      <c r="CX3177" s="6"/>
      <c r="CY3177" s="6"/>
      <c r="CZ3177" s="6"/>
      <c r="DA3177" s="6"/>
      <c r="DB3177" s="6"/>
      <c r="DC3177" s="6"/>
      <c r="DD3177" s="6"/>
    </row>
    <row r="3178" spans="1:108" ht="12.75" hidden="1" customHeight="1" outlineLevel="5">
      <c r="A3178" s="104" t="s">
        <v>93</v>
      </c>
      <c r="B3178" s="37" t="e">
        <f>B3175/B3176</f>
        <v>#VALUE!</v>
      </c>
      <c r="C3178" s="11"/>
      <c r="D3178" s="18" t="e">
        <f>"&lt;" &amp; A3178 &amp; "&gt;" &amp; TEXT(B3178,"0.000000") &amp; "&lt;/" &amp; A3178 &amp; "&gt;"</f>
        <v>#VALUE!</v>
      </c>
      <c r="F3178" s="6"/>
      <c r="G3178" s="6"/>
      <c r="H3178" s="6"/>
      <c r="I3178" s="6"/>
      <c r="J3178" s="6"/>
      <c r="K3178" s="6"/>
      <c r="L3178" s="6"/>
      <c r="M3178" s="6"/>
      <c r="N3178" s="6"/>
      <c r="O3178" s="6"/>
      <c r="P3178" s="6"/>
      <c r="Q3178" s="6"/>
      <c r="R3178" s="6"/>
      <c r="S3178" s="6"/>
      <c r="T3178" s="6"/>
      <c r="U3178" s="6"/>
      <c r="V3178" s="6"/>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c r="BU3178" s="6"/>
      <c r="BV3178" s="6"/>
      <c r="BW3178" s="6"/>
      <c r="BX3178" s="6"/>
      <c r="BY3178" s="6"/>
      <c r="BZ3178" s="6"/>
      <c r="CA3178" s="6"/>
      <c r="CB3178" s="6"/>
      <c r="CC3178" s="6"/>
      <c r="CD3178" s="6"/>
      <c r="CE3178" s="6"/>
      <c r="CF3178" s="6"/>
      <c r="CG3178" s="6"/>
      <c r="CH3178" s="6"/>
      <c r="CI3178" s="6"/>
      <c r="CJ3178" s="6"/>
      <c r="CK3178" s="6"/>
      <c r="CL3178" s="6"/>
      <c r="CM3178" s="6"/>
      <c r="CN3178" s="6"/>
      <c r="CO3178" s="6"/>
      <c r="CP3178" s="6"/>
      <c r="CQ3178" s="6"/>
      <c r="CR3178" s="6"/>
      <c r="CS3178" s="6"/>
      <c r="CT3178" s="6"/>
      <c r="CU3178" s="6"/>
      <c r="CV3178" s="6"/>
      <c r="CW3178" s="6"/>
      <c r="CX3178" s="6"/>
      <c r="CY3178" s="6"/>
      <c r="CZ3178" s="6"/>
      <c r="DA3178" s="6"/>
      <c r="DB3178" s="6"/>
      <c r="DC3178" s="6"/>
      <c r="DD3178" s="6"/>
    </row>
    <row r="3179" spans="1:108" ht="12.75" hidden="1" customHeight="1" outlineLevel="5">
      <c r="A3179" s="104" t="s">
        <v>94</v>
      </c>
      <c r="B3179" s="28">
        <f t="shared" ref="B3179:B3184" si="185">B1580</f>
        <v>0</v>
      </c>
      <c r="C3179" s="11"/>
      <c r="D3179" s="18" t="str">
        <f>"&lt;" &amp; A3179 &amp; "&gt;" &amp; TEXT(B3179,"0.000000") &amp; "&lt;/" &amp; A3179 &amp; "&gt;"</f>
        <v>&lt;Sweep_Off&gt;0.000000&lt;/Sweep_Off&gt;</v>
      </c>
      <c r="F3179" s="6"/>
      <c r="G3179" s="6"/>
      <c r="H3179" s="6"/>
      <c r="I3179" s="6"/>
      <c r="J3179" s="6"/>
      <c r="K3179" s="6"/>
      <c r="L3179" s="6"/>
      <c r="M3179" s="6"/>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c r="BU3179" s="6"/>
      <c r="BV3179" s="6"/>
      <c r="BW3179" s="6"/>
      <c r="BX3179" s="6"/>
      <c r="BY3179" s="6"/>
      <c r="BZ3179" s="6"/>
      <c r="CA3179" s="6"/>
      <c r="CB3179" s="6"/>
      <c r="CC3179" s="6"/>
      <c r="CD3179" s="6"/>
      <c r="CE3179" s="6"/>
      <c r="CF3179" s="6"/>
      <c r="CG3179" s="6"/>
      <c r="CH3179" s="6"/>
      <c r="CI3179" s="6"/>
      <c r="CJ3179" s="6"/>
      <c r="CK3179" s="6"/>
      <c r="CL3179" s="6"/>
      <c r="CM3179" s="6"/>
      <c r="CN3179" s="6"/>
      <c r="CO3179" s="6"/>
      <c r="CP3179" s="6"/>
      <c r="CQ3179" s="6"/>
      <c r="CR3179" s="6"/>
      <c r="CS3179" s="6"/>
      <c r="CT3179" s="6"/>
      <c r="CU3179" s="6"/>
      <c r="CV3179" s="6"/>
      <c r="CW3179" s="6"/>
      <c r="CX3179" s="6"/>
      <c r="CY3179" s="6"/>
      <c r="CZ3179" s="6"/>
      <c r="DA3179" s="6"/>
      <c r="DB3179" s="6"/>
      <c r="DC3179" s="6"/>
      <c r="DD3179" s="6"/>
    </row>
    <row r="3180" spans="1:108" ht="12.75" hidden="1" customHeight="1" outlineLevel="5">
      <c r="A3180" s="104" t="s">
        <v>95</v>
      </c>
      <c r="B3180" s="28">
        <f t="shared" si="185"/>
        <v>9</v>
      </c>
      <c r="C3180" s="11"/>
      <c r="D3180" s="18" t="str">
        <f>"&lt;" &amp; A3180 &amp; "&gt;" &amp; TEXT(B3180,0) &amp; "&lt;/" &amp; A3180 &amp; "&gt;"</f>
        <v>&lt;Deg_Per_Seg&gt;9&lt;/Deg_Per_Seg&gt;</v>
      </c>
      <c r="F3180" s="6"/>
      <c r="G3180" s="6"/>
      <c r="H3180" s="6"/>
      <c r="I3180" s="6"/>
      <c r="J3180" s="6"/>
      <c r="K3180" s="6"/>
      <c r="L3180" s="6"/>
      <c r="M3180" s="6"/>
      <c r="N3180" s="6"/>
      <c r="O3180" s="6"/>
      <c r="P3180" s="6"/>
      <c r="Q3180" s="6"/>
      <c r="R3180" s="6"/>
      <c r="S3180" s="6"/>
      <c r="T3180" s="6"/>
      <c r="U3180" s="6"/>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c r="BU3180" s="6"/>
      <c r="BV3180" s="6"/>
      <c r="BW3180" s="6"/>
      <c r="BX3180" s="6"/>
      <c r="BY3180" s="6"/>
      <c r="BZ3180" s="6"/>
      <c r="CA3180" s="6"/>
      <c r="CB3180" s="6"/>
      <c r="CC3180" s="6"/>
      <c r="CD3180" s="6"/>
      <c r="CE3180" s="6"/>
      <c r="CF3180" s="6"/>
      <c r="CG3180" s="6"/>
      <c r="CH3180" s="6"/>
      <c r="CI3180" s="6"/>
      <c r="CJ3180" s="6"/>
      <c r="CK3180" s="6"/>
      <c r="CL3180" s="6"/>
      <c r="CM3180" s="6"/>
      <c r="CN3180" s="6"/>
      <c r="CO3180" s="6"/>
      <c r="CP3180" s="6"/>
      <c r="CQ3180" s="6"/>
      <c r="CR3180" s="6"/>
      <c r="CS3180" s="6"/>
      <c r="CT3180" s="6"/>
      <c r="CU3180" s="6"/>
      <c r="CV3180" s="6"/>
      <c r="CW3180" s="6"/>
      <c r="CX3180" s="6"/>
      <c r="CY3180" s="6"/>
      <c r="CZ3180" s="6"/>
      <c r="DA3180" s="6"/>
      <c r="DB3180" s="6"/>
      <c r="DC3180" s="6"/>
      <c r="DD3180" s="6"/>
    </row>
    <row r="3181" spans="1:108" ht="12.75" hidden="1" customHeight="1" outlineLevel="5">
      <c r="A3181" s="104" t="s">
        <v>96</v>
      </c>
      <c r="B3181" s="28">
        <f t="shared" si="185"/>
        <v>9</v>
      </c>
      <c r="C3181" s="11"/>
      <c r="D3181" s="18" t="str">
        <f>"&lt;" &amp; A3181 &amp; "&gt;" &amp; TEXT(B3181,0) &amp; "&lt;/" &amp; A3181 &amp; "&gt;"</f>
        <v>&lt;Max_Num_Seg&gt;9&lt;/Max_Num_Seg&gt;</v>
      </c>
      <c r="F3181" s="6"/>
      <c r="G3181" s="6"/>
      <c r="H3181" s="6"/>
      <c r="I3181" s="6"/>
      <c r="J3181" s="6"/>
      <c r="K3181" s="6"/>
      <c r="L3181" s="6"/>
      <c r="M3181" s="6"/>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c r="BU3181" s="6"/>
      <c r="BV3181" s="6"/>
      <c r="BW3181" s="6"/>
      <c r="BX3181" s="6"/>
      <c r="BY3181" s="6"/>
      <c r="BZ3181" s="6"/>
      <c r="CA3181" s="6"/>
      <c r="CB3181" s="6"/>
      <c r="CC3181" s="6"/>
      <c r="CD3181" s="6"/>
      <c r="CE3181" s="6"/>
      <c r="CF3181" s="6"/>
      <c r="CG3181" s="6"/>
      <c r="CH3181" s="6"/>
      <c r="CI3181" s="6"/>
      <c r="CJ3181" s="6"/>
      <c r="CK3181" s="6"/>
      <c r="CL3181" s="6"/>
      <c r="CM3181" s="6"/>
      <c r="CN3181" s="6"/>
      <c r="CO3181" s="6"/>
      <c r="CP3181" s="6"/>
      <c r="CQ3181" s="6"/>
      <c r="CR3181" s="6"/>
      <c r="CS3181" s="6"/>
      <c r="CT3181" s="6"/>
      <c r="CU3181" s="6"/>
      <c r="CV3181" s="6"/>
      <c r="CW3181" s="6"/>
      <c r="CX3181" s="6"/>
      <c r="CY3181" s="6"/>
      <c r="CZ3181" s="6"/>
      <c r="DA3181" s="6"/>
      <c r="DB3181" s="6"/>
      <c r="DC3181" s="6"/>
      <c r="DD3181" s="6"/>
    </row>
    <row r="3182" spans="1:108" ht="12.75" hidden="1" customHeight="1" outlineLevel="5">
      <c r="A3182" s="104" t="s">
        <v>97</v>
      </c>
      <c r="B3182" s="28">
        <f t="shared" si="185"/>
        <v>0</v>
      </c>
      <c r="C3182" s="11"/>
      <c r="D3182" s="18" t="str">
        <f>"&lt;" &amp; A3182 &amp; "&gt;" &amp; TEXT(B3182,0) &amp; "&lt;/" &amp; A3182 &amp; "&gt;"</f>
        <v>&lt;Rel_Dihedral_Flag&gt;0&lt;/Rel_Dihedral_Flag&gt;</v>
      </c>
      <c r="F3182" s="6"/>
      <c r="G3182" s="6"/>
      <c r="H3182" s="6"/>
      <c r="I3182" s="6"/>
      <c r="J3182" s="6"/>
      <c r="K3182" s="6"/>
      <c r="L3182" s="6"/>
      <c r="M3182" s="6"/>
      <c r="N3182" s="6"/>
      <c r="O3182" s="6"/>
      <c r="P3182" s="6"/>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c r="BU3182" s="6"/>
      <c r="BV3182" s="6"/>
      <c r="BW3182" s="6"/>
      <c r="BX3182" s="6"/>
      <c r="BY3182" s="6"/>
      <c r="BZ3182" s="6"/>
      <c r="CA3182" s="6"/>
      <c r="CB3182" s="6"/>
      <c r="CC3182" s="6"/>
      <c r="CD3182" s="6"/>
      <c r="CE3182" s="6"/>
      <c r="CF3182" s="6"/>
      <c r="CG3182" s="6"/>
      <c r="CH3182" s="6"/>
      <c r="CI3182" s="6"/>
      <c r="CJ3182" s="6"/>
      <c r="CK3182" s="6"/>
      <c r="CL3182" s="6"/>
      <c r="CM3182" s="6"/>
      <c r="CN3182" s="6"/>
      <c r="CO3182" s="6"/>
      <c r="CP3182" s="6"/>
      <c r="CQ3182" s="6"/>
      <c r="CR3182" s="6"/>
      <c r="CS3182" s="6"/>
      <c r="CT3182" s="6"/>
      <c r="CU3182" s="6"/>
      <c r="CV3182" s="6"/>
      <c r="CW3182" s="6"/>
      <c r="CX3182" s="6"/>
      <c r="CY3182" s="6"/>
      <c r="CZ3182" s="6"/>
      <c r="DA3182" s="6"/>
      <c r="DB3182" s="6"/>
      <c r="DC3182" s="6"/>
      <c r="DD3182" s="6"/>
    </row>
    <row r="3183" spans="1:108" ht="12.75" hidden="1" customHeight="1" outlineLevel="5">
      <c r="A3183" s="104" t="s">
        <v>98</v>
      </c>
      <c r="B3183" s="28">
        <f t="shared" si="185"/>
        <v>0</v>
      </c>
      <c r="C3183" s="11"/>
      <c r="D3183" s="18" t="str">
        <f>"&lt;" &amp; A3183 &amp; "&gt;" &amp; TEXT(B3183,0) &amp; "&lt;/" &amp; A3183 &amp; "&gt;"</f>
        <v>&lt;Rel_Twist_Flag&gt;0&lt;/Rel_Twist_Flag&gt;</v>
      </c>
      <c r="F3183" s="6"/>
      <c r="G3183" s="6"/>
      <c r="H3183" s="6"/>
      <c r="I3183" s="6"/>
      <c r="J3183" s="6"/>
      <c r="K3183" s="6"/>
      <c r="L3183" s="6"/>
      <c r="M3183" s="6"/>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c r="BU3183" s="6"/>
      <c r="BV3183" s="6"/>
      <c r="BW3183" s="6"/>
      <c r="BX3183" s="6"/>
      <c r="BY3183" s="6"/>
      <c r="BZ3183" s="6"/>
      <c r="CA3183" s="6"/>
      <c r="CB3183" s="6"/>
      <c r="CC3183" s="6"/>
      <c r="CD3183" s="6"/>
      <c r="CE3183" s="6"/>
      <c r="CF3183" s="6"/>
      <c r="CG3183" s="6"/>
      <c r="CH3183" s="6"/>
      <c r="CI3183" s="6"/>
      <c r="CJ3183" s="6"/>
      <c r="CK3183" s="6"/>
      <c r="CL3183" s="6"/>
      <c r="CM3183" s="6"/>
      <c r="CN3183" s="6"/>
      <c r="CO3183" s="6"/>
      <c r="CP3183" s="6"/>
      <c r="CQ3183" s="6"/>
      <c r="CR3183" s="6"/>
      <c r="CS3183" s="6"/>
      <c r="CT3183" s="6"/>
      <c r="CU3183" s="6"/>
      <c r="CV3183" s="6"/>
      <c r="CW3183" s="6"/>
      <c r="CX3183" s="6"/>
      <c r="CY3183" s="6"/>
      <c r="CZ3183" s="6"/>
      <c r="DA3183" s="6"/>
      <c r="DB3183" s="6"/>
      <c r="DC3183" s="6"/>
      <c r="DD3183" s="6"/>
    </row>
    <row r="3184" spans="1:108" ht="12.75" hidden="1" customHeight="1" outlineLevel="5">
      <c r="A3184" s="104" t="s">
        <v>99</v>
      </c>
      <c r="B3184" s="28">
        <f t="shared" si="185"/>
        <v>0</v>
      </c>
      <c r="C3184" s="11"/>
      <c r="D3184" s="18" t="str">
        <f>"&lt;" &amp; A3184 &amp; "&gt;" &amp; TEXT(B3184,0) &amp; "&lt;/" &amp; A3184 &amp; "&gt;"</f>
        <v>&lt;Round_End_Cap_Flag&gt;0&lt;/Round_End_Cap_Flag&gt;</v>
      </c>
      <c r="F3184" s="6"/>
      <c r="G3184" s="6"/>
      <c r="H3184" s="6"/>
      <c r="I3184" s="6"/>
      <c r="J3184" s="6"/>
      <c r="K3184" s="6"/>
      <c r="L3184" s="6"/>
      <c r="M3184" s="6"/>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c r="BU3184" s="6"/>
      <c r="BV3184" s="6"/>
      <c r="BW3184" s="6"/>
      <c r="BX3184" s="6"/>
      <c r="BY3184" s="6"/>
      <c r="BZ3184" s="6"/>
      <c r="CA3184" s="6"/>
      <c r="CB3184" s="6"/>
      <c r="CC3184" s="6"/>
      <c r="CD3184" s="6"/>
      <c r="CE3184" s="6"/>
      <c r="CF3184" s="6"/>
      <c r="CG3184" s="6"/>
      <c r="CH3184" s="6"/>
      <c r="CI3184" s="6"/>
      <c r="CJ3184" s="6"/>
      <c r="CK3184" s="6"/>
      <c r="CL3184" s="6"/>
      <c r="CM3184" s="6"/>
      <c r="CN3184" s="6"/>
      <c r="CO3184" s="6"/>
      <c r="CP3184" s="6"/>
      <c r="CQ3184" s="6"/>
      <c r="CR3184" s="6"/>
      <c r="CS3184" s="6"/>
      <c r="CT3184" s="6"/>
      <c r="CU3184" s="6"/>
      <c r="CV3184" s="6"/>
      <c r="CW3184" s="6"/>
      <c r="CX3184" s="6"/>
      <c r="CY3184" s="6"/>
      <c r="CZ3184" s="6"/>
      <c r="DA3184" s="6"/>
      <c r="DB3184" s="6"/>
      <c r="DC3184" s="6"/>
      <c r="DD3184" s="6"/>
    </row>
    <row r="3185" spans="1:108" ht="12.75" hidden="1" customHeight="1" outlineLevel="5">
      <c r="A3185" s="104" t="s">
        <v>100</v>
      </c>
      <c r="B3185" s="100"/>
      <c r="C3185" s="11"/>
      <c r="D3185" s="6" t="str">
        <f>"&lt;" &amp; A3185 &amp; "&gt;"</f>
        <v>&lt;/Mswing_Parms&gt;</v>
      </c>
      <c r="F3185" s="6"/>
      <c r="G3185" s="6"/>
      <c r="H3185" s="6"/>
      <c r="I3185" s="6"/>
      <c r="J3185" s="6"/>
      <c r="K3185" s="6"/>
      <c r="L3185" s="6"/>
      <c r="M3185" s="6"/>
      <c r="N3185" s="6"/>
      <c r="O3185" s="6"/>
      <c r="P3185" s="6"/>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c r="BU3185" s="6"/>
      <c r="BV3185" s="6"/>
      <c r="BW3185" s="6"/>
      <c r="BX3185" s="6"/>
      <c r="BY3185" s="6"/>
      <c r="BZ3185" s="6"/>
      <c r="CA3185" s="6"/>
      <c r="CB3185" s="6"/>
      <c r="CC3185" s="6"/>
      <c r="CD3185" s="6"/>
      <c r="CE3185" s="6"/>
      <c r="CF3185" s="6"/>
      <c r="CG3185" s="6"/>
      <c r="CH3185" s="6"/>
      <c r="CI3185" s="6"/>
      <c r="CJ3185" s="6"/>
      <c r="CK3185" s="6"/>
      <c r="CL3185" s="6"/>
      <c r="CM3185" s="6"/>
      <c r="CN3185" s="6"/>
      <c r="CO3185" s="6"/>
      <c r="CP3185" s="6"/>
      <c r="CQ3185" s="6"/>
      <c r="CR3185" s="6"/>
      <c r="CS3185" s="6"/>
      <c r="CT3185" s="6"/>
      <c r="CU3185" s="6"/>
      <c r="CV3185" s="6"/>
      <c r="CW3185" s="6"/>
      <c r="CX3185" s="6"/>
      <c r="CY3185" s="6"/>
      <c r="CZ3185" s="6"/>
      <c r="DA3185" s="6"/>
      <c r="DB3185" s="6"/>
      <c r="DC3185" s="6"/>
      <c r="DD3185" s="6"/>
    </row>
    <row r="3186" spans="1:108" ht="12.75" hidden="1" customHeight="1" outlineLevel="4" collapsed="1">
      <c r="A3186" s="104" t="s">
        <v>101</v>
      </c>
      <c r="B3186" s="100"/>
      <c r="C3186" s="11"/>
      <c r="D3186" s="6" t="str">
        <f>"&lt;" &amp; A3186 &amp; "&gt;"</f>
        <v>&lt;Airfoil_List&gt;</v>
      </c>
      <c r="F3186" s="6"/>
      <c r="G3186" s="6"/>
      <c r="H3186" s="6"/>
      <c r="I3186" s="6"/>
      <c r="J3186" s="6"/>
      <c r="K3186" s="6"/>
      <c r="L3186" s="6"/>
      <c r="M3186" s="6"/>
      <c r="N3186" s="6"/>
      <c r="O3186" s="6"/>
      <c r="P3186" s="6"/>
      <c r="Q3186" s="6"/>
      <c r="R3186" s="6"/>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c r="BU3186" s="6"/>
      <c r="BV3186" s="6"/>
      <c r="BW3186" s="6"/>
      <c r="BX3186" s="6"/>
      <c r="BY3186" s="6"/>
      <c r="BZ3186" s="6"/>
      <c r="CA3186" s="6"/>
      <c r="CB3186" s="6"/>
      <c r="CC3186" s="6"/>
      <c r="CD3186" s="6"/>
      <c r="CE3186" s="6"/>
      <c r="CF3186" s="6"/>
      <c r="CG3186" s="6"/>
      <c r="CH3186" s="6"/>
      <c r="CI3186" s="6"/>
      <c r="CJ3186" s="6"/>
      <c r="CK3186" s="6"/>
      <c r="CL3186" s="6"/>
      <c r="CM3186" s="6"/>
      <c r="CN3186" s="6"/>
      <c r="CO3186" s="6"/>
      <c r="CP3186" s="6"/>
      <c r="CQ3186" s="6"/>
      <c r="CR3186" s="6"/>
      <c r="CS3186" s="6"/>
      <c r="CT3186" s="6"/>
      <c r="CU3186" s="6"/>
      <c r="CV3186" s="6"/>
      <c r="CW3186" s="6"/>
      <c r="CX3186" s="6"/>
      <c r="CY3186" s="6"/>
      <c r="CZ3186" s="6"/>
      <c r="DA3186" s="6"/>
      <c r="DB3186" s="6"/>
      <c r="DC3186" s="6"/>
      <c r="DD3186" s="6"/>
    </row>
    <row r="3187" spans="1:108" ht="12.75" hidden="1" customHeight="1" outlineLevel="5" collapsed="1">
      <c r="A3187" s="104" t="s">
        <v>2</v>
      </c>
      <c r="B3187" s="100"/>
      <c r="C3187" s="11"/>
      <c r="D3187" s="6" t="str">
        <f>"&lt;" &amp; A3187 &amp; "&gt;"</f>
        <v>&lt;Airfoil&gt;</v>
      </c>
      <c r="F3187" s="6"/>
      <c r="G3187" s="6"/>
      <c r="H3187" s="6"/>
      <c r="I3187" s="6"/>
      <c r="J3187" s="6"/>
      <c r="K3187" s="6"/>
      <c r="L3187" s="6"/>
      <c r="M3187" s="6"/>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c r="BU3187" s="6"/>
      <c r="BV3187" s="6"/>
      <c r="BW3187" s="6"/>
      <c r="BX3187" s="6"/>
      <c r="BY3187" s="6"/>
      <c r="BZ3187" s="6"/>
      <c r="CA3187" s="6"/>
      <c r="CB3187" s="6"/>
      <c r="CC3187" s="6"/>
      <c r="CD3187" s="6"/>
      <c r="CE3187" s="6"/>
      <c r="CF3187" s="6"/>
      <c r="CG3187" s="6"/>
      <c r="CH3187" s="6"/>
      <c r="CI3187" s="6"/>
      <c r="CJ3187" s="6"/>
      <c r="CK3187" s="6"/>
      <c r="CL3187" s="6"/>
      <c r="CM3187" s="6"/>
      <c r="CN3187" s="6"/>
      <c r="CO3187" s="6"/>
      <c r="CP3187" s="6"/>
      <c r="CQ3187" s="6"/>
      <c r="CR3187" s="6"/>
      <c r="CS3187" s="6"/>
      <c r="CT3187" s="6"/>
      <c r="CU3187" s="6"/>
      <c r="CV3187" s="6"/>
      <c r="CW3187" s="6"/>
      <c r="CX3187" s="6"/>
      <c r="CY3187" s="6"/>
      <c r="CZ3187" s="6"/>
      <c r="DA3187" s="6"/>
      <c r="DB3187" s="6"/>
      <c r="DC3187" s="6"/>
      <c r="DD3187" s="6"/>
    </row>
    <row r="3188" spans="1:108" ht="12.75" hidden="1" customHeight="1" outlineLevel="6">
      <c r="A3188" s="104" t="s">
        <v>14</v>
      </c>
      <c r="B3188" s="28">
        <f t="shared" ref="B3188:B3206" si="186">B1589</f>
        <v>1</v>
      </c>
      <c r="C3188" s="11"/>
      <c r="D3188" s="18" t="str">
        <f>"&lt;" &amp; A3188 &amp; "&gt;" &amp; TEXT(B3188,0) &amp; "&lt;/" &amp; A3188 &amp; "&gt;"</f>
        <v>&lt;Type&gt;1&lt;/Type&gt;</v>
      </c>
      <c r="F3188" s="6"/>
      <c r="G3188" s="6"/>
      <c r="H3188" s="6"/>
      <c r="I3188" s="6"/>
      <c r="J3188" s="6"/>
      <c r="K3188" s="6"/>
      <c r="L3188" s="6"/>
      <c r="M3188" s="6"/>
      <c r="N3188" s="6"/>
      <c r="O3188" s="6"/>
      <c r="P3188" s="6"/>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c r="BU3188" s="6"/>
      <c r="BV3188" s="6"/>
      <c r="BW3188" s="6"/>
      <c r="BX3188" s="6"/>
      <c r="BY3188" s="6"/>
      <c r="BZ3188" s="6"/>
      <c r="CA3188" s="6"/>
      <c r="CB3188" s="6"/>
      <c r="CC3188" s="6"/>
      <c r="CD3188" s="6"/>
      <c r="CE3188" s="6"/>
      <c r="CF3188" s="6"/>
      <c r="CG3188" s="6"/>
      <c r="CH3188" s="6"/>
      <c r="CI3188" s="6"/>
      <c r="CJ3188" s="6"/>
      <c r="CK3188" s="6"/>
      <c r="CL3188" s="6"/>
      <c r="CM3188" s="6"/>
      <c r="CN3188" s="6"/>
      <c r="CO3188" s="6"/>
      <c r="CP3188" s="6"/>
      <c r="CQ3188" s="6"/>
      <c r="CR3188" s="6"/>
      <c r="CS3188" s="6"/>
      <c r="CT3188" s="6"/>
      <c r="CU3188" s="6"/>
      <c r="CV3188" s="6"/>
      <c r="CW3188" s="6"/>
      <c r="CX3188" s="6"/>
      <c r="CY3188" s="6"/>
      <c r="CZ3188" s="6"/>
      <c r="DA3188" s="6"/>
      <c r="DB3188" s="6"/>
      <c r="DC3188" s="6"/>
      <c r="DD3188" s="6"/>
    </row>
    <row r="3189" spans="1:108" ht="12.75" hidden="1" customHeight="1" outlineLevel="6">
      <c r="A3189" s="104" t="s">
        <v>102</v>
      </c>
      <c r="B3189" s="28">
        <f t="shared" si="186"/>
        <v>0</v>
      </c>
      <c r="C3189" s="11"/>
      <c r="D3189" s="18" t="str">
        <f>"&lt;" &amp; A3189 &amp; "&gt;" &amp; TEXT(B3189,0) &amp; "&lt;/" &amp; A3189 &amp; "&gt;"</f>
        <v>&lt;Inverted_Flag&gt;0&lt;/Inverted_Flag&gt;</v>
      </c>
      <c r="F3189" s="6"/>
      <c r="G3189" s="6"/>
      <c r="H3189" s="6"/>
      <c r="I3189" s="6"/>
      <c r="J3189" s="6"/>
      <c r="K3189" s="6"/>
      <c r="L3189" s="6"/>
      <c r="M3189" s="6"/>
      <c r="N3189" s="6"/>
      <c r="O3189" s="6"/>
      <c r="P3189" s="6"/>
      <c r="Q3189" s="6"/>
      <c r="R3189" s="6"/>
      <c r="S3189" s="6"/>
      <c r="T3189" s="6"/>
      <c r="U3189" s="6"/>
      <c r="V3189" s="6"/>
      <c r="W3189" s="6"/>
      <c r="X3189" s="6"/>
      <c r="Y3189" s="6"/>
      <c r="Z3189" s="6"/>
      <c r="AA3189" s="6"/>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c r="BU3189" s="6"/>
      <c r="BV3189" s="6"/>
      <c r="BW3189" s="6"/>
      <c r="BX3189" s="6"/>
      <c r="BY3189" s="6"/>
      <c r="BZ3189" s="6"/>
      <c r="CA3189" s="6"/>
      <c r="CB3189" s="6"/>
      <c r="CC3189" s="6"/>
      <c r="CD3189" s="6"/>
      <c r="CE3189" s="6"/>
      <c r="CF3189" s="6"/>
      <c r="CG3189" s="6"/>
      <c r="CH3189" s="6"/>
      <c r="CI3189" s="6"/>
      <c r="CJ3189" s="6"/>
      <c r="CK3189" s="6"/>
      <c r="CL3189" s="6"/>
      <c r="CM3189" s="6"/>
      <c r="CN3189" s="6"/>
      <c r="CO3189" s="6"/>
      <c r="CP3189" s="6"/>
      <c r="CQ3189" s="6"/>
      <c r="CR3189" s="6"/>
      <c r="CS3189" s="6"/>
      <c r="CT3189" s="6"/>
      <c r="CU3189" s="6"/>
      <c r="CV3189" s="6"/>
      <c r="CW3189" s="6"/>
      <c r="CX3189" s="6"/>
      <c r="CY3189" s="6"/>
      <c r="CZ3189" s="6"/>
      <c r="DA3189" s="6"/>
      <c r="DB3189" s="6"/>
      <c r="DC3189" s="6"/>
      <c r="DD3189" s="6"/>
    </row>
    <row r="3190" spans="1:108" ht="12.75" hidden="1" customHeight="1" outlineLevel="6">
      <c r="A3190" s="104" t="s">
        <v>4</v>
      </c>
      <c r="B3190" s="28">
        <f t="shared" si="186"/>
        <v>0</v>
      </c>
      <c r="C3190" s="11"/>
      <c r="D3190" s="18" t="str">
        <f t="shared" ref="D3190:D3195" si="187">"&lt;" &amp; A3190 &amp; "&gt;" &amp; TEXT(B3190,"0.000000") &amp; "&lt;/" &amp; A3190 &amp; "&gt;"</f>
        <v>&lt;Camber&gt;0.000000&lt;/Camber&gt;</v>
      </c>
      <c r="F3190" s="6"/>
      <c r="G3190" s="6"/>
      <c r="H3190" s="6"/>
      <c r="I3190" s="6"/>
      <c r="J3190" s="6"/>
      <c r="K3190" s="6"/>
      <c r="L3190" s="6"/>
      <c r="M3190" s="6"/>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c r="BU3190" s="6"/>
      <c r="BV3190" s="6"/>
      <c r="BW3190" s="6"/>
      <c r="BX3190" s="6"/>
      <c r="BY3190" s="6"/>
      <c r="BZ3190" s="6"/>
      <c r="CA3190" s="6"/>
      <c r="CB3190" s="6"/>
      <c r="CC3190" s="6"/>
      <c r="CD3190" s="6"/>
      <c r="CE3190" s="6"/>
      <c r="CF3190" s="6"/>
      <c r="CG3190" s="6"/>
      <c r="CH3190" s="6"/>
      <c r="CI3190" s="6"/>
      <c r="CJ3190" s="6"/>
      <c r="CK3190" s="6"/>
      <c r="CL3190" s="6"/>
      <c r="CM3190" s="6"/>
      <c r="CN3190" s="6"/>
      <c r="CO3190" s="6"/>
      <c r="CP3190" s="6"/>
      <c r="CQ3190" s="6"/>
      <c r="CR3190" s="6"/>
      <c r="CS3190" s="6"/>
      <c r="CT3190" s="6"/>
      <c r="CU3190" s="6"/>
      <c r="CV3190" s="6"/>
      <c r="CW3190" s="6"/>
      <c r="CX3190" s="6"/>
      <c r="CY3190" s="6"/>
      <c r="CZ3190" s="6"/>
      <c r="DA3190" s="6"/>
      <c r="DB3190" s="6"/>
      <c r="DC3190" s="6"/>
      <c r="DD3190" s="6"/>
    </row>
    <row r="3191" spans="1:108" ht="12.75" hidden="1" customHeight="1" outlineLevel="6">
      <c r="A3191" s="104" t="s">
        <v>103</v>
      </c>
      <c r="B3191" s="28">
        <f t="shared" si="186"/>
        <v>0.5</v>
      </c>
      <c r="C3191" s="11"/>
      <c r="D3191" s="18" t="str">
        <f t="shared" si="187"/>
        <v>&lt;Camber_Loc&gt;0.500000&lt;/Camber_Loc&gt;</v>
      </c>
      <c r="F3191" s="6"/>
      <c r="G3191" s="6"/>
      <c r="H3191" s="6"/>
      <c r="I3191" s="6"/>
      <c r="J3191" s="6"/>
      <c r="K3191" s="6"/>
      <c r="L3191" s="6"/>
      <c r="M3191" s="6"/>
      <c r="N3191" s="6"/>
      <c r="O3191" s="6"/>
      <c r="P3191" s="6"/>
      <c r="Q3191" s="6"/>
      <c r="R3191" s="6"/>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c r="BU3191" s="6"/>
      <c r="BV3191" s="6"/>
      <c r="BW3191" s="6"/>
      <c r="BX3191" s="6"/>
      <c r="BY3191" s="6"/>
      <c r="BZ3191" s="6"/>
      <c r="CA3191" s="6"/>
      <c r="CB3191" s="6"/>
      <c r="CC3191" s="6"/>
      <c r="CD3191" s="6"/>
      <c r="CE3191" s="6"/>
      <c r="CF3191" s="6"/>
      <c r="CG3191" s="6"/>
      <c r="CH3191" s="6"/>
      <c r="CI3191" s="6"/>
      <c r="CJ3191" s="6"/>
      <c r="CK3191" s="6"/>
      <c r="CL3191" s="6"/>
      <c r="CM3191" s="6"/>
      <c r="CN3191" s="6"/>
      <c r="CO3191" s="6"/>
      <c r="CP3191" s="6"/>
      <c r="CQ3191" s="6"/>
      <c r="CR3191" s="6"/>
      <c r="CS3191" s="6"/>
      <c r="CT3191" s="6"/>
      <c r="CU3191" s="6"/>
      <c r="CV3191" s="6"/>
      <c r="CW3191" s="6"/>
      <c r="CX3191" s="6"/>
      <c r="CY3191" s="6"/>
      <c r="CZ3191" s="6"/>
      <c r="DA3191" s="6"/>
      <c r="DB3191" s="6"/>
      <c r="DC3191" s="6"/>
      <c r="DD3191" s="6"/>
    </row>
    <row r="3192" spans="1:108" ht="12.75" hidden="1" customHeight="1" outlineLevel="6">
      <c r="A3192" s="104" t="s">
        <v>5</v>
      </c>
      <c r="B3192" s="28">
        <f t="shared" si="186"/>
        <v>0.08</v>
      </c>
      <c r="C3192" s="11"/>
      <c r="D3192" s="18" t="str">
        <f t="shared" si="187"/>
        <v>&lt;Thickness&gt;0.080000&lt;/Thickness&gt;</v>
      </c>
      <c r="F3192" s="6"/>
      <c r="G3192" s="6"/>
      <c r="H3192" s="6"/>
      <c r="I3192" s="6"/>
      <c r="J3192" s="6"/>
      <c r="K3192" s="6"/>
      <c r="L3192" s="6"/>
      <c r="M3192" s="6"/>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c r="BU3192" s="6"/>
      <c r="BV3192" s="6"/>
      <c r="BW3192" s="6"/>
      <c r="BX3192" s="6"/>
      <c r="BY3192" s="6"/>
      <c r="BZ3192" s="6"/>
      <c r="CA3192" s="6"/>
      <c r="CB3192" s="6"/>
      <c r="CC3192" s="6"/>
      <c r="CD3192" s="6"/>
      <c r="CE3192" s="6"/>
      <c r="CF3192" s="6"/>
      <c r="CG3192" s="6"/>
      <c r="CH3192" s="6"/>
      <c r="CI3192" s="6"/>
      <c r="CJ3192" s="6"/>
      <c r="CK3192" s="6"/>
      <c r="CL3192" s="6"/>
      <c r="CM3192" s="6"/>
      <c r="CN3192" s="6"/>
      <c r="CO3192" s="6"/>
      <c r="CP3192" s="6"/>
      <c r="CQ3192" s="6"/>
      <c r="CR3192" s="6"/>
      <c r="CS3192" s="6"/>
      <c r="CT3192" s="6"/>
      <c r="CU3192" s="6"/>
      <c r="CV3192" s="6"/>
      <c r="CW3192" s="6"/>
      <c r="CX3192" s="6"/>
      <c r="CY3192" s="6"/>
      <c r="CZ3192" s="6"/>
      <c r="DA3192" s="6"/>
      <c r="DB3192" s="6"/>
      <c r="DC3192" s="6"/>
      <c r="DD3192" s="6"/>
    </row>
    <row r="3193" spans="1:108" ht="12.75" hidden="1" customHeight="1" outlineLevel="6">
      <c r="A3193" s="104" t="s">
        <v>104</v>
      </c>
      <c r="B3193" s="28">
        <f t="shared" si="186"/>
        <v>0.3</v>
      </c>
      <c r="C3193" s="11"/>
      <c r="D3193" s="18" t="str">
        <f t="shared" si="187"/>
        <v>&lt;Thickness_Loc&gt;0.300000&lt;/Thickness_Loc&gt;</v>
      </c>
      <c r="F3193" s="6"/>
      <c r="G3193" s="6"/>
      <c r="H3193" s="6"/>
      <c r="I3193" s="6"/>
      <c r="J3193" s="6"/>
      <c r="K3193" s="6"/>
      <c r="L3193" s="6"/>
      <c r="M3193" s="6"/>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c r="BU3193" s="6"/>
      <c r="BV3193" s="6"/>
      <c r="BW3193" s="6"/>
      <c r="BX3193" s="6"/>
      <c r="BY3193" s="6"/>
      <c r="BZ3193" s="6"/>
      <c r="CA3193" s="6"/>
      <c r="CB3193" s="6"/>
      <c r="CC3193" s="6"/>
      <c r="CD3193" s="6"/>
      <c r="CE3193" s="6"/>
      <c r="CF3193" s="6"/>
      <c r="CG3193" s="6"/>
      <c r="CH3193" s="6"/>
      <c r="CI3193" s="6"/>
      <c r="CJ3193" s="6"/>
      <c r="CK3193" s="6"/>
      <c r="CL3193" s="6"/>
      <c r="CM3193" s="6"/>
      <c r="CN3193" s="6"/>
      <c r="CO3193" s="6"/>
      <c r="CP3193" s="6"/>
      <c r="CQ3193" s="6"/>
      <c r="CR3193" s="6"/>
      <c r="CS3193" s="6"/>
      <c r="CT3193" s="6"/>
      <c r="CU3193" s="6"/>
      <c r="CV3193" s="6"/>
      <c r="CW3193" s="6"/>
      <c r="CX3193" s="6"/>
      <c r="CY3193" s="6"/>
      <c r="CZ3193" s="6"/>
      <c r="DA3193" s="6"/>
      <c r="DB3193" s="6"/>
      <c r="DC3193" s="6"/>
      <c r="DD3193" s="6"/>
    </row>
    <row r="3194" spans="1:108" ht="12.75" hidden="1" customHeight="1" outlineLevel="6">
      <c r="A3194" s="104" t="s">
        <v>105</v>
      </c>
      <c r="B3194" s="28">
        <f t="shared" si="186"/>
        <v>7.0520000000000001E-3</v>
      </c>
      <c r="C3194" s="11"/>
      <c r="D3194" s="18" t="str">
        <f t="shared" si="187"/>
        <v>&lt;Radius_Le&gt;0.007052&lt;/Radius_Le&gt;</v>
      </c>
      <c r="F3194" s="6"/>
      <c r="G3194" s="6"/>
      <c r="H3194" s="6"/>
      <c r="I3194" s="6"/>
      <c r="J3194" s="6"/>
      <c r="K3194" s="6"/>
      <c r="L3194" s="6"/>
      <c r="M3194" s="6"/>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c r="BU3194" s="6"/>
      <c r="BV3194" s="6"/>
      <c r="BW3194" s="6"/>
      <c r="BX3194" s="6"/>
      <c r="BY3194" s="6"/>
      <c r="BZ3194" s="6"/>
      <c r="CA3194" s="6"/>
      <c r="CB3194" s="6"/>
      <c r="CC3194" s="6"/>
      <c r="CD3194" s="6"/>
      <c r="CE3194" s="6"/>
      <c r="CF3194" s="6"/>
      <c r="CG3194" s="6"/>
      <c r="CH3194" s="6"/>
      <c r="CI3194" s="6"/>
      <c r="CJ3194" s="6"/>
      <c r="CK3194" s="6"/>
      <c r="CL3194" s="6"/>
      <c r="CM3194" s="6"/>
      <c r="CN3194" s="6"/>
      <c r="CO3194" s="6"/>
      <c r="CP3194" s="6"/>
      <c r="CQ3194" s="6"/>
      <c r="CR3194" s="6"/>
      <c r="CS3194" s="6"/>
      <c r="CT3194" s="6"/>
      <c r="CU3194" s="6"/>
      <c r="CV3194" s="6"/>
      <c r="CW3194" s="6"/>
      <c r="CX3194" s="6"/>
      <c r="CY3194" s="6"/>
      <c r="CZ3194" s="6"/>
      <c r="DA3194" s="6"/>
      <c r="DB3194" s="6"/>
      <c r="DC3194" s="6"/>
      <c r="DD3194" s="6"/>
    </row>
    <row r="3195" spans="1:108" ht="12.75" hidden="1" customHeight="1" outlineLevel="6">
      <c r="A3195" s="104" t="s">
        <v>106</v>
      </c>
      <c r="B3195" s="28">
        <f t="shared" si="186"/>
        <v>0</v>
      </c>
      <c r="C3195" s="11"/>
      <c r="D3195" s="18" t="str">
        <f t="shared" si="187"/>
        <v>&lt;Radius_Te&gt;0.000000&lt;/Radius_Te&gt;</v>
      </c>
      <c r="F3195" s="6"/>
      <c r="G3195" s="6"/>
      <c r="H3195" s="6"/>
      <c r="I3195" s="6"/>
      <c r="J3195" s="6"/>
      <c r="K3195" s="6"/>
      <c r="L3195" s="6"/>
      <c r="M3195" s="6"/>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c r="BU3195" s="6"/>
      <c r="BV3195" s="6"/>
      <c r="BW3195" s="6"/>
      <c r="BX3195" s="6"/>
      <c r="BY3195" s="6"/>
      <c r="BZ3195" s="6"/>
      <c r="CA3195" s="6"/>
      <c r="CB3195" s="6"/>
      <c r="CC3195" s="6"/>
      <c r="CD3195" s="6"/>
      <c r="CE3195" s="6"/>
      <c r="CF3195" s="6"/>
      <c r="CG3195" s="6"/>
      <c r="CH3195" s="6"/>
      <c r="CI3195" s="6"/>
      <c r="CJ3195" s="6"/>
      <c r="CK3195" s="6"/>
      <c r="CL3195" s="6"/>
      <c r="CM3195" s="6"/>
      <c r="CN3195" s="6"/>
      <c r="CO3195" s="6"/>
      <c r="CP3195" s="6"/>
      <c r="CQ3195" s="6"/>
      <c r="CR3195" s="6"/>
      <c r="CS3195" s="6"/>
      <c r="CT3195" s="6"/>
      <c r="CU3195" s="6"/>
      <c r="CV3195" s="6"/>
      <c r="CW3195" s="6"/>
      <c r="CX3195" s="6"/>
      <c r="CY3195" s="6"/>
      <c r="CZ3195" s="6"/>
      <c r="DA3195" s="6"/>
      <c r="DB3195" s="6"/>
      <c r="DC3195" s="6"/>
      <c r="DD3195" s="6"/>
    </row>
    <row r="3196" spans="1:108" ht="12.75" hidden="1" customHeight="1" outlineLevel="6">
      <c r="A3196" s="104" t="s">
        <v>107</v>
      </c>
      <c r="B3196" s="28">
        <f t="shared" si="186"/>
        <v>63</v>
      </c>
      <c r="C3196" s="11"/>
      <c r="D3196" s="18" t="str">
        <f>"&lt;" &amp; A3196 &amp; "&gt;" &amp; TEXT(B3196,0) &amp; "&lt;/" &amp; A3196 &amp; "&gt;"</f>
        <v>&lt;Six_Series&gt;63&lt;/Six_Series&gt;</v>
      </c>
      <c r="F3196" s="6"/>
      <c r="G3196" s="6"/>
      <c r="H3196" s="6"/>
      <c r="I3196" s="6"/>
      <c r="J3196" s="6"/>
      <c r="K3196" s="6"/>
      <c r="L3196" s="6"/>
      <c r="M3196" s="6"/>
      <c r="N3196" s="6"/>
      <c r="O3196" s="6"/>
      <c r="P3196" s="6"/>
      <c r="Q3196" s="6"/>
      <c r="R3196" s="6"/>
      <c r="S3196" s="6"/>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c r="BU3196" s="6"/>
      <c r="BV3196" s="6"/>
      <c r="BW3196" s="6"/>
      <c r="BX3196" s="6"/>
      <c r="BY3196" s="6"/>
      <c r="BZ3196" s="6"/>
      <c r="CA3196" s="6"/>
      <c r="CB3196" s="6"/>
      <c r="CC3196" s="6"/>
      <c r="CD3196" s="6"/>
      <c r="CE3196" s="6"/>
      <c r="CF3196" s="6"/>
      <c r="CG3196" s="6"/>
      <c r="CH3196" s="6"/>
      <c r="CI3196" s="6"/>
      <c r="CJ3196" s="6"/>
      <c r="CK3196" s="6"/>
      <c r="CL3196" s="6"/>
      <c r="CM3196" s="6"/>
      <c r="CN3196" s="6"/>
      <c r="CO3196" s="6"/>
      <c r="CP3196" s="6"/>
      <c r="CQ3196" s="6"/>
      <c r="CR3196" s="6"/>
      <c r="CS3196" s="6"/>
      <c r="CT3196" s="6"/>
      <c r="CU3196" s="6"/>
      <c r="CV3196" s="6"/>
      <c r="CW3196" s="6"/>
      <c r="CX3196" s="6"/>
      <c r="CY3196" s="6"/>
      <c r="CZ3196" s="6"/>
      <c r="DA3196" s="6"/>
      <c r="DB3196" s="6"/>
      <c r="DC3196" s="6"/>
      <c r="DD3196" s="6"/>
    </row>
    <row r="3197" spans="1:108" ht="12.75" hidden="1" customHeight="1" outlineLevel="6">
      <c r="A3197" s="104" t="s">
        <v>108</v>
      </c>
      <c r="B3197" s="28">
        <f t="shared" si="186"/>
        <v>0</v>
      </c>
      <c r="C3197" s="11"/>
      <c r="D3197" s="18" t="str">
        <f>"&lt;" &amp; A3197 &amp; "&gt;" &amp; TEXT(B3197,"0.000000") &amp; "&lt;/" &amp; A3197 &amp; "&gt;"</f>
        <v>&lt;Ideal_Cl&gt;0.000000&lt;/Ideal_Cl&gt;</v>
      </c>
      <c r="F3197" s="6"/>
      <c r="G3197" s="6"/>
      <c r="H3197" s="6"/>
      <c r="I3197" s="6"/>
      <c r="J3197" s="6"/>
      <c r="K3197" s="6"/>
      <c r="L3197" s="6"/>
      <c r="M3197" s="6"/>
      <c r="N3197" s="6"/>
      <c r="O3197" s="6"/>
      <c r="P3197" s="6"/>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c r="BU3197" s="6"/>
      <c r="BV3197" s="6"/>
      <c r="BW3197" s="6"/>
      <c r="BX3197" s="6"/>
      <c r="BY3197" s="6"/>
      <c r="BZ3197" s="6"/>
      <c r="CA3197" s="6"/>
      <c r="CB3197" s="6"/>
      <c r="CC3197" s="6"/>
      <c r="CD3197" s="6"/>
      <c r="CE3197" s="6"/>
      <c r="CF3197" s="6"/>
      <c r="CG3197" s="6"/>
      <c r="CH3197" s="6"/>
      <c r="CI3197" s="6"/>
      <c r="CJ3197" s="6"/>
      <c r="CK3197" s="6"/>
      <c r="CL3197" s="6"/>
      <c r="CM3197" s="6"/>
      <c r="CN3197" s="6"/>
      <c r="CO3197" s="6"/>
      <c r="CP3197" s="6"/>
      <c r="CQ3197" s="6"/>
      <c r="CR3197" s="6"/>
      <c r="CS3197" s="6"/>
      <c r="CT3197" s="6"/>
      <c r="CU3197" s="6"/>
      <c r="CV3197" s="6"/>
      <c r="CW3197" s="6"/>
      <c r="CX3197" s="6"/>
      <c r="CY3197" s="6"/>
      <c r="CZ3197" s="6"/>
      <c r="DA3197" s="6"/>
      <c r="DB3197" s="6"/>
      <c r="DC3197" s="6"/>
      <c r="DD3197" s="6"/>
    </row>
    <row r="3198" spans="1:108" ht="12.75" hidden="1" customHeight="1" outlineLevel="6">
      <c r="A3198" s="104" t="s">
        <v>109</v>
      </c>
      <c r="B3198" s="28">
        <f t="shared" si="186"/>
        <v>0</v>
      </c>
      <c r="C3198" s="11"/>
      <c r="D3198" s="18" t="str">
        <f>"&lt;" &amp; A3198 &amp; "&gt;" &amp; TEXT(B3198,"0.000000") &amp; "&lt;/" &amp; A3198 &amp; "&gt;"</f>
        <v>&lt;A&gt;0.000000&lt;/A&gt;</v>
      </c>
      <c r="F3198" s="6"/>
      <c r="G3198" s="6"/>
      <c r="H3198" s="6"/>
      <c r="I3198" s="6"/>
      <c r="J3198" s="6"/>
      <c r="K3198" s="6"/>
      <c r="L3198" s="6"/>
      <c r="M3198" s="6"/>
      <c r="N3198" s="6"/>
      <c r="O3198" s="6"/>
      <c r="P3198" s="6"/>
      <c r="Q3198" s="6"/>
      <c r="R3198" s="6"/>
      <c r="S3198" s="6"/>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c r="BU3198" s="6"/>
      <c r="BV3198" s="6"/>
      <c r="BW3198" s="6"/>
      <c r="BX3198" s="6"/>
      <c r="BY3198" s="6"/>
      <c r="BZ3198" s="6"/>
      <c r="CA3198" s="6"/>
      <c r="CB3198" s="6"/>
      <c r="CC3198" s="6"/>
      <c r="CD3198" s="6"/>
      <c r="CE3198" s="6"/>
      <c r="CF3198" s="6"/>
      <c r="CG3198" s="6"/>
      <c r="CH3198" s="6"/>
      <c r="CI3198" s="6"/>
      <c r="CJ3198" s="6"/>
      <c r="CK3198" s="6"/>
      <c r="CL3198" s="6"/>
      <c r="CM3198" s="6"/>
      <c r="CN3198" s="6"/>
      <c r="CO3198" s="6"/>
      <c r="CP3198" s="6"/>
      <c r="CQ3198" s="6"/>
      <c r="CR3198" s="6"/>
      <c r="CS3198" s="6"/>
      <c r="CT3198" s="6"/>
      <c r="CU3198" s="6"/>
      <c r="CV3198" s="6"/>
      <c r="CW3198" s="6"/>
      <c r="CX3198" s="6"/>
      <c r="CY3198" s="6"/>
      <c r="CZ3198" s="6"/>
      <c r="DA3198" s="6"/>
      <c r="DB3198" s="6"/>
      <c r="DC3198" s="6"/>
      <c r="DD3198" s="6"/>
    </row>
    <row r="3199" spans="1:108" ht="12.75" hidden="1" customHeight="1" outlineLevel="6">
      <c r="A3199" s="104" t="s">
        <v>110</v>
      </c>
      <c r="B3199" s="28">
        <f t="shared" si="186"/>
        <v>0</v>
      </c>
      <c r="C3199" s="11"/>
      <c r="D3199" s="18" t="str">
        <f>"&lt;" &amp; A3199 &amp; "&gt;" &amp; TEXT(B3199,0) &amp; "&lt;/" &amp; A3199 &amp; "&gt;"</f>
        <v>&lt;Slat_Flag&gt;0&lt;/Slat_Flag&gt;</v>
      </c>
      <c r="F3199" s="6"/>
      <c r="G3199" s="6"/>
      <c r="H3199" s="6"/>
      <c r="I3199" s="6"/>
      <c r="J3199" s="6"/>
      <c r="K3199" s="6"/>
      <c r="L3199" s="6"/>
      <c r="M3199" s="6"/>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c r="BU3199" s="6"/>
      <c r="BV3199" s="6"/>
      <c r="BW3199" s="6"/>
      <c r="BX3199" s="6"/>
      <c r="BY3199" s="6"/>
      <c r="BZ3199" s="6"/>
      <c r="CA3199" s="6"/>
      <c r="CB3199" s="6"/>
      <c r="CC3199" s="6"/>
      <c r="CD3199" s="6"/>
      <c r="CE3199" s="6"/>
      <c r="CF3199" s="6"/>
      <c r="CG3199" s="6"/>
      <c r="CH3199" s="6"/>
      <c r="CI3199" s="6"/>
      <c r="CJ3199" s="6"/>
      <c r="CK3199" s="6"/>
      <c r="CL3199" s="6"/>
      <c r="CM3199" s="6"/>
      <c r="CN3199" s="6"/>
      <c r="CO3199" s="6"/>
      <c r="CP3199" s="6"/>
      <c r="CQ3199" s="6"/>
      <c r="CR3199" s="6"/>
      <c r="CS3199" s="6"/>
      <c r="CT3199" s="6"/>
      <c r="CU3199" s="6"/>
      <c r="CV3199" s="6"/>
      <c r="CW3199" s="6"/>
      <c r="CX3199" s="6"/>
      <c r="CY3199" s="6"/>
      <c r="CZ3199" s="6"/>
      <c r="DA3199" s="6"/>
      <c r="DB3199" s="6"/>
      <c r="DC3199" s="6"/>
      <c r="DD3199" s="6"/>
    </row>
    <row r="3200" spans="1:108" ht="12.75" hidden="1" customHeight="1" outlineLevel="6">
      <c r="A3200" s="104" t="s">
        <v>111</v>
      </c>
      <c r="B3200" s="28">
        <f t="shared" si="186"/>
        <v>0</v>
      </c>
      <c r="C3200" s="11"/>
      <c r="D3200" s="18" t="str">
        <f>"&lt;" &amp; A3200 &amp; "&gt;" &amp; TEXT(B3200,0) &amp; "&lt;/" &amp; A3200 &amp; "&gt;"</f>
        <v>&lt;Slat_Shear_Flag&gt;0&lt;/Slat_Shear_Flag&gt;</v>
      </c>
      <c r="F3200" s="6"/>
      <c r="G3200" s="6"/>
      <c r="H3200" s="6"/>
      <c r="I3200" s="6"/>
      <c r="J3200" s="6"/>
      <c r="K3200" s="6"/>
      <c r="L3200" s="6"/>
      <c r="M3200" s="6"/>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c r="BU3200" s="6"/>
      <c r="BV3200" s="6"/>
      <c r="BW3200" s="6"/>
      <c r="BX3200" s="6"/>
      <c r="BY3200" s="6"/>
      <c r="BZ3200" s="6"/>
      <c r="CA3200" s="6"/>
      <c r="CB3200" s="6"/>
      <c r="CC3200" s="6"/>
      <c r="CD3200" s="6"/>
      <c r="CE3200" s="6"/>
      <c r="CF3200" s="6"/>
      <c r="CG3200" s="6"/>
      <c r="CH3200" s="6"/>
      <c r="CI3200" s="6"/>
      <c r="CJ3200" s="6"/>
      <c r="CK3200" s="6"/>
      <c r="CL3200" s="6"/>
      <c r="CM3200" s="6"/>
      <c r="CN3200" s="6"/>
      <c r="CO3200" s="6"/>
      <c r="CP3200" s="6"/>
      <c r="CQ3200" s="6"/>
      <c r="CR3200" s="6"/>
      <c r="CS3200" s="6"/>
      <c r="CT3200" s="6"/>
      <c r="CU3200" s="6"/>
      <c r="CV3200" s="6"/>
      <c r="CW3200" s="6"/>
      <c r="CX3200" s="6"/>
      <c r="CY3200" s="6"/>
      <c r="CZ3200" s="6"/>
      <c r="DA3200" s="6"/>
      <c r="DB3200" s="6"/>
      <c r="DC3200" s="6"/>
      <c r="DD3200" s="6"/>
    </row>
    <row r="3201" spans="1:108" ht="12.75" hidden="1" customHeight="1" outlineLevel="6">
      <c r="A3201" s="104" t="s">
        <v>112</v>
      </c>
      <c r="B3201" s="28">
        <f t="shared" si="186"/>
        <v>0.25</v>
      </c>
      <c r="C3201" s="11"/>
      <c r="D3201" s="18" t="str">
        <f>"&lt;" &amp; A3201 &amp; "&gt;" &amp; TEXT(B3201,"0.000000") &amp; "&lt;/" &amp; A3201 &amp; "&gt;"</f>
        <v>&lt;Slat_Chord&gt;0.250000&lt;/Slat_Chord&gt;</v>
      </c>
      <c r="F3201" s="6"/>
      <c r="G3201" s="6"/>
      <c r="H3201" s="6"/>
      <c r="I3201" s="6"/>
      <c r="J3201" s="6"/>
      <c r="K3201" s="6"/>
      <c r="L3201" s="6"/>
      <c r="M3201" s="6"/>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c r="BU3201" s="6"/>
      <c r="BV3201" s="6"/>
      <c r="BW3201" s="6"/>
      <c r="BX3201" s="6"/>
      <c r="BY3201" s="6"/>
      <c r="BZ3201" s="6"/>
      <c r="CA3201" s="6"/>
      <c r="CB3201" s="6"/>
      <c r="CC3201" s="6"/>
      <c r="CD3201" s="6"/>
      <c r="CE3201" s="6"/>
      <c r="CF3201" s="6"/>
      <c r="CG3201" s="6"/>
      <c r="CH3201" s="6"/>
      <c r="CI3201" s="6"/>
      <c r="CJ3201" s="6"/>
      <c r="CK3201" s="6"/>
      <c r="CL3201" s="6"/>
      <c r="CM3201" s="6"/>
      <c r="CN3201" s="6"/>
      <c r="CO3201" s="6"/>
      <c r="CP3201" s="6"/>
      <c r="CQ3201" s="6"/>
      <c r="CR3201" s="6"/>
      <c r="CS3201" s="6"/>
      <c r="CT3201" s="6"/>
      <c r="CU3201" s="6"/>
      <c r="CV3201" s="6"/>
      <c r="CW3201" s="6"/>
      <c r="CX3201" s="6"/>
      <c r="CY3201" s="6"/>
      <c r="CZ3201" s="6"/>
      <c r="DA3201" s="6"/>
      <c r="DB3201" s="6"/>
      <c r="DC3201" s="6"/>
      <c r="DD3201" s="6"/>
    </row>
    <row r="3202" spans="1:108" ht="12.75" hidden="1" customHeight="1" outlineLevel="6">
      <c r="A3202" s="104" t="s">
        <v>113</v>
      </c>
      <c r="B3202" s="28">
        <f t="shared" si="186"/>
        <v>10</v>
      </c>
      <c r="C3202" s="11"/>
      <c r="D3202" s="18" t="str">
        <f>"&lt;" &amp; A3202 &amp; "&gt;" &amp; TEXT(B3202,"0.000000") &amp; "&lt;/" &amp; A3202 &amp; "&gt;"</f>
        <v>&lt;Slat_Angle&gt;10.000000&lt;/Slat_Angle&gt;</v>
      </c>
      <c r="F3202" s="6"/>
      <c r="G3202" s="6"/>
      <c r="H3202" s="6"/>
      <c r="I3202" s="6"/>
      <c r="J3202" s="6"/>
      <c r="K3202" s="6"/>
      <c r="L3202" s="6"/>
      <c r="M3202" s="6"/>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c r="BU3202" s="6"/>
      <c r="BV3202" s="6"/>
      <c r="BW3202" s="6"/>
      <c r="BX3202" s="6"/>
      <c r="BY3202" s="6"/>
      <c r="BZ3202" s="6"/>
      <c r="CA3202" s="6"/>
      <c r="CB3202" s="6"/>
      <c r="CC3202" s="6"/>
      <c r="CD3202" s="6"/>
      <c r="CE3202" s="6"/>
      <c r="CF3202" s="6"/>
      <c r="CG3202" s="6"/>
      <c r="CH3202" s="6"/>
      <c r="CI3202" s="6"/>
      <c r="CJ3202" s="6"/>
      <c r="CK3202" s="6"/>
      <c r="CL3202" s="6"/>
      <c r="CM3202" s="6"/>
      <c r="CN3202" s="6"/>
      <c r="CO3202" s="6"/>
      <c r="CP3202" s="6"/>
      <c r="CQ3202" s="6"/>
      <c r="CR3202" s="6"/>
      <c r="CS3202" s="6"/>
      <c r="CT3202" s="6"/>
      <c r="CU3202" s="6"/>
      <c r="CV3202" s="6"/>
      <c r="CW3202" s="6"/>
      <c r="CX3202" s="6"/>
      <c r="CY3202" s="6"/>
      <c r="CZ3202" s="6"/>
      <c r="DA3202" s="6"/>
      <c r="DB3202" s="6"/>
      <c r="DC3202" s="6"/>
      <c r="DD3202" s="6"/>
    </row>
    <row r="3203" spans="1:108" ht="12.75" hidden="1" customHeight="1" outlineLevel="6">
      <c r="A3203" s="104" t="s">
        <v>114</v>
      </c>
      <c r="B3203" s="28">
        <f t="shared" si="186"/>
        <v>0</v>
      </c>
      <c r="C3203" s="11"/>
      <c r="D3203" s="18" t="str">
        <f>"&lt;" &amp; A3203 &amp; "&gt;" &amp; TEXT(B3203,0) &amp; "&lt;/" &amp; A3203 &amp; "&gt;"</f>
        <v>&lt;Flap_Flag&gt;0&lt;/Flap_Flag&gt;</v>
      </c>
      <c r="F3203" s="6"/>
      <c r="G3203" s="6"/>
      <c r="H3203" s="6"/>
      <c r="I3203" s="6"/>
      <c r="J3203" s="6"/>
      <c r="K3203" s="6"/>
      <c r="L3203" s="6"/>
      <c r="M3203" s="6"/>
      <c r="N3203" s="6"/>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c r="BU3203" s="6"/>
      <c r="BV3203" s="6"/>
      <c r="BW3203" s="6"/>
      <c r="BX3203" s="6"/>
      <c r="BY3203" s="6"/>
      <c r="BZ3203" s="6"/>
      <c r="CA3203" s="6"/>
      <c r="CB3203" s="6"/>
      <c r="CC3203" s="6"/>
      <c r="CD3203" s="6"/>
      <c r="CE3203" s="6"/>
      <c r="CF3203" s="6"/>
      <c r="CG3203" s="6"/>
      <c r="CH3203" s="6"/>
      <c r="CI3203" s="6"/>
      <c r="CJ3203" s="6"/>
      <c r="CK3203" s="6"/>
      <c r="CL3203" s="6"/>
      <c r="CM3203" s="6"/>
      <c r="CN3203" s="6"/>
      <c r="CO3203" s="6"/>
      <c r="CP3203" s="6"/>
      <c r="CQ3203" s="6"/>
      <c r="CR3203" s="6"/>
      <c r="CS3203" s="6"/>
      <c r="CT3203" s="6"/>
      <c r="CU3203" s="6"/>
      <c r="CV3203" s="6"/>
      <c r="CW3203" s="6"/>
      <c r="CX3203" s="6"/>
      <c r="CY3203" s="6"/>
      <c r="CZ3203" s="6"/>
      <c r="DA3203" s="6"/>
      <c r="DB3203" s="6"/>
      <c r="DC3203" s="6"/>
      <c r="DD3203" s="6"/>
    </row>
    <row r="3204" spans="1:108" ht="12.75" hidden="1" customHeight="1" outlineLevel="6">
      <c r="A3204" s="104" t="s">
        <v>115</v>
      </c>
      <c r="B3204" s="28">
        <f t="shared" si="186"/>
        <v>0</v>
      </c>
      <c r="C3204" s="11"/>
      <c r="D3204" s="18" t="str">
        <f>"&lt;" &amp; A3204 &amp; "&gt;" &amp; TEXT(B3204,0) &amp; "&lt;/" &amp; A3204 &amp; "&gt;"</f>
        <v>&lt;Flap_Shear_Flag&gt;0&lt;/Flap_Shear_Flag&gt;</v>
      </c>
      <c r="F3204" s="6"/>
      <c r="G3204" s="6"/>
      <c r="H3204" s="6"/>
      <c r="I3204" s="6"/>
      <c r="J3204" s="6"/>
      <c r="K3204" s="6"/>
      <c r="L3204" s="6"/>
      <c r="M3204" s="6"/>
      <c r="N3204" s="6"/>
      <c r="O3204" s="6"/>
      <c r="P3204" s="6"/>
      <c r="Q3204" s="6"/>
      <c r="R3204" s="6"/>
      <c r="S3204" s="6"/>
      <c r="T3204" s="6"/>
      <c r="U3204" s="6"/>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c r="BU3204" s="6"/>
      <c r="BV3204" s="6"/>
      <c r="BW3204" s="6"/>
      <c r="BX3204" s="6"/>
      <c r="BY3204" s="6"/>
      <c r="BZ3204" s="6"/>
      <c r="CA3204" s="6"/>
      <c r="CB3204" s="6"/>
      <c r="CC3204" s="6"/>
      <c r="CD3204" s="6"/>
      <c r="CE3204" s="6"/>
      <c r="CF3204" s="6"/>
      <c r="CG3204" s="6"/>
      <c r="CH3204" s="6"/>
      <c r="CI3204" s="6"/>
      <c r="CJ3204" s="6"/>
      <c r="CK3204" s="6"/>
      <c r="CL3204" s="6"/>
      <c r="CM3204" s="6"/>
      <c r="CN3204" s="6"/>
      <c r="CO3204" s="6"/>
      <c r="CP3204" s="6"/>
      <c r="CQ3204" s="6"/>
      <c r="CR3204" s="6"/>
      <c r="CS3204" s="6"/>
      <c r="CT3204" s="6"/>
      <c r="CU3204" s="6"/>
      <c r="CV3204" s="6"/>
      <c r="CW3204" s="6"/>
      <c r="CX3204" s="6"/>
      <c r="CY3204" s="6"/>
      <c r="CZ3204" s="6"/>
      <c r="DA3204" s="6"/>
      <c r="DB3204" s="6"/>
      <c r="DC3204" s="6"/>
      <c r="DD3204" s="6"/>
    </row>
    <row r="3205" spans="1:108" ht="12.75" hidden="1" customHeight="1" outlineLevel="6">
      <c r="A3205" s="104" t="s">
        <v>116</v>
      </c>
      <c r="B3205" s="28">
        <f t="shared" si="186"/>
        <v>0.25</v>
      </c>
      <c r="C3205" s="11"/>
      <c r="D3205" s="18" t="str">
        <f>"&lt;" &amp; A3205 &amp; "&gt;" &amp; TEXT(B3205,"0.000000") &amp; "&lt;/" &amp; A3205 &amp; "&gt;"</f>
        <v>&lt;Flap_Chord&gt;0.250000&lt;/Flap_Chord&gt;</v>
      </c>
      <c r="F3205" s="6"/>
      <c r="G3205" s="6"/>
      <c r="H3205" s="6"/>
      <c r="I3205" s="6"/>
      <c r="J3205" s="6"/>
      <c r="K3205" s="6"/>
      <c r="L3205" s="6"/>
      <c r="M3205" s="6"/>
      <c r="N3205" s="6"/>
      <c r="O3205" s="6"/>
      <c r="P3205" s="6"/>
      <c r="Q3205" s="6"/>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c r="BU3205" s="6"/>
      <c r="BV3205" s="6"/>
      <c r="BW3205" s="6"/>
      <c r="BX3205" s="6"/>
      <c r="BY3205" s="6"/>
      <c r="BZ3205" s="6"/>
      <c r="CA3205" s="6"/>
      <c r="CB3205" s="6"/>
      <c r="CC3205" s="6"/>
      <c r="CD3205" s="6"/>
      <c r="CE3205" s="6"/>
      <c r="CF3205" s="6"/>
      <c r="CG3205" s="6"/>
      <c r="CH3205" s="6"/>
      <c r="CI3205" s="6"/>
      <c r="CJ3205" s="6"/>
      <c r="CK3205" s="6"/>
      <c r="CL3205" s="6"/>
      <c r="CM3205" s="6"/>
      <c r="CN3205" s="6"/>
      <c r="CO3205" s="6"/>
      <c r="CP3205" s="6"/>
      <c r="CQ3205" s="6"/>
      <c r="CR3205" s="6"/>
      <c r="CS3205" s="6"/>
      <c r="CT3205" s="6"/>
      <c r="CU3205" s="6"/>
      <c r="CV3205" s="6"/>
      <c r="CW3205" s="6"/>
      <c r="CX3205" s="6"/>
      <c r="CY3205" s="6"/>
      <c r="CZ3205" s="6"/>
      <c r="DA3205" s="6"/>
      <c r="DB3205" s="6"/>
      <c r="DC3205" s="6"/>
      <c r="DD3205" s="6"/>
    </row>
    <row r="3206" spans="1:108" ht="12.75" hidden="1" customHeight="1" outlineLevel="6">
      <c r="A3206" s="104" t="s">
        <v>117</v>
      </c>
      <c r="B3206" s="28">
        <f t="shared" si="186"/>
        <v>10</v>
      </c>
      <c r="C3206" s="11"/>
      <c r="D3206" s="18" t="str">
        <f>"&lt;" &amp; A3206 &amp; "&gt;" &amp; TEXT(B3206,"0.000000") &amp; "&lt;/" &amp; A3206 &amp; "&gt;"</f>
        <v>&lt;Flap_Angle&gt;10.000000&lt;/Flap_Angle&gt;</v>
      </c>
      <c r="F3206" s="6"/>
      <c r="G3206" s="6"/>
      <c r="H3206" s="6"/>
      <c r="I3206" s="6"/>
      <c r="J3206" s="6"/>
      <c r="K3206" s="6"/>
      <c r="L3206" s="6"/>
      <c r="M3206" s="6"/>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c r="BU3206" s="6"/>
      <c r="BV3206" s="6"/>
      <c r="BW3206" s="6"/>
      <c r="BX3206" s="6"/>
      <c r="BY3206" s="6"/>
      <c r="BZ3206" s="6"/>
      <c r="CA3206" s="6"/>
      <c r="CB3206" s="6"/>
      <c r="CC3206" s="6"/>
      <c r="CD3206" s="6"/>
      <c r="CE3206" s="6"/>
      <c r="CF3206" s="6"/>
      <c r="CG3206" s="6"/>
      <c r="CH3206" s="6"/>
      <c r="CI3206" s="6"/>
      <c r="CJ3206" s="6"/>
      <c r="CK3206" s="6"/>
      <c r="CL3206" s="6"/>
      <c r="CM3206" s="6"/>
      <c r="CN3206" s="6"/>
      <c r="CO3206" s="6"/>
      <c r="CP3206" s="6"/>
      <c r="CQ3206" s="6"/>
      <c r="CR3206" s="6"/>
      <c r="CS3206" s="6"/>
      <c r="CT3206" s="6"/>
      <c r="CU3206" s="6"/>
      <c r="CV3206" s="6"/>
      <c r="CW3206" s="6"/>
      <c r="CX3206" s="6"/>
      <c r="CY3206" s="6"/>
      <c r="CZ3206" s="6"/>
      <c r="DA3206" s="6"/>
      <c r="DB3206" s="6"/>
      <c r="DC3206" s="6"/>
      <c r="DD3206" s="6"/>
    </row>
    <row r="3207" spans="1:108" ht="12.75" hidden="1" customHeight="1" outlineLevel="6">
      <c r="A3207" s="104" t="s">
        <v>118</v>
      </c>
      <c r="B3207" s="100"/>
      <c r="C3207" s="11"/>
      <c r="D3207" s="6" t="str">
        <f>"&lt;" &amp; A3207 &amp; "&gt;"</f>
        <v>&lt;/Airfoil&gt;</v>
      </c>
      <c r="F3207" s="6"/>
      <c r="G3207" s="6"/>
      <c r="H3207" s="6"/>
      <c r="I3207" s="6"/>
      <c r="J3207" s="6"/>
      <c r="K3207" s="6"/>
      <c r="L3207" s="6"/>
      <c r="M3207" s="6"/>
      <c r="N3207" s="6"/>
      <c r="O3207" s="6"/>
      <c r="P3207" s="6"/>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c r="BU3207" s="6"/>
      <c r="BV3207" s="6"/>
      <c r="BW3207" s="6"/>
      <c r="BX3207" s="6"/>
      <c r="BY3207" s="6"/>
      <c r="BZ3207" s="6"/>
      <c r="CA3207" s="6"/>
      <c r="CB3207" s="6"/>
      <c r="CC3207" s="6"/>
      <c r="CD3207" s="6"/>
      <c r="CE3207" s="6"/>
      <c r="CF3207" s="6"/>
      <c r="CG3207" s="6"/>
      <c r="CH3207" s="6"/>
      <c r="CI3207" s="6"/>
      <c r="CJ3207" s="6"/>
      <c r="CK3207" s="6"/>
      <c r="CL3207" s="6"/>
      <c r="CM3207" s="6"/>
      <c r="CN3207" s="6"/>
      <c r="CO3207" s="6"/>
      <c r="CP3207" s="6"/>
      <c r="CQ3207" s="6"/>
      <c r="CR3207" s="6"/>
      <c r="CS3207" s="6"/>
      <c r="CT3207" s="6"/>
      <c r="CU3207" s="6"/>
      <c r="CV3207" s="6"/>
      <c r="CW3207" s="6"/>
      <c r="CX3207" s="6"/>
      <c r="CY3207" s="6"/>
      <c r="CZ3207" s="6"/>
      <c r="DA3207" s="6"/>
      <c r="DB3207" s="6"/>
      <c r="DC3207" s="6"/>
      <c r="DD3207" s="6"/>
    </row>
    <row r="3208" spans="1:108" ht="12.75" hidden="1" customHeight="1" outlineLevel="5">
      <c r="A3208" s="104" t="s">
        <v>2</v>
      </c>
      <c r="B3208" s="100"/>
      <c r="C3208" s="11"/>
      <c r="D3208" s="6" t="str">
        <f>"&lt;" &amp; A3208 &amp; "&gt;"</f>
        <v>&lt;Airfoil&gt;</v>
      </c>
      <c r="F3208" s="6"/>
      <c r="G3208" s="6"/>
      <c r="H3208" s="6"/>
      <c r="I3208" s="6"/>
      <c r="J3208" s="6"/>
      <c r="K3208" s="6"/>
      <c r="L3208" s="6"/>
      <c r="M3208" s="6"/>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c r="BU3208" s="6"/>
      <c r="BV3208" s="6"/>
      <c r="BW3208" s="6"/>
      <c r="BX3208" s="6"/>
      <c r="BY3208" s="6"/>
      <c r="BZ3208" s="6"/>
      <c r="CA3208" s="6"/>
      <c r="CB3208" s="6"/>
      <c r="CC3208" s="6"/>
      <c r="CD3208" s="6"/>
      <c r="CE3208" s="6"/>
      <c r="CF3208" s="6"/>
      <c r="CG3208" s="6"/>
      <c r="CH3208" s="6"/>
      <c r="CI3208" s="6"/>
      <c r="CJ3208" s="6"/>
      <c r="CK3208" s="6"/>
      <c r="CL3208" s="6"/>
      <c r="CM3208" s="6"/>
      <c r="CN3208" s="6"/>
      <c r="CO3208" s="6"/>
      <c r="CP3208" s="6"/>
      <c r="CQ3208" s="6"/>
      <c r="CR3208" s="6"/>
      <c r="CS3208" s="6"/>
      <c r="CT3208" s="6"/>
      <c r="CU3208" s="6"/>
      <c r="CV3208" s="6"/>
      <c r="CW3208" s="6"/>
      <c r="CX3208" s="6"/>
      <c r="CY3208" s="6"/>
      <c r="CZ3208" s="6"/>
      <c r="DA3208" s="6"/>
      <c r="DB3208" s="6"/>
      <c r="DC3208" s="6"/>
      <c r="DD3208" s="6"/>
    </row>
    <row r="3209" spans="1:108" ht="12.75" hidden="1" customHeight="1" outlineLevel="6">
      <c r="A3209" s="104" t="s">
        <v>14</v>
      </c>
      <c r="B3209" s="28">
        <f t="shared" ref="B3209:B3227" si="188">B1610</f>
        <v>1</v>
      </c>
      <c r="C3209" s="11"/>
      <c r="D3209" s="18" t="str">
        <f>"&lt;" &amp; A3209 &amp; "&gt;" &amp; TEXT(B3209,0) &amp; "&lt;/" &amp; A3209 &amp; "&gt;"</f>
        <v>&lt;Type&gt;1&lt;/Type&gt;</v>
      </c>
      <c r="F3209" s="6"/>
      <c r="G3209" s="6"/>
      <c r="H3209" s="6"/>
      <c r="I3209" s="6"/>
      <c r="J3209" s="6"/>
      <c r="K3209" s="6"/>
      <c r="L3209" s="6"/>
      <c r="M3209" s="6"/>
      <c r="N3209" s="6"/>
      <c r="O3209" s="6"/>
      <c r="P3209" s="6"/>
      <c r="Q3209" s="6"/>
      <c r="R3209" s="6"/>
      <c r="S3209" s="6"/>
      <c r="T3209" s="6"/>
      <c r="U3209" s="6"/>
      <c r="V3209" s="6"/>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c r="BU3209" s="6"/>
      <c r="BV3209" s="6"/>
      <c r="BW3209" s="6"/>
      <c r="BX3209" s="6"/>
      <c r="BY3209" s="6"/>
      <c r="BZ3209" s="6"/>
      <c r="CA3209" s="6"/>
      <c r="CB3209" s="6"/>
      <c r="CC3209" s="6"/>
      <c r="CD3209" s="6"/>
      <c r="CE3209" s="6"/>
      <c r="CF3209" s="6"/>
      <c r="CG3209" s="6"/>
      <c r="CH3209" s="6"/>
      <c r="CI3209" s="6"/>
      <c r="CJ3209" s="6"/>
      <c r="CK3209" s="6"/>
      <c r="CL3209" s="6"/>
      <c r="CM3209" s="6"/>
      <c r="CN3209" s="6"/>
      <c r="CO3209" s="6"/>
      <c r="CP3209" s="6"/>
      <c r="CQ3209" s="6"/>
      <c r="CR3209" s="6"/>
      <c r="CS3209" s="6"/>
      <c r="CT3209" s="6"/>
      <c r="CU3209" s="6"/>
      <c r="CV3209" s="6"/>
      <c r="CW3209" s="6"/>
      <c r="CX3209" s="6"/>
      <c r="CY3209" s="6"/>
      <c r="CZ3209" s="6"/>
      <c r="DA3209" s="6"/>
      <c r="DB3209" s="6"/>
      <c r="DC3209" s="6"/>
      <c r="DD3209" s="6"/>
    </row>
    <row r="3210" spans="1:108" ht="12.75" hidden="1" customHeight="1" outlineLevel="6">
      <c r="A3210" s="104" t="s">
        <v>102</v>
      </c>
      <c r="B3210" s="28">
        <f t="shared" si="188"/>
        <v>0</v>
      </c>
      <c r="C3210" s="11"/>
      <c r="D3210" s="18" t="str">
        <f>"&lt;" &amp; A3210 &amp; "&gt;" &amp; TEXT(B3210,0) &amp; "&lt;/" &amp; A3210 &amp; "&gt;"</f>
        <v>&lt;Inverted_Flag&gt;0&lt;/Inverted_Flag&gt;</v>
      </c>
      <c r="F3210" s="6"/>
      <c r="G3210" s="6"/>
      <c r="H3210" s="6"/>
      <c r="I3210" s="6"/>
      <c r="J3210" s="6"/>
      <c r="K3210" s="6"/>
      <c r="L3210" s="6"/>
      <c r="M3210" s="6"/>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c r="BU3210" s="6"/>
      <c r="BV3210" s="6"/>
      <c r="BW3210" s="6"/>
      <c r="BX3210" s="6"/>
      <c r="BY3210" s="6"/>
      <c r="BZ3210" s="6"/>
      <c r="CA3210" s="6"/>
      <c r="CB3210" s="6"/>
      <c r="CC3210" s="6"/>
      <c r="CD3210" s="6"/>
      <c r="CE3210" s="6"/>
      <c r="CF3210" s="6"/>
      <c r="CG3210" s="6"/>
      <c r="CH3210" s="6"/>
      <c r="CI3210" s="6"/>
      <c r="CJ3210" s="6"/>
      <c r="CK3210" s="6"/>
      <c r="CL3210" s="6"/>
      <c r="CM3210" s="6"/>
      <c r="CN3210" s="6"/>
      <c r="CO3210" s="6"/>
      <c r="CP3210" s="6"/>
      <c r="CQ3210" s="6"/>
      <c r="CR3210" s="6"/>
      <c r="CS3210" s="6"/>
      <c r="CT3210" s="6"/>
      <c r="CU3210" s="6"/>
      <c r="CV3210" s="6"/>
      <c r="CW3210" s="6"/>
      <c r="CX3210" s="6"/>
      <c r="CY3210" s="6"/>
      <c r="CZ3210" s="6"/>
      <c r="DA3210" s="6"/>
      <c r="DB3210" s="6"/>
      <c r="DC3210" s="6"/>
      <c r="DD3210" s="6"/>
    </row>
    <row r="3211" spans="1:108" ht="12.75" hidden="1" customHeight="1" outlineLevel="6">
      <c r="A3211" s="104" t="s">
        <v>4</v>
      </c>
      <c r="B3211" s="28">
        <f t="shared" si="188"/>
        <v>0</v>
      </c>
      <c r="C3211" s="11"/>
      <c r="D3211" s="18" t="str">
        <f t="shared" ref="D3211:D3216" si="189">"&lt;" &amp; A3211 &amp; "&gt;" &amp; TEXT(B3211,"0.000000") &amp; "&lt;/" &amp; A3211 &amp; "&gt;"</f>
        <v>&lt;Camber&gt;0.000000&lt;/Camber&gt;</v>
      </c>
      <c r="F3211" s="6"/>
      <c r="G3211" s="6"/>
      <c r="H3211" s="6"/>
      <c r="I3211" s="6"/>
      <c r="J3211" s="6"/>
      <c r="K3211" s="6"/>
      <c r="L3211" s="6"/>
      <c r="M3211" s="6"/>
      <c r="N3211" s="6"/>
      <c r="O3211" s="6"/>
      <c r="P3211" s="6"/>
      <c r="Q3211" s="6"/>
      <c r="R3211" s="6"/>
      <c r="S3211" s="6"/>
      <c r="T3211" s="6"/>
      <c r="U3211" s="6"/>
      <c r="V3211" s="6"/>
      <c r="W3211" s="6"/>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c r="BU3211" s="6"/>
      <c r="BV3211" s="6"/>
      <c r="BW3211" s="6"/>
      <c r="BX3211" s="6"/>
      <c r="BY3211" s="6"/>
      <c r="BZ3211" s="6"/>
      <c r="CA3211" s="6"/>
      <c r="CB3211" s="6"/>
      <c r="CC3211" s="6"/>
      <c r="CD3211" s="6"/>
      <c r="CE3211" s="6"/>
      <c r="CF3211" s="6"/>
      <c r="CG3211" s="6"/>
      <c r="CH3211" s="6"/>
      <c r="CI3211" s="6"/>
      <c r="CJ3211" s="6"/>
      <c r="CK3211" s="6"/>
      <c r="CL3211" s="6"/>
      <c r="CM3211" s="6"/>
      <c r="CN3211" s="6"/>
      <c r="CO3211" s="6"/>
      <c r="CP3211" s="6"/>
      <c r="CQ3211" s="6"/>
      <c r="CR3211" s="6"/>
      <c r="CS3211" s="6"/>
      <c r="CT3211" s="6"/>
      <c r="CU3211" s="6"/>
      <c r="CV3211" s="6"/>
      <c r="CW3211" s="6"/>
      <c r="CX3211" s="6"/>
      <c r="CY3211" s="6"/>
      <c r="CZ3211" s="6"/>
      <c r="DA3211" s="6"/>
      <c r="DB3211" s="6"/>
      <c r="DC3211" s="6"/>
      <c r="DD3211" s="6"/>
    </row>
    <row r="3212" spans="1:108" ht="12.75" hidden="1" customHeight="1" outlineLevel="6">
      <c r="A3212" s="104" t="s">
        <v>103</v>
      </c>
      <c r="B3212" s="28">
        <f t="shared" si="188"/>
        <v>0.5</v>
      </c>
      <c r="C3212" s="11"/>
      <c r="D3212" s="18" t="str">
        <f t="shared" si="189"/>
        <v>&lt;Camber_Loc&gt;0.500000&lt;/Camber_Loc&gt;</v>
      </c>
      <c r="F3212" s="6"/>
      <c r="G3212" s="6"/>
      <c r="H3212" s="6"/>
      <c r="I3212" s="6"/>
      <c r="J3212" s="6"/>
      <c r="K3212" s="6"/>
      <c r="L3212" s="6"/>
      <c r="M3212" s="6"/>
      <c r="N3212" s="6"/>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c r="BU3212" s="6"/>
      <c r="BV3212" s="6"/>
      <c r="BW3212" s="6"/>
      <c r="BX3212" s="6"/>
      <c r="BY3212" s="6"/>
      <c r="BZ3212" s="6"/>
      <c r="CA3212" s="6"/>
      <c r="CB3212" s="6"/>
      <c r="CC3212" s="6"/>
      <c r="CD3212" s="6"/>
      <c r="CE3212" s="6"/>
      <c r="CF3212" s="6"/>
      <c r="CG3212" s="6"/>
      <c r="CH3212" s="6"/>
      <c r="CI3212" s="6"/>
      <c r="CJ3212" s="6"/>
      <c r="CK3212" s="6"/>
      <c r="CL3212" s="6"/>
      <c r="CM3212" s="6"/>
      <c r="CN3212" s="6"/>
      <c r="CO3212" s="6"/>
      <c r="CP3212" s="6"/>
      <c r="CQ3212" s="6"/>
      <c r="CR3212" s="6"/>
      <c r="CS3212" s="6"/>
      <c r="CT3212" s="6"/>
      <c r="CU3212" s="6"/>
      <c r="CV3212" s="6"/>
      <c r="CW3212" s="6"/>
      <c r="CX3212" s="6"/>
      <c r="CY3212" s="6"/>
      <c r="CZ3212" s="6"/>
      <c r="DA3212" s="6"/>
      <c r="DB3212" s="6"/>
      <c r="DC3212" s="6"/>
      <c r="DD3212" s="6"/>
    </row>
    <row r="3213" spans="1:108" ht="12.75" hidden="1" customHeight="1" outlineLevel="6">
      <c r="A3213" s="104" t="s">
        <v>5</v>
      </c>
      <c r="B3213" s="28">
        <f t="shared" si="188"/>
        <v>0.08</v>
      </c>
      <c r="C3213" s="11"/>
      <c r="D3213" s="18" t="str">
        <f t="shared" si="189"/>
        <v>&lt;Thickness&gt;0.080000&lt;/Thickness&gt;</v>
      </c>
      <c r="F3213" s="6"/>
      <c r="G3213" s="6"/>
      <c r="H3213" s="6"/>
      <c r="I3213" s="6"/>
      <c r="J3213" s="6"/>
      <c r="K3213" s="6"/>
      <c r="L3213" s="6"/>
      <c r="M3213" s="6"/>
      <c r="N3213" s="6"/>
      <c r="O3213" s="6"/>
      <c r="P3213" s="6"/>
      <c r="Q3213" s="6"/>
      <c r="R3213" s="6"/>
      <c r="S3213" s="6"/>
      <c r="T3213" s="6"/>
      <c r="U3213" s="6"/>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c r="BU3213" s="6"/>
      <c r="BV3213" s="6"/>
      <c r="BW3213" s="6"/>
      <c r="BX3213" s="6"/>
      <c r="BY3213" s="6"/>
      <c r="BZ3213" s="6"/>
      <c r="CA3213" s="6"/>
      <c r="CB3213" s="6"/>
      <c r="CC3213" s="6"/>
      <c r="CD3213" s="6"/>
      <c r="CE3213" s="6"/>
      <c r="CF3213" s="6"/>
      <c r="CG3213" s="6"/>
      <c r="CH3213" s="6"/>
      <c r="CI3213" s="6"/>
      <c r="CJ3213" s="6"/>
      <c r="CK3213" s="6"/>
      <c r="CL3213" s="6"/>
      <c r="CM3213" s="6"/>
      <c r="CN3213" s="6"/>
      <c r="CO3213" s="6"/>
      <c r="CP3213" s="6"/>
      <c r="CQ3213" s="6"/>
      <c r="CR3213" s="6"/>
      <c r="CS3213" s="6"/>
      <c r="CT3213" s="6"/>
      <c r="CU3213" s="6"/>
      <c r="CV3213" s="6"/>
      <c r="CW3213" s="6"/>
      <c r="CX3213" s="6"/>
      <c r="CY3213" s="6"/>
      <c r="CZ3213" s="6"/>
      <c r="DA3213" s="6"/>
      <c r="DB3213" s="6"/>
      <c r="DC3213" s="6"/>
      <c r="DD3213" s="6"/>
    </row>
    <row r="3214" spans="1:108" ht="12.75" hidden="1" customHeight="1" outlineLevel="6">
      <c r="A3214" s="104" t="s">
        <v>104</v>
      </c>
      <c r="B3214" s="28">
        <f t="shared" si="188"/>
        <v>0.3</v>
      </c>
      <c r="C3214" s="11"/>
      <c r="D3214" s="18" t="str">
        <f t="shared" si="189"/>
        <v>&lt;Thickness_Loc&gt;0.300000&lt;/Thickness_Loc&gt;</v>
      </c>
      <c r="F3214" s="6"/>
      <c r="G3214" s="6"/>
      <c r="H3214" s="6"/>
      <c r="I3214" s="6"/>
      <c r="J3214" s="6"/>
      <c r="K3214" s="6"/>
      <c r="L3214" s="6"/>
      <c r="M3214" s="6"/>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c r="BU3214" s="6"/>
      <c r="BV3214" s="6"/>
      <c r="BW3214" s="6"/>
      <c r="BX3214" s="6"/>
      <c r="BY3214" s="6"/>
      <c r="BZ3214" s="6"/>
      <c r="CA3214" s="6"/>
      <c r="CB3214" s="6"/>
      <c r="CC3214" s="6"/>
      <c r="CD3214" s="6"/>
      <c r="CE3214" s="6"/>
      <c r="CF3214" s="6"/>
      <c r="CG3214" s="6"/>
      <c r="CH3214" s="6"/>
      <c r="CI3214" s="6"/>
      <c r="CJ3214" s="6"/>
      <c r="CK3214" s="6"/>
      <c r="CL3214" s="6"/>
      <c r="CM3214" s="6"/>
      <c r="CN3214" s="6"/>
      <c r="CO3214" s="6"/>
      <c r="CP3214" s="6"/>
      <c r="CQ3214" s="6"/>
      <c r="CR3214" s="6"/>
      <c r="CS3214" s="6"/>
      <c r="CT3214" s="6"/>
      <c r="CU3214" s="6"/>
      <c r="CV3214" s="6"/>
      <c r="CW3214" s="6"/>
      <c r="CX3214" s="6"/>
      <c r="CY3214" s="6"/>
      <c r="CZ3214" s="6"/>
      <c r="DA3214" s="6"/>
      <c r="DB3214" s="6"/>
      <c r="DC3214" s="6"/>
      <c r="DD3214" s="6"/>
    </row>
    <row r="3215" spans="1:108" ht="12.75" hidden="1" customHeight="1" outlineLevel="6">
      <c r="A3215" s="104" t="s">
        <v>105</v>
      </c>
      <c r="B3215" s="28">
        <f t="shared" si="188"/>
        <v>7.0520000000000001E-3</v>
      </c>
      <c r="C3215" s="11"/>
      <c r="D3215" s="18" t="str">
        <f t="shared" si="189"/>
        <v>&lt;Radius_Le&gt;0.007052&lt;/Radius_Le&gt;</v>
      </c>
      <c r="F3215" s="6"/>
      <c r="G3215" s="6"/>
      <c r="H3215" s="6"/>
      <c r="I3215" s="6"/>
      <c r="J3215" s="6"/>
      <c r="K3215" s="6"/>
      <c r="L3215" s="6"/>
      <c r="M3215" s="6"/>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c r="BU3215" s="6"/>
      <c r="BV3215" s="6"/>
      <c r="BW3215" s="6"/>
      <c r="BX3215" s="6"/>
      <c r="BY3215" s="6"/>
      <c r="BZ3215" s="6"/>
      <c r="CA3215" s="6"/>
      <c r="CB3215" s="6"/>
      <c r="CC3215" s="6"/>
      <c r="CD3215" s="6"/>
      <c r="CE3215" s="6"/>
      <c r="CF3215" s="6"/>
      <c r="CG3215" s="6"/>
      <c r="CH3215" s="6"/>
      <c r="CI3215" s="6"/>
      <c r="CJ3215" s="6"/>
      <c r="CK3215" s="6"/>
      <c r="CL3215" s="6"/>
      <c r="CM3215" s="6"/>
      <c r="CN3215" s="6"/>
      <c r="CO3215" s="6"/>
      <c r="CP3215" s="6"/>
      <c r="CQ3215" s="6"/>
      <c r="CR3215" s="6"/>
      <c r="CS3215" s="6"/>
      <c r="CT3215" s="6"/>
      <c r="CU3215" s="6"/>
      <c r="CV3215" s="6"/>
      <c r="CW3215" s="6"/>
      <c r="CX3215" s="6"/>
      <c r="CY3215" s="6"/>
      <c r="CZ3215" s="6"/>
      <c r="DA3215" s="6"/>
      <c r="DB3215" s="6"/>
      <c r="DC3215" s="6"/>
      <c r="DD3215" s="6"/>
    </row>
    <row r="3216" spans="1:108" ht="12.75" hidden="1" customHeight="1" outlineLevel="6">
      <c r="A3216" s="104" t="s">
        <v>106</v>
      </c>
      <c r="B3216" s="28">
        <f t="shared" si="188"/>
        <v>0</v>
      </c>
      <c r="C3216" s="11"/>
      <c r="D3216" s="18" t="str">
        <f t="shared" si="189"/>
        <v>&lt;Radius_Te&gt;0.000000&lt;/Radius_Te&gt;</v>
      </c>
      <c r="F3216" s="6"/>
      <c r="G3216" s="6"/>
      <c r="H3216" s="6"/>
      <c r="I3216" s="6"/>
      <c r="J3216" s="6"/>
      <c r="K3216" s="6"/>
      <c r="L3216" s="6"/>
      <c r="M3216" s="6"/>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c r="BU3216" s="6"/>
      <c r="BV3216" s="6"/>
      <c r="BW3216" s="6"/>
      <c r="BX3216" s="6"/>
      <c r="BY3216" s="6"/>
      <c r="BZ3216" s="6"/>
      <c r="CA3216" s="6"/>
      <c r="CB3216" s="6"/>
      <c r="CC3216" s="6"/>
      <c r="CD3216" s="6"/>
      <c r="CE3216" s="6"/>
      <c r="CF3216" s="6"/>
      <c r="CG3216" s="6"/>
      <c r="CH3216" s="6"/>
      <c r="CI3216" s="6"/>
      <c r="CJ3216" s="6"/>
      <c r="CK3216" s="6"/>
      <c r="CL3216" s="6"/>
      <c r="CM3216" s="6"/>
      <c r="CN3216" s="6"/>
      <c r="CO3216" s="6"/>
      <c r="CP3216" s="6"/>
      <c r="CQ3216" s="6"/>
      <c r="CR3216" s="6"/>
      <c r="CS3216" s="6"/>
      <c r="CT3216" s="6"/>
      <c r="CU3216" s="6"/>
      <c r="CV3216" s="6"/>
      <c r="CW3216" s="6"/>
      <c r="CX3216" s="6"/>
      <c r="CY3216" s="6"/>
      <c r="CZ3216" s="6"/>
      <c r="DA3216" s="6"/>
      <c r="DB3216" s="6"/>
      <c r="DC3216" s="6"/>
      <c r="DD3216" s="6"/>
    </row>
    <row r="3217" spans="1:108" ht="12.75" hidden="1" customHeight="1" outlineLevel="6">
      <c r="A3217" s="104" t="s">
        <v>107</v>
      </c>
      <c r="B3217" s="28">
        <f t="shared" si="188"/>
        <v>63</v>
      </c>
      <c r="C3217" s="11"/>
      <c r="D3217" s="18" t="str">
        <f>"&lt;" &amp; A3217 &amp; "&gt;" &amp; TEXT(B3217,0) &amp; "&lt;/" &amp; A3217 &amp; "&gt;"</f>
        <v>&lt;Six_Series&gt;63&lt;/Six_Series&gt;</v>
      </c>
      <c r="F3217" s="6"/>
      <c r="G3217" s="6"/>
      <c r="H3217" s="6"/>
      <c r="I3217" s="6"/>
      <c r="J3217" s="6"/>
      <c r="K3217" s="6"/>
      <c r="L3217" s="6"/>
      <c r="M3217" s="6"/>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c r="BU3217" s="6"/>
      <c r="BV3217" s="6"/>
      <c r="BW3217" s="6"/>
      <c r="BX3217" s="6"/>
      <c r="BY3217" s="6"/>
      <c r="BZ3217" s="6"/>
      <c r="CA3217" s="6"/>
      <c r="CB3217" s="6"/>
      <c r="CC3217" s="6"/>
      <c r="CD3217" s="6"/>
      <c r="CE3217" s="6"/>
      <c r="CF3217" s="6"/>
      <c r="CG3217" s="6"/>
      <c r="CH3217" s="6"/>
      <c r="CI3217" s="6"/>
      <c r="CJ3217" s="6"/>
      <c r="CK3217" s="6"/>
      <c r="CL3217" s="6"/>
      <c r="CM3217" s="6"/>
      <c r="CN3217" s="6"/>
      <c r="CO3217" s="6"/>
      <c r="CP3217" s="6"/>
      <c r="CQ3217" s="6"/>
      <c r="CR3217" s="6"/>
      <c r="CS3217" s="6"/>
      <c r="CT3217" s="6"/>
      <c r="CU3217" s="6"/>
      <c r="CV3217" s="6"/>
      <c r="CW3217" s="6"/>
      <c r="CX3217" s="6"/>
      <c r="CY3217" s="6"/>
      <c r="CZ3217" s="6"/>
      <c r="DA3217" s="6"/>
      <c r="DB3217" s="6"/>
      <c r="DC3217" s="6"/>
      <c r="DD3217" s="6"/>
    </row>
    <row r="3218" spans="1:108" ht="12.75" hidden="1" customHeight="1" outlineLevel="6">
      <c r="A3218" s="104" t="s">
        <v>108</v>
      </c>
      <c r="B3218" s="28">
        <f t="shared" si="188"/>
        <v>0</v>
      </c>
      <c r="C3218" s="11"/>
      <c r="D3218" s="18" t="str">
        <f>"&lt;" &amp; A3218 &amp; "&gt;" &amp; TEXT(B3218,"0.000000") &amp; "&lt;/" &amp; A3218 &amp; "&gt;"</f>
        <v>&lt;Ideal_Cl&gt;0.000000&lt;/Ideal_Cl&gt;</v>
      </c>
      <c r="F3218" s="6"/>
      <c r="G3218" s="6"/>
      <c r="H3218" s="6"/>
      <c r="I3218" s="6"/>
      <c r="J3218" s="6"/>
      <c r="K3218" s="6"/>
      <c r="L3218" s="6"/>
      <c r="M3218" s="6"/>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c r="BU3218" s="6"/>
      <c r="BV3218" s="6"/>
      <c r="BW3218" s="6"/>
      <c r="BX3218" s="6"/>
      <c r="BY3218" s="6"/>
      <c r="BZ3218" s="6"/>
      <c r="CA3218" s="6"/>
      <c r="CB3218" s="6"/>
      <c r="CC3218" s="6"/>
      <c r="CD3218" s="6"/>
      <c r="CE3218" s="6"/>
      <c r="CF3218" s="6"/>
      <c r="CG3218" s="6"/>
      <c r="CH3218" s="6"/>
      <c r="CI3218" s="6"/>
      <c r="CJ3218" s="6"/>
      <c r="CK3218" s="6"/>
      <c r="CL3218" s="6"/>
      <c r="CM3218" s="6"/>
      <c r="CN3218" s="6"/>
      <c r="CO3218" s="6"/>
      <c r="CP3218" s="6"/>
      <c r="CQ3218" s="6"/>
      <c r="CR3218" s="6"/>
      <c r="CS3218" s="6"/>
      <c r="CT3218" s="6"/>
      <c r="CU3218" s="6"/>
      <c r="CV3218" s="6"/>
      <c r="CW3218" s="6"/>
      <c r="CX3218" s="6"/>
      <c r="CY3218" s="6"/>
      <c r="CZ3218" s="6"/>
      <c r="DA3218" s="6"/>
      <c r="DB3218" s="6"/>
      <c r="DC3218" s="6"/>
      <c r="DD3218" s="6"/>
    </row>
    <row r="3219" spans="1:108" ht="12.75" hidden="1" customHeight="1" outlineLevel="6">
      <c r="A3219" s="104" t="s">
        <v>109</v>
      </c>
      <c r="B3219" s="28">
        <f t="shared" si="188"/>
        <v>0</v>
      </c>
      <c r="C3219" s="11"/>
      <c r="D3219" s="18" t="str">
        <f>"&lt;" &amp; A3219 &amp; "&gt;" &amp; TEXT(B3219,"0.000000") &amp; "&lt;/" &amp; A3219 &amp; "&gt;"</f>
        <v>&lt;A&gt;0.000000&lt;/A&gt;</v>
      </c>
      <c r="F3219" s="6"/>
      <c r="G3219" s="6"/>
      <c r="H3219" s="6"/>
      <c r="I3219" s="6"/>
      <c r="J3219" s="6"/>
      <c r="K3219" s="6"/>
      <c r="L3219" s="6"/>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c r="BU3219" s="6"/>
      <c r="BV3219" s="6"/>
      <c r="BW3219" s="6"/>
      <c r="BX3219" s="6"/>
      <c r="BY3219" s="6"/>
      <c r="BZ3219" s="6"/>
      <c r="CA3219" s="6"/>
      <c r="CB3219" s="6"/>
      <c r="CC3219" s="6"/>
      <c r="CD3219" s="6"/>
      <c r="CE3219" s="6"/>
      <c r="CF3219" s="6"/>
      <c r="CG3219" s="6"/>
      <c r="CH3219" s="6"/>
      <c r="CI3219" s="6"/>
      <c r="CJ3219" s="6"/>
      <c r="CK3219" s="6"/>
      <c r="CL3219" s="6"/>
      <c r="CM3219" s="6"/>
      <c r="CN3219" s="6"/>
      <c r="CO3219" s="6"/>
      <c r="CP3219" s="6"/>
      <c r="CQ3219" s="6"/>
      <c r="CR3219" s="6"/>
      <c r="CS3219" s="6"/>
      <c r="CT3219" s="6"/>
      <c r="CU3219" s="6"/>
      <c r="CV3219" s="6"/>
      <c r="CW3219" s="6"/>
      <c r="CX3219" s="6"/>
      <c r="CY3219" s="6"/>
      <c r="CZ3219" s="6"/>
      <c r="DA3219" s="6"/>
      <c r="DB3219" s="6"/>
      <c r="DC3219" s="6"/>
      <c r="DD3219" s="6"/>
    </row>
    <row r="3220" spans="1:108" ht="12.75" hidden="1" customHeight="1" outlineLevel="6">
      <c r="A3220" s="104" t="s">
        <v>110</v>
      </c>
      <c r="B3220" s="28">
        <f t="shared" si="188"/>
        <v>0</v>
      </c>
      <c r="C3220" s="11"/>
      <c r="D3220" s="18" t="str">
        <f>"&lt;" &amp; A3220 &amp; "&gt;" &amp; TEXT(B3220,0) &amp; "&lt;/" &amp; A3220 &amp; "&gt;"</f>
        <v>&lt;Slat_Flag&gt;0&lt;/Slat_Flag&gt;</v>
      </c>
      <c r="F3220" s="6"/>
      <c r="G3220" s="6"/>
      <c r="H3220" s="6"/>
      <c r="I3220" s="6"/>
      <c r="J3220" s="6"/>
      <c r="K3220" s="6"/>
      <c r="L3220" s="6"/>
      <c r="M3220" s="6"/>
      <c r="N3220" s="6"/>
      <c r="O3220" s="6"/>
      <c r="P3220" s="6"/>
      <c r="Q3220" s="6"/>
      <c r="R3220" s="6"/>
      <c r="S3220" s="6"/>
      <c r="T3220" s="6"/>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c r="BU3220" s="6"/>
      <c r="BV3220" s="6"/>
      <c r="BW3220" s="6"/>
      <c r="BX3220" s="6"/>
      <c r="BY3220" s="6"/>
      <c r="BZ3220" s="6"/>
      <c r="CA3220" s="6"/>
      <c r="CB3220" s="6"/>
      <c r="CC3220" s="6"/>
      <c r="CD3220" s="6"/>
      <c r="CE3220" s="6"/>
      <c r="CF3220" s="6"/>
      <c r="CG3220" s="6"/>
      <c r="CH3220" s="6"/>
      <c r="CI3220" s="6"/>
      <c r="CJ3220" s="6"/>
      <c r="CK3220" s="6"/>
      <c r="CL3220" s="6"/>
      <c r="CM3220" s="6"/>
      <c r="CN3220" s="6"/>
      <c r="CO3220" s="6"/>
      <c r="CP3220" s="6"/>
      <c r="CQ3220" s="6"/>
      <c r="CR3220" s="6"/>
      <c r="CS3220" s="6"/>
      <c r="CT3220" s="6"/>
      <c r="CU3220" s="6"/>
      <c r="CV3220" s="6"/>
      <c r="CW3220" s="6"/>
      <c r="CX3220" s="6"/>
      <c r="CY3220" s="6"/>
      <c r="CZ3220" s="6"/>
      <c r="DA3220" s="6"/>
      <c r="DB3220" s="6"/>
      <c r="DC3220" s="6"/>
      <c r="DD3220" s="6"/>
    </row>
    <row r="3221" spans="1:108" ht="12.75" hidden="1" customHeight="1" outlineLevel="6">
      <c r="A3221" s="104" t="s">
        <v>111</v>
      </c>
      <c r="B3221" s="28">
        <f t="shared" si="188"/>
        <v>0</v>
      </c>
      <c r="C3221" s="11"/>
      <c r="D3221" s="18" t="str">
        <f>"&lt;" &amp; A3221 &amp; "&gt;" &amp; TEXT(B3221,0) &amp; "&lt;/" &amp; A3221 &amp; "&gt;"</f>
        <v>&lt;Slat_Shear_Flag&gt;0&lt;/Slat_Shear_Flag&gt;</v>
      </c>
      <c r="F3221" s="6"/>
      <c r="G3221" s="6"/>
      <c r="H3221" s="6"/>
      <c r="I3221" s="6"/>
      <c r="J3221" s="6"/>
      <c r="K3221" s="6"/>
      <c r="L3221" s="6"/>
      <c r="M3221" s="6"/>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c r="BU3221" s="6"/>
      <c r="BV3221" s="6"/>
      <c r="BW3221" s="6"/>
      <c r="BX3221" s="6"/>
      <c r="BY3221" s="6"/>
      <c r="BZ3221" s="6"/>
      <c r="CA3221" s="6"/>
      <c r="CB3221" s="6"/>
      <c r="CC3221" s="6"/>
      <c r="CD3221" s="6"/>
      <c r="CE3221" s="6"/>
      <c r="CF3221" s="6"/>
      <c r="CG3221" s="6"/>
      <c r="CH3221" s="6"/>
      <c r="CI3221" s="6"/>
      <c r="CJ3221" s="6"/>
      <c r="CK3221" s="6"/>
      <c r="CL3221" s="6"/>
      <c r="CM3221" s="6"/>
      <c r="CN3221" s="6"/>
      <c r="CO3221" s="6"/>
      <c r="CP3221" s="6"/>
      <c r="CQ3221" s="6"/>
      <c r="CR3221" s="6"/>
      <c r="CS3221" s="6"/>
      <c r="CT3221" s="6"/>
      <c r="CU3221" s="6"/>
      <c r="CV3221" s="6"/>
      <c r="CW3221" s="6"/>
      <c r="CX3221" s="6"/>
      <c r="CY3221" s="6"/>
      <c r="CZ3221" s="6"/>
      <c r="DA3221" s="6"/>
      <c r="DB3221" s="6"/>
      <c r="DC3221" s="6"/>
      <c r="DD3221" s="6"/>
    </row>
    <row r="3222" spans="1:108" ht="12.75" hidden="1" customHeight="1" outlineLevel="6">
      <c r="A3222" s="104" t="s">
        <v>112</v>
      </c>
      <c r="B3222" s="28">
        <f t="shared" si="188"/>
        <v>0.25</v>
      </c>
      <c r="C3222" s="11"/>
      <c r="D3222" s="18" t="str">
        <f>"&lt;" &amp; A3222 &amp; "&gt;" &amp; TEXT(B3222,"0.000000") &amp; "&lt;/" &amp; A3222 &amp; "&gt;"</f>
        <v>&lt;Slat_Chord&gt;0.250000&lt;/Slat_Chord&gt;</v>
      </c>
      <c r="F3222" s="6"/>
      <c r="G3222" s="6"/>
      <c r="H3222" s="6"/>
      <c r="I3222" s="6"/>
      <c r="J3222" s="6"/>
      <c r="K3222" s="6"/>
      <c r="L3222" s="6"/>
      <c r="M3222" s="6"/>
      <c r="N3222" s="6"/>
      <c r="O3222" s="6"/>
      <c r="P3222" s="6"/>
      <c r="Q3222" s="6"/>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c r="BU3222" s="6"/>
      <c r="BV3222" s="6"/>
      <c r="BW3222" s="6"/>
      <c r="BX3222" s="6"/>
      <c r="BY3222" s="6"/>
      <c r="BZ3222" s="6"/>
      <c r="CA3222" s="6"/>
      <c r="CB3222" s="6"/>
      <c r="CC3222" s="6"/>
      <c r="CD3222" s="6"/>
      <c r="CE3222" s="6"/>
      <c r="CF3222" s="6"/>
      <c r="CG3222" s="6"/>
      <c r="CH3222" s="6"/>
      <c r="CI3222" s="6"/>
      <c r="CJ3222" s="6"/>
      <c r="CK3222" s="6"/>
      <c r="CL3222" s="6"/>
      <c r="CM3222" s="6"/>
      <c r="CN3222" s="6"/>
      <c r="CO3222" s="6"/>
      <c r="CP3222" s="6"/>
      <c r="CQ3222" s="6"/>
      <c r="CR3222" s="6"/>
      <c r="CS3222" s="6"/>
      <c r="CT3222" s="6"/>
      <c r="CU3222" s="6"/>
      <c r="CV3222" s="6"/>
      <c r="CW3222" s="6"/>
      <c r="CX3222" s="6"/>
      <c r="CY3222" s="6"/>
      <c r="CZ3222" s="6"/>
      <c r="DA3222" s="6"/>
      <c r="DB3222" s="6"/>
      <c r="DC3222" s="6"/>
      <c r="DD3222" s="6"/>
    </row>
    <row r="3223" spans="1:108" ht="12.75" hidden="1" customHeight="1" outlineLevel="6">
      <c r="A3223" s="104" t="s">
        <v>113</v>
      </c>
      <c r="B3223" s="28">
        <f t="shared" si="188"/>
        <v>10</v>
      </c>
      <c r="C3223" s="11"/>
      <c r="D3223" s="18" t="str">
        <f>"&lt;" &amp; A3223 &amp; "&gt;" &amp; TEXT(B3223,"0.000000") &amp; "&lt;/" &amp; A3223 &amp; "&gt;"</f>
        <v>&lt;Slat_Angle&gt;10.000000&lt;/Slat_Angle&gt;</v>
      </c>
      <c r="F3223" s="6"/>
      <c r="G3223" s="6"/>
      <c r="H3223" s="6"/>
      <c r="I3223" s="6"/>
      <c r="J3223" s="6"/>
      <c r="K3223" s="6"/>
      <c r="L3223" s="6"/>
      <c r="M3223" s="6"/>
      <c r="N3223" s="6"/>
      <c r="O3223" s="6"/>
      <c r="P3223" s="6"/>
      <c r="Q3223" s="6"/>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c r="BU3223" s="6"/>
      <c r="BV3223" s="6"/>
      <c r="BW3223" s="6"/>
      <c r="BX3223" s="6"/>
      <c r="BY3223" s="6"/>
      <c r="BZ3223" s="6"/>
      <c r="CA3223" s="6"/>
      <c r="CB3223" s="6"/>
      <c r="CC3223" s="6"/>
      <c r="CD3223" s="6"/>
      <c r="CE3223" s="6"/>
      <c r="CF3223" s="6"/>
      <c r="CG3223" s="6"/>
      <c r="CH3223" s="6"/>
      <c r="CI3223" s="6"/>
      <c r="CJ3223" s="6"/>
      <c r="CK3223" s="6"/>
      <c r="CL3223" s="6"/>
      <c r="CM3223" s="6"/>
      <c r="CN3223" s="6"/>
      <c r="CO3223" s="6"/>
      <c r="CP3223" s="6"/>
      <c r="CQ3223" s="6"/>
      <c r="CR3223" s="6"/>
      <c r="CS3223" s="6"/>
      <c r="CT3223" s="6"/>
      <c r="CU3223" s="6"/>
      <c r="CV3223" s="6"/>
      <c r="CW3223" s="6"/>
      <c r="CX3223" s="6"/>
      <c r="CY3223" s="6"/>
      <c r="CZ3223" s="6"/>
      <c r="DA3223" s="6"/>
      <c r="DB3223" s="6"/>
      <c r="DC3223" s="6"/>
      <c r="DD3223" s="6"/>
    </row>
    <row r="3224" spans="1:108" ht="12.75" hidden="1" customHeight="1" outlineLevel="6">
      <c r="A3224" s="104" t="s">
        <v>114</v>
      </c>
      <c r="B3224" s="28">
        <f t="shared" si="188"/>
        <v>0</v>
      </c>
      <c r="C3224" s="11"/>
      <c r="D3224" s="18" t="str">
        <f>"&lt;" &amp; A3224 &amp; "&gt;" &amp; TEXT(B3224,0) &amp; "&lt;/" &amp; A3224 &amp; "&gt;"</f>
        <v>&lt;Flap_Flag&gt;0&lt;/Flap_Flag&gt;</v>
      </c>
      <c r="F3224" s="6"/>
      <c r="G3224" s="6"/>
      <c r="H3224" s="6"/>
      <c r="I3224" s="6"/>
      <c r="J3224" s="6"/>
      <c r="K3224" s="6"/>
      <c r="L3224" s="6"/>
      <c r="M3224" s="6"/>
      <c r="N3224" s="6"/>
      <c r="O3224" s="6"/>
      <c r="P3224" s="6"/>
      <c r="Q3224" s="6"/>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c r="BU3224" s="6"/>
      <c r="BV3224" s="6"/>
      <c r="BW3224" s="6"/>
      <c r="BX3224" s="6"/>
      <c r="BY3224" s="6"/>
      <c r="BZ3224" s="6"/>
      <c r="CA3224" s="6"/>
      <c r="CB3224" s="6"/>
      <c r="CC3224" s="6"/>
      <c r="CD3224" s="6"/>
      <c r="CE3224" s="6"/>
      <c r="CF3224" s="6"/>
      <c r="CG3224" s="6"/>
      <c r="CH3224" s="6"/>
      <c r="CI3224" s="6"/>
      <c r="CJ3224" s="6"/>
      <c r="CK3224" s="6"/>
      <c r="CL3224" s="6"/>
      <c r="CM3224" s="6"/>
      <c r="CN3224" s="6"/>
      <c r="CO3224" s="6"/>
      <c r="CP3224" s="6"/>
      <c r="CQ3224" s="6"/>
      <c r="CR3224" s="6"/>
      <c r="CS3224" s="6"/>
      <c r="CT3224" s="6"/>
      <c r="CU3224" s="6"/>
      <c r="CV3224" s="6"/>
      <c r="CW3224" s="6"/>
      <c r="CX3224" s="6"/>
      <c r="CY3224" s="6"/>
      <c r="CZ3224" s="6"/>
      <c r="DA3224" s="6"/>
      <c r="DB3224" s="6"/>
      <c r="DC3224" s="6"/>
      <c r="DD3224" s="6"/>
    </row>
    <row r="3225" spans="1:108" ht="12.75" hidden="1" customHeight="1" outlineLevel="6">
      <c r="A3225" s="104" t="s">
        <v>115</v>
      </c>
      <c r="B3225" s="28">
        <f t="shared" si="188"/>
        <v>0</v>
      </c>
      <c r="C3225" s="11"/>
      <c r="D3225" s="18" t="str">
        <f>"&lt;" &amp; A3225 &amp; "&gt;" &amp; TEXT(B3225,0) &amp; "&lt;/" &amp; A3225 &amp; "&gt;"</f>
        <v>&lt;Flap_Shear_Flag&gt;0&lt;/Flap_Shear_Flag&gt;</v>
      </c>
      <c r="F3225" s="6"/>
      <c r="G3225" s="6"/>
      <c r="H3225" s="6"/>
      <c r="I3225" s="6"/>
      <c r="J3225" s="6"/>
      <c r="K3225" s="6"/>
      <c r="L3225" s="6"/>
      <c r="M3225" s="6"/>
      <c r="N3225" s="6"/>
      <c r="O3225" s="6"/>
      <c r="P3225" s="6"/>
      <c r="Q3225" s="6"/>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c r="BU3225" s="6"/>
      <c r="BV3225" s="6"/>
      <c r="BW3225" s="6"/>
      <c r="BX3225" s="6"/>
      <c r="BY3225" s="6"/>
      <c r="BZ3225" s="6"/>
      <c r="CA3225" s="6"/>
      <c r="CB3225" s="6"/>
      <c r="CC3225" s="6"/>
      <c r="CD3225" s="6"/>
      <c r="CE3225" s="6"/>
      <c r="CF3225" s="6"/>
      <c r="CG3225" s="6"/>
      <c r="CH3225" s="6"/>
      <c r="CI3225" s="6"/>
      <c r="CJ3225" s="6"/>
      <c r="CK3225" s="6"/>
      <c r="CL3225" s="6"/>
      <c r="CM3225" s="6"/>
      <c r="CN3225" s="6"/>
      <c r="CO3225" s="6"/>
      <c r="CP3225" s="6"/>
      <c r="CQ3225" s="6"/>
      <c r="CR3225" s="6"/>
      <c r="CS3225" s="6"/>
      <c r="CT3225" s="6"/>
      <c r="CU3225" s="6"/>
      <c r="CV3225" s="6"/>
      <c r="CW3225" s="6"/>
      <c r="CX3225" s="6"/>
      <c r="CY3225" s="6"/>
      <c r="CZ3225" s="6"/>
      <c r="DA3225" s="6"/>
      <c r="DB3225" s="6"/>
      <c r="DC3225" s="6"/>
      <c r="DD3225" s="6"/>
    </row>
    <row r="3226" spans="1:108" ht="12.75" hidden="1" customHeight="1" outlineLevel="6">
      <c r="A3226" s="104" t="s">
        <v>116</v>
      </c>
      <c r="B3226" s="28">
        <f t="shared" si="188"/>
        <v>0.25</v>
      </c>
      <c r="C3226" s="11"/>
      <c r="D3226" s="18" t="str">
        <f>"&lt;" &amp; A3226 &amp; "&gt;" &amp; TEXT(B3226,"0.000000") &amp; "&lt;/" &amp; A3226 &amp; "&gt;"</f>
        <v>&lt;Flap_Chord&gt;0.250000&lt;/Flap_Chord&gt;</v>
      </c>
      <c r="F3226" s="6"/>
      <c r="G3226" s="6"/>
      <c r="H3226" s="6"/>
      <c r="I3226" s="6"/>
      <c r="J3226" s="6"/>
      <c r="K3226" s="6"/>
      <c r="L3226" s="6"/>
      <c r="M3226" s="6"/>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c r="BU3226" s="6"/>
      <c r="BV3226" s="6"/>
      <c r="BW3226" s="6"/>
      <c r="BX3226" s="6"/>
      <c r="BY3226" s="6"/>
      <c r="BZ3226" s="6"/>
      <c r="CA3226" s="6"/>
      <c r="CB3226" s="6"/>
      <c r="CC3226" s="6"/>
      <c r="CD3226" s="6"/>
      <c r="CE3226" s="6"/>
      <c r="CF3226" s="6"/>
      <c r="CG3226" s="6"/>
      <c r="CH3226" s="6"/>
      <c r="CI3226" s="6"/>
      <c r="CJ3226" s="6"/>
      <c r="CK3226" s="6"/>
      <c r="CL3226" s="6"/>
      <c r="CM3226" s="6"/>
      <c r="CN3226" s="6"/>
      <c r="CO3226" s="6"/>
      <c r="CP3226" s="6"/>
      <c r="CQ3226" s="6"/>
      <c r="CR3226" s="6"/>
      <c r="CS3226" s="6"/>
      <c r="CT3226" s="6"/>
      <c r="CU3226" s="6"/>
      <c r="CV3226" s="6"/>
      <c r="CW3226" s="6"/>
      <c r="CX3226" s="6"/>
      <c r="CY3226" s="6"/>
      <c r="CZ3226" s="6"/>
      <c r="DA3226" s="6"/>
      <c r="DB3226" s="6"/>
      <c r="DC3226" s="6"/>
      <c r="DD3226" s="6"/>
    </row>
    <row r="3227" spans="1:108" ht="12.75" hidden="1" customHeight="1" outlineLevel="6">
      <c r="A3227" s="104" t="s">
        <v>117</v>
      </c>
      <c r="B3227" s="28">
        <f t="shared" si="188"/>
        <v>10</v>
      </c>
      <c r="C3227" s="11"/>
      <c r="D3227" s="18" t="str">
        <f>"&lt;" &amp; A3227 &amp; "&gt;" &amp; TEXT(B3227,"0.000000") &amp; "&lt;/" &amp; A3227 &amp; "&gt;"</f>
        <v>&lt;Flap_Angle&gt;10.000000&lt;/Flap_Angle&gt;</v>
      </c>
      <c r="F3227" s="6"/>
      <c r="G3227" s="6"/>
      <c r="H3227" s="6"/>
      <c r="I3227" s="6"/>
      <c r="J3227" s="6"/>
      <c r="K3227" s="6"/>
      <c r="L3227" s="6"/>
      <c r="M3227" s="6"/>
      <c r="N3227" s="6"/>
      <c r="O3227" s="6"/>
      <c r="P3227" s="6"/>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c r="BU3227" s="6"/>
      <c r="BV3227" s="6"/>
      <c r="BW3227" s="6"/>
      <c r="BX3227" s="6"/>
      <c r="BY3227" s="6"/>
      <c r="BZ3227" s="6"/>
      <c r="CA3227" s="6"/>
      <c r="CB3227" s="6"/>
      <c r="CC3227" s="6"/>
      <c r="CD3227" s="6"/>
      <c r="CE3227" s="6"/>
      <c r="CF3227" s="6"/>
      <c r="CG3227" s="6"/>
      <c r="CH3227" s="6"/>
      <c r="CI3227" s="6"/>
      <c r="CJ3227" s="6"/>
      <c r="CK3227" s="6"/>
      <c r="CL3227" s="6"/>
      <c r="CM3227" s="6"/>
      <c r="CN3227" s="6"/>
      <c r="CO3227" s="6"/>
      <c r="CP3227" s="6"/>
      <c r="CQ3227" s="6"/>
      <c r="CR3227" s="6"/>
      <c r="CS3227" s="6"/>
      <c r="CT3227" s="6"/>
      <c r="CU3227" s="6"/>
      <c r="CV3227" s="6"/>
      <c r="CW3227" s="6"/>
      <c r="CX3227" s="6"/>
      <c r="CY3227" s="6"/>
      <c r="CZ3227" s="6"/>
      <c r="DA3227" s="6"/>
      <c r="DB3227" s="6"/>
      <c r="DC3227" s="6"/>
      <c r="DD3227" s="6"/>
    </row>
    <row r="3228" spans="1:108" ht="12.75" hidden="1" customHeight="1" outlineLevel="6">
      <c r="A3228" s="104" t="s">
        <v>118</v>
      </c>
      <c r="B3228" s="100"/>
      <c r="C3228" s="11"/>
      <c r="D3228" s="6" t="str">
        <f>"&lt;" &amp; A3228 &amp; "&gt;"</f>
        <v>&lt;/Airfoil&gt;</v>
      </c>
      <c r="F3228" s="6"/>
      <c r="G3228" s="6"/>
      <c r="H3228" s="6"/>
      <c r="I3228" s="6"/>
      <c r="J3228" s="6"/>
      <c r="K3228" s="6"/>
      <c r="L3228" s="6"/>
      <c r="M3228" s="6"/>
      <c r="N3228" s="6"/>
      <c r="O3228" s="6"/>
      <c r="P3228" s="6"/>
      <c r="Q3228" s="6"/>
      <c r="R3228" s="6"/>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c r="BU3228" s="6"/>
      <c r="BV3228" s="6"/>
      <c r="BW3228" s="6"/>
      <c r="BX3228" s="6"/>
      <c r="BY3228" s="6"/>
      <c r="BZ3228" s="6"/>
      <c r="CA3228" s="6"/>
      <c r="CB3228" s="6"/>
      <c r="CC3228" s="6"/>
      <c r="CD3228" s="6"/>
      <c r="CE3228" s="6"/>
      <c r="CF3228" s="6"/>
      <c r="CG3228" s="6"/>
      <c r="CH3228" s="6"/>
      <c r="CI3228" s="6"/>
      <c r="CJ3228" s="6"/>
      <c r="CK3228" s="6"/>
      <c r="CL3228" s="6"/>
      <c r="CM3228" s="6"/>
      <c r="CN3228" s="6"/>
      <c r="CO3228" s="6"/>
      <c r="CP3228" s="6"/>
      <c r="CQ3228" s="6"/>
      <c r="CR3228" s="6"/>
      <c r="CS3228" s="6"/>
      <c r="CT3228" s="6"/>
      <c r="CU3228" s="6"/>
      <c r="CV3228" s="6"/>
      <c r="CW3228" s="6"/>
      <c r="CX3228" s="6"/>
      <c r="CY3228" s="6"/>
      <c r="CZ3228" s="6"/>
      <c r="DA3228" s="6"/>
      <c r="DB3228" s="6"/>
      <c r="DC3228" s="6"/>
      <c r="DD3228" s="6"/>
    </row>
    <row r="3229" spans="1:108" ht="12.75" hidden="1" customHeight="1" outlineLevel="5">
      <c r="A3229" s="104" t="s">
        <v>119</v>
      </c>
      <c r="B3229" s="100"/>
      <c r="C3229" s="11"/>
      <c r="D3229" s="6" t="str">
        <f>"&lt;" &amp; A3229 &amp; "&gt;"</f>
        <v>&lt;/Airfoil_List&gt;</v>
      </c>
      <c r="F3229" s="6"/>
      <c r="G3229" s="6"/>
      <c r="H3229" s="6"/>
      <c r="I3229" s="6"/>
      <c r="J3229" s="6"/>
      <c r="K3229" s="6"/>
      <c r="L3229" s="6"/>
      <c r="M3229" s="6"/>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c r="BU3229" s="6"/>
      <c r="BV3229" s="6"/>
      <c r="BW3229" s="6"/>
      <c r="BX3229" s="6"/>
      <c r="BY3229" s="6"/>
      <c r="BZ3229" s="6"/>
      <c r="CA3229" s="6"/>
      <c r="CB3229" s="6"/>
      <c r="CC3229" s="6"/>
      <c r="CD3229" s="6"/>
      <c r="CE3229" s="6"/>
      <c r="CF3229" s="6"/>
      <c r="CG3229" s="6"/>
      <c r="CH3229" s="6"/>
      <c r="CI3229" s="6"/>
      <c r="CJ3229" s="6"/>
      <c r="CK3229" s="6"/>
      <c r="CL3229" s="6"/>
      <c r="CM3229" s="6"/>
      <c r="CN3229" s="6"/>
      <c r="CO3229" s="6"/>
      <c r="CP3229" s="6"/>
      <c r="CQ3229" s="6"/>
      <c r="CR3229" s="6"/>
      <c r="CS3229" s="6"/>
      <c r="CT3229" s="6"/>
      <c r="CU3229" s="6"/>
      <c r="CV3229" s="6"/>
      <c r="CW3229" s="6"/>
      <c r="CX3229" s="6"/>
      <c r="CY3229" s="6"/>
      <c r="CZ3229" s="6"/>
      <c r="DA3229" s="6"/>
      <c r="DB3229" s="6"/>
      <c r="DC3229" s="6"/>
      <c r="DD3229" s="6"/>
    </row>
    <row r="3230" spans="1:108" ht="12.75" hidden="1" customHeight="1" outlineLevel="4" collapsed="1">
      <c r="A3230" s="104" t="s">
        <v>120</v>
      </c>
      <c r="B3230" s="100"/>
      <c r="C3230" s="11"/>
      <c r="D3230" s="6" t="str">
        <f>"&lt;" &amp; A3230 &amp; "&gt;"</f>
        <v>&lt;Section_List&gt;</v>
      </c>
      <c r="F3230" s="6"/>
      <c r="G3230" s="6"/>
      <c r="H3230" s="6"/>
      <c r="I3230" s="6"/>
      <c r="J3230" s="6"/>
      <c r="K3230" s="6"/>
      <c r="L3230" s="6"/>
      <c r="M3230" s="6"/>
      <c r="N3230" s="6"/>
      <c r="O3230" s="6"/>
      <c r="P3230" s="6"/>
      <c r="Q3230" s="6"/>
      <c r="R3230" s="6"/>
      <c r="S3230" s="6"/>
      <c r="T3230" s="6"/>
      <c r="U3230" s="6"/>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c r="BU3230" s="6"/>
      <c r="BV3230" s="6"/>
      <c r="BW3230" s="6"/>
      <c r="BX3230" s="6"/>
      <c r="BY3230" s="6"/>
      <c r="BZ3230" s="6"/>
      <c r="CA3230" s="6"/>
      <c r="CB3230" s="6"/>
      <c r="CC3230" s="6"/>
      <c r="CD3230" s="6"/>
      <c r="CE3230" s="6"/>
      <c r="CF3230" s="6"/>
      <c r="CG3230" s="6"/>
      <c r="CH3230" s="6"/>
      <c r="CI3230" s="6"/>
      <c r="CJ3230" s="6"/>
      <c r="CK3230" s="6"/>
      <c r="CL3230" s="6"/>
      <c r="CM3230" s="6"/>
      <c r="CN3230" s="6"/>
      <c r="CO3230" s="6"/>
      <c r="CP3230" s="6"/>
      <c r="CQ3230" s="6"/>
      <c r="CR3230" s="6"/>
      <c r="CS3230" s="6"/>
      <c r="CT3230" s="6"/>
      <c r="CU3230" s="6"/>
      <c r="CV3230" s="6"/>
      <c r="CW3230" s="6"/>
      <c r="CX3230" s="6"/>
      <c r="CY3230" s="6"/>
      <c r="CZ3230" s="6"/>
      <c r="DA3230" s="6"/>
      <c r="DB3230" s="6"/>
      <c r="DC3230" s="6"/>
      <c r="DD3230" s="6"/>
    </row>
    <row r="3231" spans="1:108" ht="12.75" hidden="1" customHeight="1" outlineLevel="5">
      <c r="A3231" s="104" t="s">
        <v>121</v>
      </c>
      <c r="B3231" s="100"/>
      <c r="C3231" s="11"/>
      <c r="D3231" s="6" t="str">
        <f>"&lt;" &amp; A3231 &amp; "&gt;"</f>
        <v>&lt;Section&gt;</v>
      </c>
      <c r="F3231" s="6"/>
      <c r="G3231" s="6"/>
      <c r="H3231" s="6"/>
      <c r="I3231" s="6"/>
      <c r="J3231" s="6"/>
      <c r="K3231" s="6"/>
      <c r="L3231" s="6"/>
      <c r="M3231" s="6"/>
      <c r="N3231" s="6"/>
      <c r="O3231" s="6"/>
      <c r="P3231" s="6"/>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c r="BU3231" s="6"/>
      <c r="BV3231" s="6"/>
      <c r="BW3231" s="6"/>
      <c r="BX3231" s="6"/>
      <c r="BY3231" s="6"/>
      <c r="BZ3231" s="6"/>
      <c r="CA3231" s="6"/>
      <c r="CB3231" s="6"/>
      <c r="CC3231" s="6"/>
      <c r="CD3231" s="6"/>
      <c r="CE3231" s="6"/>
      <c r="CF3231" s="6"/>
      <c r="CG3231" s="6"/>
      <c r="CH3231" s="6"/>
      <c r="CI3231" s="6"/>
      <c r="CJ3231" s="6"/>
      <c r="CK3231" s="6"/>
      <c r="CL3231" s="6"/>
      <c r="CM3231" s="6"/>
      <c r="CN3231" s="6"/>
      <c r="CO3231" s="6"/>
      <c r="CP3231" s="6"/>
      <c r="CQ3231" s="6"/>
      <c r="CR3231" s="6"/>
      <c r="CS3231" s="6"/>
      <c r="CT3231" s="6"/>
      <c r="CU3231" s="6"/>
      <c r="CV3231" s="6"/>
      <c r="CW3231" s="6"/>
      <c r="CX3231" s="6"/>
      <c r="CY3231" s="6"/>
      <c r="CZ3231" s="6"/>
      <c r="DA3231" s="6"/>
      <c r="DB3231" s="6"/>
      <c r="DC3231" s="6"/>
      <c r="DD3231" s="6"/>
    </row>
    <row r="3232" spans="1:108" ht="12.75" hidden="1" customHeight="1" outlineLevel="6">
      <c r="A3232" s="104" t="s">
        <v>122</v>
      </c>
      <c r="B3232" s="28">
        <f t="shared" ref="B3232:B3250" si="190">B1633</f>
        <v>4</v>
      </c>
      <c r="C3232" s="11"/>
      <c r="D3232" s="18" t="str">
        <f>"&lt;" &amp; A3232 &amp; "&gt;" &amp; TEXT(B3232,0) &amp; "&lt;/" &amp; A3232 &amp; "&gt;"</f>
        <v>&lt;Driver&gt;4&lt;/Driver&gt;</v>
      </c>
      <c r="F3232" s="6"/>
      <c r="G3232" s="6"/>
      <c r="H3232" s="6"/>
      <c r="I3232" s="6"/>
      <c r="J3232" s="6"/>
      <c r="K3232" s="6"/>
      <c r="L3232" s="6"/>
      <c r="M3232" s="6"/>
      <c r="N3232" s="6"/>
      <c r="O3232" s="6"/>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c r="BU3232" s="6"/>
      <c r="BV3232" s="6"/>
      <c r="BW3232" s="6"/>
      <c r="BX3232" s="6"/>
      <c r="BY3232" s="6"/>
      <c r="BZ3232" s="6"/>
      <c r="CA3232" s="6"/>
      <c r="CB3232" s="6"/>
      <c r="CC3232" s="6"/>
      <c r="CD3232" s="6"/>
      <c r="CE3232" s="6"/>
      <c r="CF3232" s="6"/>
      <c r="CG3232" s="6"/>
      <c r="CH3232" s="6"/>
      <c r="CI3232" s="6"/>
      <c r="CJ3232" s="6"/>
      <c r="CK3232" s="6"/>
      <c r="CL3232" s="6"/>
      <c r="CM3232" s="6"/>
      <c r="CN3232" s="6"/>
      <c r="CO3232" s="6"/>
      <c r="CP3232" s="6"/>
      <c r="CQ3232" s="6"/>
      <c r="CR3232" s="6"/>
      <c r="CS3232" s="6"/>
      <c r="CT3232" s="6"/>
      <c r="CU3232" s="6"/>
      <c r="CV3232" s="6"/>
      <c r="CW3232" s="6"/>
      <c r="CX3232" s="6"/>
      <c r="CY3232" s="6"/>
      <c r="CZ3232" s="6"/>
      <c r="DA3232" s="6"/>
      <c r="DB3232" s="6"/>
      <c r="DC3232" s="6"/>
      <c r="DD3232" s="6"/>
    </row>
    <row r="3233" spans="1:108" ht="12.75" hidden="1" customHeight="1" outlineLevel="6">
      <c r="A3233" s="104" t="s">
        <v>123</v>
      </c>
      <c r="B3233" s="37" t="e">
        <f>(B3236^2)/B3235</f>
        <v>#VALUE!</v>
      </c>
      <c r="C3233" s="11"/>
      <c r="D3233" s="18" t="e">
        <f t="shared" ref="D3233:D3247" si="191">"&lt;" &amp; A3233 &amp; "&gt;" &amp; TEXT(B3233,"0.000000") &amp; "&lt;/" &amp; A3233 &amp; "&gt;"</f>
        <v>#VALUE!</v>
      </c>
      <c r="F3233" s="6"/>
      <c r="G3233" s="6"/>
      <c r="H3233" s="6"/>
      <c r="I3233" s="6"/>
      <c r="J3233" s="6"/>
      <c r="K3233" s="6"/>
      <c r="L3233" s="6"/>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c r="BU3233" s="6"/>
      <c r="BV3233" s="6"/>
      <c r="BW3233" s="6"/>
      <c r="BX3233" s="6"/>
      <c r="BY3233" s="6"/>
      <c r="BZ3233" s="6"/>
      <c r="CA3233" s="6"/>
      <c r="CB3233" s="6"/>
      <c r="CC3233" s="6"/>
      <c r="CD3233" s="6"/>
      <c r="CE3233" s="6"/>
      <c r="CF3233" s="6"/>
      <c r="CG3233" s="6"/>
      <c r="CH3233" s="6"/>
      <c r="CI3233" s="6"/>
      <c r="CJ3233" s="6"/>
      <c r="CK3233" s="6"/>
      <c r="CL3233" s="6"/>
      <c r="CM3233" s="6"/>
      <c r="CN3233" s="6"/>
      <c r="CO3233" s="6"/>
      <c r="CP3233" s="6"/>
      <c r="CQ3233" s="6"/>
      <c r="CR3233" s="6"/>
      <c r="CS3233" s="6"/>
      <c r="CT3233" s="6"/>
      <c r="CU3233" s="6"/>
      <c r="CV3233" s="6"/>
      <c r="CW3233" s="6"/>
      <c r="CX3233" s="6"/>
      <c r="CY3233" s="6"/>
      <c r="CZ3233" s="6"/>
      <c r="DA3233" s="6"/>
      <c r="DB3233" s="6"/>
      <c r="DC3233" s="6"/>
      <c r="DD3233" s="6"/>
    </row>
    <row r="3234" spans="1:108" ht="12.75" hidden="1" customHeight="1" outlineLevel="6">
      <c r="A3234" s="104" t="s">
        <v>124</v>
      </c>
      <c r="B3234" s="37" t="e">
        <f>B3237/B3238</f>
        <v>#VALUE!</v>
      </c>
      <c r="C3234" s="11"/>
      <c r="D3234" s="18" t="e">
        <f t="shared" si="191"/>
        <v>#VALUE!</v>
      </c>
      <c r="F3234" s="6"/>
      <c r="G3234" s="6"/>
      <c r="H3234" s="6"/>
      <c r="I3234" s="6"/>
      <c r="J3234" s="6"/>
      <c r="K3234" s="6"/>
      <c r="L3234" s="6"/>
      <c r="M3234" s="6"/>
      <c r="N3234" s="6"/>
      <c r="O3234" s="6"/>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c r="BU3234" s="6"/>
      <c r="BV3234" s="6"/>
      <c r="BW3234" s="6"/>
      <c r="BX3234" s="6"/>
      <c r="BY3234" s="6"/>
      <c r="BZ3234" s="6"/>
      <c r="CA3234" s="6"/>
      <c r="CB3234" s="6"/>
      <c r="CC3234" s="6"/>
      <c r="CD3234" s="6"/>
      <c r="CE3234" s="6"/>
      <c r="CF3234" s="6"/>
      <c r="CG3234" s="6"/>
      <c r="CH3234" s="6"/>
      <c r="CI3234" s="6"/>
      <c r="CJ3234" s="6"/>
      <c r="CK3234" s="6"/>
      <c r="CL3234" s="6"/>
      <c r="CM3234" s="6"/>
      <c r="CN3234" s="6"/>
      <c r="CO3234" s="6"/>
      <c r="CP3234" s="6"/>
      <c r="CQ3234" s="6"/>
      <c r="CR3234" s="6"/>
      <c r="CS3234" s="6"/>
      <c r="CT3234" s="6"/>
      <c r="CU3234" s="6"/>
      <c r="CV3234" s="6"/>
      <c r="CW3234" s="6"/>
      <c r="CX3234" s="6"/>
      <c r="CY3234" s="6"/>
      <c r="CZ3234" s="6"/>
      <c r="DA3234" s="6"/>
      <c r="DB3234" s="6"/>
      <c r="DC3234" s="6"/>
      <c r="DD3234" s="6"/>
    </row>
    <row r="3235" spans="1:108" ht="12.75" hidden="1" customHeight="1" outlineLevel="6">
      <c r="A3235" s="104" t="s">
        <v>6</v>
      </c>
      <c r="B3235" s="37" t="e">
        <f>0.5*(B3237+B3238)*B3236</f>
        <v>#VALUE!</v>
      </c>
      <c r="C3235" s="11"/>
      <c r="D3235" s="18" t="e">
        <f t="shared" si="191"/>
        <v>#VALUE!</v>
      </c>
      <c r="F3235" s="6"/>
      <c r="G3235" s="6"/>
      <c r="H3235" s="6"/>
      <c r="I3235" s="6"/>
      <c r="J3235" s="6"/>
      <c r="K3235" s="6"/>
      <c r="L3235" s="6"/>
      <c r="M3235" s="6"/>
      <c r="N3235" s="6"/>
      <c r="O3235" s="6"/>
      <c r="P3235" s="6"/>
      <c r="Q3235" s="6"/>
      <c r="R3235" s="6"/>
      <c r="S3235" s="6"/>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c r="BU3235" s="6"/>
      <c r="BV3235" s="6"/>
      <c r="BW3235" s="6"/>
      <c r="BX3235" s="6"/>
      <c r="BY3235" s="6"/>
      <c r="BZ3235" s="6"/>
      <c r="CA3235" s="6"/>
      <c r="CB3235" s="6"/>
      <c r="CC3235" s="6"/>
      <c r="CD3235" s="6"/>
      <c r="CE3235" s="6"/>
      <c r="CF3235" s="6"/>
      <c r="CG3235" s="6"/>
      <c r="CH3235" s="6"/>
      <c r="CI3235" s="6"/>
      <c r="CJ3235" s="6"/>
      <c r="CK3235" s="6"/>
      <c r="CL3235" s="6"/>
      <c r="CM3235" s="6"/>
      <c r="CN3235" s="6"/>
      <c r="CO3235" s="6"/>
      <c r="CP3235" s="6"/>
      <c r="CQ3235" s="6"/>
      <c r="CR3235" s="6"/>
      <c r="CS3235" s="6"/>
      <c r="CT3235" s="6"/>
      <c r="CU3235" s="6"/>
      <c r="CV3235" s="6"/>
      <c r="CW3235" s="6"/>
      <c r="CX3235" s="6"/>
      <c r="CY3235" s="6"/>
      <c r="CZ3235" s="6"/>
      <c r="DA3235" s="6"/>
      <c r="DB3235" s="6"/>
      <c r="DC3235" s="6"/>
      <c r="DD3235" s="6"/>
    </row>
    <row r="3236" spans="1:108" ht="12.75" hidden="1" customHeight="1" outlineLevel="6">
      <c r="A3236" s="104" t="s">
        <v>7</v>
      </c>
      <c r="B3236" s="28">
        <f>B2703</f>
        <v>0.9</v>
      </c>
      <c r="C3236" s="11"/>
      <c r="D3236" s="18" t="str">
        <f t="shared" si="191"/>
        <v>&lt;Span&gt;0.900000&lt;/Span&gt;</v>
      </c>
      <c r="F3236" s="6"/>
      <c r="G3236" s="6"/>
      <c r="H3236" s="6"/>
      <c r="I3236" s="6"/>
      <c r="J3236" s="6"/>
      <c r="K3236" s="6"/>
      <c r="L3236" s="6"/>
      <c r="M3236" s="6"/>
      <c r="N3236" s="6"/>
      <c r="O3236" s="6"/>
      <c r="P3236" s="6"/>
      <c r="Q3236" s="6"/>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c r="BU3236" s="6"/>
      <c r="BV3236" s="6"/>
      <c r="BW3236" s="6"/>
      <c r="BX3236" s="6"/>
      <c r="BY3236" s="6"/>
      <c r="BZ3236" s="6"/>
      <c r="CA3236" s="6"/>
      <c r="CB3236" s="6"/>
      <c r="CC3236" s="6"/>
      <c r="CD3236" s="6"/>
      <c r="CE3236" s="6"/>
      <c r="CF3236" s="6"/>
      <c r="CG3236" s="6"/>
      <c r="CH3236" s="6"/>
      <c r="CI3236" s="6"/>
      <c r="CJ3236" s="6"/>
      <c r="CK3236" s="6"/>
      <c r="CL3236" s="6"/>
      <c r="CM3236" s="6"/>
      <c r="CN3236" s="6"/>
      <c r="CO3236" s="6"/>
      <c r="CP3236" s="6"/>
      <c r="CQ3236" s="6"/>
      <c r="CR3236" s="6"/>
      <c r="CS3236" s="6"/>
      <c r="CT3236" s="6"/>
      <c r="CU3236" s="6"/>
      <c r="CV3236" s="6"/>
      <c r="CW3236" s="6"/>
      <c r="CX3236" s="6"/>
      <c r="CY3236" s="6"/>
      <c r="CZ3236" s="6"/>
      <c r="DA3236" s="6"/>
      <c r="DB3236" s="6"/>
      <c r="DC3236" s="6"/>
      <c r="DD3236" s="6"/>
    </row>
    <row r="3237" spans="1:108" ht="12.75" hidden="1" customHeight="1" outlineLevel="6">
      <c r="A3237" s="104" t="s">
        <v>125</v>
      </c>
      <c r="B3237" s="38" t="e">
        <f>0.8*IF(-B2827 &lt; b_W.i, c_r.W - B2827*(TAN(phi_100.W.i*PI()/180) - TAN(phi_0.W.i*PI()/180)), c_t.W + ((b_W/2) +B2827)*(TAN(phi_0.W.o*PI()/180) - TAN(phi_100.W.o*PI()/180)))</f>
        <v>#VALUE!</v>
      </c>
      <c r="C3237" s="11"/>
      <c r="D3237" s="18" t="e">
        <f t="shared" si="191"/>
        <v>#VALUE!</v>
      </c>
      <c r="F3237" s="6"/>
      <c r="G3237" s="6"/>
      <c r="H3237" s="6"/>
      <c r="I3237" s="6"/>
      <c r="J3237" s="6"/>
      <c r="K3237" s="6"/>
      <c r="L3237" s="6"/>
      <c r="M3237" s="6"/>
      <c r="N3237" s="6"/>
      <c r="O3237" s="6"/>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c r="BU3237" s="6"/>
      <c r="BV3237" s="6"/>
      <c r="BW3237" s="6"/>
      <c r="BX3237" s="6"/>
      <c r="BY3237" s="6"/>
      <c r="BZ3237" s="6"/>
      <c r="CA3237" s="6"/>
      <c r="CB3237" s="6"/>
      <c r="CC3237" s="6"/>
      <c r="CD3237" s="6"/>
      <c r="CE3237" s="6"/>
      <c r="CF3237" s="6"/>
      <c r="CG3237" s="6"/>
      <c r="CH3237" s="6"/>
      <c r="CI3237" s="6"/>
      <c r="CJ3237" s="6"/>
      <c r="CK3237" s="6"/>
      <c r="CL3237" s="6"/>
      <c r="CM3237" s="6"/>
      <c r="CN3237" s="6"/>
      <c r="CO3237" s="6"/>
      <c r="CP3237" s="6"/>
      <c r="CQ3237" s="6"/>
      <c r="CR3237" s="6"/>
      <c r="CS3237" s="6"/>
      <c r="CT3237" s="6"/>
      <c r="CU3237" s="6"/>
      <c r="CV3237" s="6"/>
      <c r="CW3237" s="6"/>
      <c r="CX3237" s="6"/>
      <c r="CY3237" s="6"/>
      <c r="CZ3237" s="6"/>
      <c r="DA3237" s="6"/>
      <c r="DB3237" s="6"/>
      <c r="DC3237" s="6"/>
      <c r="DD3237" s="6"/>
    </row>
    <row r="3238" spans="1:108" ht="12.75" hidden="1" customHeight="1" outlineLevel="6">
      <c r="A3238" s="104" t="s">
        <v>126</v>
      </c>
      <c r="B3238" s="38" t="e">
        <f>B3237</f>
        <v>#VALUE!</v>
      </c>
      <c r="C3238" s="11"/>
      <c r="D3238" s="18" t="e">
        <f t="shared" si="191"/>
        <v>#VALUE!</v>
      </c>
      <c r="F3238" s="6"/>
      <c r="G3238" s="6"/>
      <c r="H3238" s="6"/>
      <c r="I3238" s="6"/>
      <c r="J3238" s="6"/>
      <c r="K3238" s="6"/>
      <c r="L3238" s="6"/>
      <c r="M3238" s="6"/>
      <c r="N3238" s="6"/>
      <c r="O3238" s="6"/>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c r="BU3238" s="6"/>
      <c r="BV3238" s="6"/>
      <c r="BW3238" s="6"/>
      <c r="BX3238" s="6"/>
      <c r="BY3238" s="6"/>
      <c r="BZ3238" s="6"/>
      <c r="CA3238" s="6"/>
      <c r="CB3238" s="6"/>
      <c r="CC3238" s="6"/>
      <c r="CD3238" s="6"/>
      <c r="CE3238" s="6"/>
      <c r="CF3238" s="6"/>
      <c r="CG3238" s="6"/>
      <c r="CH3238" s="6"/>
      <c r="CI3238" s="6"/>
      <c r="CJ3238" s="6"/>
      <c r="CK3238" s="6"/>
      <c r="CL3238" s="6"/>
      <c r="CM3238" s="6"/>
      <c r="CN3238" s="6"/>
      <c r="CO3238" s="6"/>
      <c r="CP3238" s="6"/>
      <c r="CQ3238" s="6"/>
      <c r="CR3238" s="6"/>
      <c r="CS3238" s="6"/>
      <c r="CT3238" s="6"/>
      <c r="CU3238" s="6"/>
      <c r="CV3238" s="6"/>
      <c r="CW3238" s="6"/>
      <c r="CX3238" s="6"/>
      <c r="CY3238" s="6"/>
      <c r="CZ3238" s="6"/>
      <c r="DA3238" s="6"/>
      <c r="DB3238" s="6"/>
      <c r="DC3238" s="6"/>
      <c r="DD3238" s="6"/>
    </row>
    <row r="3239" spans="1:108" ht="12.75" hidden="1" customHeight="1" outlineLevel="6">
      <c r="A3239" s="104" t="s">
        <v>8</v>
      </c>
      <c r="B3239" s="28">
        <f t="shared" si="190"/>
        <v>50</v>
      </c>
      <c r="C3239" s="11"/>
      <c r="D3239" s="18" t="str">
        <f t="shared" si="191"/>
        <v>&lt;Sweep&gt;50.000000&lt;/Sweep&gt;</v>
      </c>
      <c r="F3239" s="6"/>
      <c r="G3239" s="6"/>
      <c r="H3239" s="6"/>
      <c r="I3239" s="6"/>
      <c r="J3239" s="6"/>
      <c r="K3239" s="6"/>
      <c r="L3239" s="6"/>
      <c r="M3239" s="6"/>
      <c r="N3239" s="6"/>
      <c r="O3239" s="6"/>
      <c r="P3239" s="6"/>
      <c r="Q3239" s="6"/>
      <c r="R3239" s="6"/>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c r="BU3239" s="6"/>
      <c r="BV3239" s="6"/>
      <c r="BW3239" s="6"/>
      <c r="BX3239" s="6"/>
      <c r="BY3239" s="6"/>
      <c r="BZ3239" s="6"/>
      <c r="CA3239" s="6"/>
      <c r="CB3239" s="6"/>
      <c r="CC3239" s="6"/>
      <c r="CD3239" s="6"/>
      <c r="CE3239" s="6"/>
      <c r="CF3239" s="6"/>
      <c r="CG3239" s="6"/>
      <c r="CH3239" s="6"/>
      <c r="CI3239" s="6"/>
      <c r="CJ3239" s="6"/>
      <c r="CK3239" s="6"/>
      <c r="CL3239" s="6"/>
      <c r="CM3239" s="6"/>
      <c r="CN3239" s="6"/>
      <c r="CO3239" s="6"/>
      <c r="CP3239" s="6"/>
      <c r="CQ3239" s="6"/>
      <c r="CR3239" s="6"/>
      <c r="CS3239" s="6"/>
      <c r="CT3239" s="6"/>
      <c r="CU3239" s="6"/>
      <c r="CV3239" s="6"/>
      <c r="CW3239" s="6"/>
      <c r="CX3239" s="6"/>
      <c r="CY3239" s="6"/>
      <c r="CZ3239" s="6"/>
      <c r="DA3239" s="6"/>
      <c r="DB3239" s="6"/>
      <c r="DC3239" s="6"/>
      <c r="DD3239" s="6"/>
    </row>
    <row r="3240" spans="1:108" ht="12.75" hidden="1" customHeight="1" outlineLevel="6">
      <c r="A3240" s="104" t="s">
        <v>127</v>
      </c>
      <c r="B3240" s="28">
        <f t="shared" si="190"/>
        <v>0</v>
      </c>
      <c r="C3240" s="11"/>
      <c r="D3240" s="18" t="str">
        <f t="shared" si="191"/>
        <v>&lt;SweepLoc&gt;0.000000&lt;/SweepLoc&gt;</v>
      </c>
      <c r="F3240" s="6"/>
      <c r="G3240" s="6"/>
      <c r="H3240" s="6"/>
      <c r="I3240" s="6"/>
      <c r="J3240" s="6"/>
      <c r="K3240" s="6"/>
      <c r="L3240" s="6"/>
      <c r="M3240" s="6"/>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c r="BU3240" s="6"/>
      <c r="BV3240" s="6"/>
      <c r="BW3240" s="6"/>
      <c r="BX3240" s="6"/>
      <c r="BY3240" s="6"/>
      <c r="BZ3240" s="6"/>
      <c r="CA3240" s="6"/>
      <c r="CB3240" s="6"/>
      <c r="CC3240" s="6"/>
      <c r="CD3240" s="6"/>
      <c r="CE3240" s="6"/>
      <c r="CF3240" s="6"/>
      <c r="CG3240" s="6"/>
      <c r="CH3240" s="6"/>
      <c r="CI3240" s="6"/>
      <c r="CJ3240" s="6"/>
      <c r="CK3240" s="6"/>
      <c r="CL3240" s="6"/>
      <c r="CM3240" s="6"/>
      <c r="CN3240" s="6"/>
      <c r="CO3240" s="6"/>
      <c r="CP3240" s="6"/>
      <c r="CQ3240" s="6"/>
      <c r="CR3240" s="6"/>
      <c r="CS3240" s="6"/>
      <c r="CT3240" s="6"/>
      <c r="CU3240" s="6"/>
      <c r="CV3240" s="6"/>
      <c r="CW3240" s="6"/>
      <c r="CX3240" s="6"/>
      <c r="CY3240" s="6"/>
      <c r="CZ3240" s="6"/>
      <c r="DA3240" s="6"/>
      <c r="DB3240" s="6"/>
      <c r="DC3240" s="6"/>
      <c r="DD3240" s="6"/>
    </row>
    <row r="3241" spans="1:108" ht="12.75" hidden="1" customHeight="1" outlineLevel="6">
      <c r="A3241" s="104" t="s">
        <v>9</v>
      </c>
      <c r="B3241" s="28">
        <f t="shared" si="190"/>
        <v>0</v>
      </c>
      <c r="C3241" s="11"/>
      <c r="D3241" s="18" t="str">
        <f t="shared" si="191"/>
        <v>&lt;Twist&gt;0.000000&lt;/Twist&gt;</v>
      </c>
      <c r="F3241" s="6"/>
      <c r="G3241" s="6"/>
      <c r="H3241" s="6"/>
      <c r="I3241" s="6"/>
      <c r="J3241" s="6"/>
      <c r="K3241" s="6"/>
      <c r="L3241" s="6"/>
      <c r="M3241" s="6"/>
      <c r="N3241" s="6"/>
      <c r="O3241" s="6"/>
      <c r="P3241" s="6"/>
      <c r="Q3241" s="6"/>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c r="BU3241" s="6"/>
      <c r="BV3241" s="6"/>
      <c r="BW3241" s="6"/>
      <c r="BX3241" s="6"/>
      <c r="BY3241" s="6"/>
      <c r="BZ3241" s="6"/>
      <c r="CA3241" s="6"/>
      <c r="CB3241" s="6"/>
      <c r="CC3241" s="6"/>
      <c r="CD3241" s="6"/>
      <c r="CE3241" s="6"/>
      <c r="CF3241" s="6"/>
      <c r="CG3241" s="6"/>
      <c r="CH3241" s="6"/>
      <c r="CI3241" s="6"/>
      <c r="CJ3241" s="6"/>
      <c r="CK3241" s="6"/>
      <c r="CL3241" s="6"/>
      <c r="CM3241" s="6"/>
      <c r="CN3241" s="6"/>
      <c r="CO3241" s="6"/>
      <c r="CP3241" s="6"/>
      <c r="CQ3241" s="6"/>
      <c r="CR3241" s="6"/>
      <c r="CS3241" s="6"/>
      <c r="CT3241" s="6"/>
      <c r="CU3241" s="6"/>
      <c r="CV3241" s="6"/>
      <c r="CW3241" s="6"/>
      <c r="CX3241" s="6"/>
      <c r="CY3241" s="6"/>
      <c r="CZ3241" s="6"/>
      <c r="DA3241" s="6"/>
      <c r="DB3241" s="6"/>
      <c r="DC3241" s="6"/>
      <c r="DD3241" s="6"/>
    </row>
    <row r="3242" spans="1:108" ht="12.75" hidden="1" customHeight="1" outlineLevel="6">
      <c r="A3242" s="104" t="s">
        <v>128</v>
      </c>
      <c r="B3242" s="28">
        <f t="shared" si="190"/>
        <v>0</v>
      </c>
      <c r="C3242" s="11"/>
      <c r="D3242" s="18" t="str">
        <f t="shared" si="191"/>
        <v>&lt;TwistLoc&gt;0.000000&lt;/TwistLoc&gt;</v>
      </c>
      <c r="F3242" s="6"/>
      <c r="G3242" s="6"/>
      <c r="H3242" s="6"/>
      <c r="I3242" s="6"/>
      <c r="J3242" s="6"/>
      <c r="K3242" s="6"/>
      <c r="L3242" s="6"/>
      <c r="M3242" s="6"/>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c r="BU3242" s="6"/>
      <c r="BV3242" s="6"/>
      <c r="BW3242" s="6"/>
      <c r="BX3242" s="6"/>
      <c r="BY3242" s="6"/>
      <c r="BZ3242" s="6"/>
      <c r="CA3242" s="6"/>
      <c r="CB3242" s="6"/>
      <c r="CC3242" s="6"/>
      <c r="CD3242" s="6"/>
      <c r="CE3242" s="6"/>
      <c r="CF3242" s="6"/>
      <c r="CG3242" s="6"/>
      <c r="CH3242" s="6"/>
      <c r="CI3242" s="6"/>
      <c r="CJ3242" s="6"/>
      <c r="CK3242" s="6"/>
      <c r="CL3242" s="6"/>
      <c r="CM3242" s="6"/>
      <c r="CN3242" s="6"/>
      <c r="CO3242" s="6"/>
      <c r="CP3242" s="6"/>
      <c r="CQ3242" s="6"/>
      <c r="CR3242" s="6"/>
      <c r="CS3242" s="6"/>
      <c r="CT3242" s="6"/>
      <c r="CU3242" s="6"/>
      <c r="CV3242" s="6"/>
      <c r="CW3242" s="6"/>
      <c r="CX3242" s="6"/>
      <c r="CY3242" s="6"/>
      <c r="CZ3242" s="6"/>
      <c r="DA3242" s="6"/>
      <c r="DB3242" s="6"/>
      <c r="DC3242" s="6"/>
      <c r="DD3242" s="6"/>
    </row>
    <row r="3243" spans="1:108" ht="12.75" hidden="1" customHeight="1" outlineLevel="6">
      <c r="A3243" s="104" t="s">
        <v>10</v>
      </c>
      <c r="B3243" s="28">
        <f t="shared" si="190"/>
        <v>0</v>
      </c>
      <c r="C3243" s="11"/>
      <c r="D3243" s="18" t="str">
        <f t="shared" si="191"/>
        <v>&lt;Dihedral&gt;0.000000&lt;/Dihedral&gt;</v>
      </c>
      <c r="F3243" s="6"/>
      <c r="G3243" s="6"/>
      <c r="H3243" s="6"/>
      <c r="I3243" s="6"/>
      <c r="J3243" s="6"/>
      <c r="K3243" s="6"/>
      <c r="L3243" s="6"/>
      <c r="M3243" s="6"/>
      <c r="N3243" s="6"/>
      <c r="O3243" s="6"/>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c r="BU3243" s="6"/>
      <c r="BV3243" s="6"/>
      <c r="BW3243" s="6"/>
      <c r="BX3243" s="6"/>
      <c r="BY3243" s="6"/>
      <c r="BZ3243" s="6"/>
      <c r="CA3243" s="6"/>
      <c r="CB3243" s="6"/>
      <c r="CC3243" s="6"/>
      <c r="CD3243" s="6"/>
      <c r="CE3243" s="6"/>
      <c r="CF3243" s="6"/>
      <c r="CG3243" s="6"/>
      <c r="CH3243" s="6"/>
      <c r="CI3243" s="6"/>
      <c r="CJ3243" s="6"/>
      <c r="CK3243" s="6"/>
      <c r="CL3243" s="6"/>
      <c r="CM3243" s="6"/>
      <c r="CN3243" s="6"/>
      <c r="CO3243" s="6"/>
      <c r="CP3243" s="6"/>
      <c r="CQ3243" s="6"/>
      <c r="CR3243" s="6"/>
      <c r="CS3243" s="6"/>
      <c r="CT3243" s="6"/>
      <c r="CU3243" s="6"/>
      <c r="CV3243" s="6"/>
      <c r="CW3243" s="6"/>
      <c r="CX3243" s="6"/>
      <c r="CY3243" s="6"/>
      <c r="CZ3243" s="6"/>
      <c r="DA3243" s="6"/>
      <c r="DB3243" s="6"/>
      <c r="DC3243" s="6"/>
      <c r="DD3243" s="6"/>
    </row>
    <row r="3244" spans="1:108" ht="12.75" hidden="1" customHeight="1" outlineLevel="6">
      <c r="A3244" s="104" t="s">
        <v>129</v>
      </c>
      <c r="B3244" s="28">
        <f t="shared" si="190"/>
        <v>0</v>
      </c>
      <c r="C3244" s="11"/>
      <c r="D3244" s="18" t="str">
        <f t="shared" si="191"/>
        <v>&lt;Dihed_Crv1&gt;0.000000&lt;/Dihed_Crv1&gt;</v>
      </c>
      <c r="F3244" s="6"/>
      <c r="G3244" s="6"/>
      <c r="H3244" s="6"/>
      <c r="I3244" s="6"/>
      <c r="J3244" s="6"/>
      <c r="K3244" s="6"/>
      <c r="L3244" s="6"/>
      <c r="M3244" s="6"/>
      <c r="N3244" s="6"/>
      <c r="O3244" s="6"/>
      <c r="P3244" s="6"/>
      <c r="Q3244" s="6"/>
      <c r="R3244" s="6"/>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c r="BU3244" s="6"/>
      <c r="BV3244" s="6"/>
      <c r="BW3244" s="6"/>
      <c r="BX3244" s="6"/>
      <c r="BY3244" s="6"/>
      <c r="BZ3244" s="6"/>
      <c r="CA3244" s="6"/>
      <c r="CB3244" s="6"/>
      <c r="CC3244" s="6"/>
      <c r="CD3244" s="6"/>
      <c r="CE3244" s="6"/>
      <c r="CF3244" s="6"/>
      <c r="CG3244" s="6"/>
      <c r="CH3244" s="6"/>
      <c r="CI3244" s="6"/>
      <c r="CJ3244" s="6"/>
      <c r="CK3244" s="6"/>
      <c r="CL3244" s="6"/>
      <c r="CM3244" s="6"/>
      <c r="CN3244" s="6"/>
      <c r="CO3244" s="6"/>
      <c r="CP3244" s="6"/>
      <c r="CQ3244" s="6"/>
      <c r="CR3244" s="6"/>
      <c r="CS3244" s="6"/>
      <c r="CT3244" s="6"/>
      <c r="CU3244" s="6"/>
      <c r="CV3244" s="6"/>
      <c r="CW3244" s="6"/>
      <c r="CX3244" s="6"/>
      <c r="CY3244" s="6"/>
      <c r="CZ3244" s="6"/>
      <c r="DA3244" s="6"/>
      <c r="DB3244" s="6"/>
      <c r="DC3244" s="6"/>
      <c r="DD3244" s="6"/>
    </row>
    <row r="3245" spans="1:108" ht="12.75" hidden="1" customHeight="1" outlineLevel="6">
      <c r="A3245" s="104" t="s">
        <v>130</v>
      </c>
      <c r="B3245" s="28">
        <f t="shared" si="190"/>
        <v>0</v>
      </c>
      <c r="C3245" s="11"/>
      <c r="D3245" s="18" t="str">
        <f t="shared" si="191"/>
        <v>&lt;Dihed_Crv2&gt;0.000000&lt;/Dihed_Crv2&gt;</v>
      </c>
      <c r="F3245" s="6"/>
      <c r="G3245" s="6"/>
      <c r="H3245" s="6"/>
      <c r="I3245" s="6"/>
      <c r="J3245" s="6"/>
      <c r="K3245" s="6"/>
      <c r="L3245" s="6"/>
      <c r="M3245" s="6"/>
      <c r="N3245" s="6"/>
      <c r="O3245" s="6"/>
      <c r="P3245" s="6"/>
      <c r="Q3245" s="6"/>
      <c r="R3245" s="6"/>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c r="BU3245" s="6"/>
      <c r="BV3245" s="6"/>
      <c r="BW3245" s="6"/>
      <c r="BX3245" s="6"/>
      <c r="BY3245" s="6"/>
      <c r="BZ3245" s="6"/>
      <c r="CA3245" s="6"/>
      <c r="CB3245" s="6"/>
      <c r="CC3245" s="6"/>
      <c r="CD3245" s="6"/>
      <c r="CE3245" s="6"/>
      <c r="CF3245" s="6"/>
      <c r="CG3245" s="6"/>
      <c r="CH3245" s="6"/>
      <c r="CI3245" s="6"/>
      <c r="CJ3245" s="6"/>
      <c r="CK3245" s="6"/>
      <c r="CL3245" s="6"/>
      <c r="CM3245" s="6"/>
      <c r="CN3245" s="6"/>
      <c r="CO3245" s="6"/>
      <c r="CP3245" s="6"/>
      <c r="CQ3245" s="6"/>
      <c r="CR3245" s="6"/>
      <c r="CS3245" s="6"/>
      <c r="CT3245" s="6"/>
      <c r="CU3245" s="6"/>
      <c r="CV3245" s="6"/>
      <c r="CW3245" s="6"/>
      <c r="CX3245" s="6"/>
      <c r="CY3245" s="6"/>
      <c r="CZ3245" s="6"/>
      <c r="DA3245" s="6"/>
      <c r="DB3245" s="6"/>
      <c r="DC3245" s="6"/>
      <c r="DD3245" s="6"/>
    </row>
    <row r="3246" spans="1:108" ht="12.75" hidden="1" customHeight="1" outlineLevel="6">
      <c r="A3246" s="104" t="s">
        <v>131</v>
      </c>
      <c r="B3246" s="28">
        <f t="shared" si="190"/>
        <v>0.75</v>
      </c>
      <c r="C3246" s="11"/>
      <c r="D3246" s="18" t="str">
        <f t="shared" si="191"/>
        <v>&lt;Dihed_Crv1_Str&gt;0.750000&lt;/Dihed_Crv1_Str&gt;</v>
      </c>
      <c r="F3246" s="6"/>
      <c r="G3246" s="6"/>
      <c r="H3246" s="6"/>
      <c r="I3246" s="6"/>
      <c r="J3246" s="6"/>
      <c r="K3246" s="6"/>
      <c r="L3246" s="6"/>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c r="BU3246" s="6"/>
      <c r="BV3246" s="6"/>
      <c r="BW3246" s="6"/>
      <c r="BX3246" s="6"/>
      <c r="BY3246" s="6"/>
      <c r="BZ3246" s="6"/>
      <c r="CA3246" s="6"/>
      <c r="CB3246" s="6"/>
      <c r="CC3246" s="6"/>
      <c r="CD3246" s="6"/>
      <c r="CE3246" s="6"/>
      <c r="CF3246" s="6"/>
      <c r="CG3246" s="6"/>
      <c r="CH3246" s="6"/>
      <c r="CI3246" s="6"/>
      <c r="CJ3246" s="6"/>
      <c r="CK3246" s="6"/>
      <c r="CL3246" s="6"/>
      <c r="CM3246" s="6"/>
      <c r="CN3246" s="6"/>
      <c r="CO3246" s="6"/>
      <c r="CP3246" s="6"/>
      <c r="CQ3246" s="6"/>
      <c r="CR3246" s="6"/>
      <c r="CS3246" s="6"/>
      <c r="CT3246" s="6"/>
      <c r="CU3246" s="6"/>
      <c r="CV3246" s="6"/>
      <c r="CW3246" s="6"/>
      <c r="CX3246" s="6"/>
      <c r="CY3246" s="6"/>
      <c r="CZ3246" s="6"/>
      <c r="DA3246" s="6"/>
      <c r="DB3246" s="6"/>
      <c r="DC3246" s="6"/>
      <c r="DD3246" s="6"/>
    </row>
    <row r="3247" spans="1:108" ht="12.75" hidden="1" customHeight="1" outlineLevel="6">
      <c r="A3247" s="104" t="s">
        <v>132</v>
      </c>
      <c r="B3247" s="28">
        <f t="shared" si="190"/>
        <v>0.75</v>
      </c>
      <c r="C3247" s="11"/>
      <c r="D3247" s="18" t="str">
        <f t="shared" si="191"/>
        <v>&lt;Dihed_Crv2_Str&gt;0.750000&lt;/Dihed_Crv2_Str&gt;</v>
      </c>
      <c r="F3247" s="6"/>
      <c r="G3247" s="6"/>
      <c r="H3247" s="6"/>
      <c r="I3247" s="6"/>
      <c r="J3247" s="6"/>
      <c r="K3247" s="6"/>
      <c r="L3247" s="6"/>
      <c r="M3247" s="6"/>
      <c r="N3247" s="6"/>
      <c r="O3247" s="6"/>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c r="BU3247" s="6"/>
      <c r="BV3247" s="6"/>
      <c r="BW3247" s="6"/>
      <c r="BX3247" s="6"/>
      <c r="BY3247" s="6"/>
      <c r="BZ3247" s="6"/>
      <c r="CA3247" s="6"/>
      <c r="CB3247" s="6"/>
      <c r="CC3247" s="6"/>
      <c r="CD3247" s="6"/>
      <c r="CE3247" s="6"/>
      <c r="CF3247" s="6"/>
      <c r="CG3247" s="6"/>
      <c r="CH3247" s="6"/>
      <c r="CI3247" s="6"/>
      <c r="CJ3247" s="6"/>
      <c r="CK3247" s="6"/>
      <c r="CL3247" s="6"/>
      <c r="CM3247" s="6"/>
      <c r="CN3247" s="6"/>
      <c r="CO3247" s="6"/>
      <c r="CP3247" s="6"/>
      <c r="CQ3247" s="6"/>
      <c r="CR3247" s="6"/>
      <c r="CS3247" s="6"/>
      <c r="CT3247" s="6"/>
      <c r="CU3247" s="6"/>
      <c r="CV3247" s="6"/>
      <c r="CW3247" s="6"/>
      <c r="CX3247" s="6"/>
      <c r="CY3247" s="6"/>
      <c r="CZ3247" s="6"/>
      <c r="DA3247" s="6"/>
      <c r="DB3247" s="6"/>
      <c r="DC3247" s="6"/>
      <c r="DD3247" s="6"/>
    </row>
    <row r="3248" spans="1:108" ht="12.75" hidden="1" customHeight="1" outlineLevel="6">
      <c r="A3248" s="104" t="s">
        <v>133</v>
      </c>
      <c r="B3248" s="28">
        <f t="shared" si="190"/>
        <v>0</v>
      </c>
      <c r="C3248" s="11"/>
      <c r="D3248" s="18" t="str">
        <f>"&lt;" &amp; A3248 &amp; "&gt;" &amp; TEXT(B3248,0) &amp; "&lt;/" &amp; A3248 &amp; "&gt;"</f>
        <v>&lt;DihedRotFlag&gt;0&lt;/DihedRotFlag&gt;</v>
      </c>
      <c r="F3248" s="6"/>
      <c r="G3248" s="6"/>
      <c r="H3248" s="6"/>
      <c r="I3248" s="6"/>
      <c r="J3248" s="6"/>
      <c r="K3248" s="6"/>
      <c r="L3248" s="6"/>
      <c r="M3248" s="6"/>
      <c r="N3248" s="6"/>
      <c r="O3248" s="6"/>
      <c r="P3248" s="6"/>
      <c r="Q3248" s="6"/>
      <c r="R3248" s="6"/>
      <c r="S3248" s="6"/>
      <c r="T3248" s="6"/>
      <c r="U3248" s="6"/>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c r="BU3248" s="6"/>
      <c r="BV3248" s="6"/>
      <c r="BW3248" s="6"/>
      <c r="BX3248" s="6"/>
      <c r="BY3248" s="6"/>
      <c r="BZ3248" s="6"/>
      <c r="CA3248" s="6"/>
      <c r="CB3248" s="6"/>
      <c r="CC3248" s="6"/>
      <c r="CD3248" s="6"/>
      <c r="CE3248" s="6"/>
      <c r="CF3248" s="6"/>
      <c r="CG3248" s="6"/>
      <c r="CH3248" s="6"/>
      <c r="CI3248" s="6"/>
      <c r="CJ3248" s="6"/>
      <c r="CK3248" s="6"/>
      <c r="CL3248" s="6"/>
      <c r="CM3248" s="6"/>
      <c r="CN3248" s="6"/>
      <c r="CO3248" s="6"/>
      <c r="CP3248" s="6"/>
      <c r="CQ3248" s="6"/>
      <c r="CR3248" s="6"/>
      <c r="CS3248" s="6"/>
      <c r="CT3248" s="6"/>
      <c r="CU3248" s="6"/>
      <c r="CV3248" s="6"/>
      <c r="CW3248" s="6"/>
      <c r="CX3248" s="6"/>
      <c r="CY3248" s="6"/>
      <c r="CZ3248" s="6"/>
      <c r="DA3248" s="6"/>
      <c r="DB3248" s="6"/>
      <c r="DC3248" s="6"/>
      <c r="DD3248" s="6"/>
    </row>
    <row r="3249" spans="1:108" ht="12.75" hidden="1" customHeight="1" outlineLevel="6">
      <c r="A3249" s="104" t="s">
        <v>134</v>
      </c>
      <c r="B3249" s="28">
        <f t="shared" si="190"/>
        <v>0</v>
      </c>
      <c r="C3249" s="11"/>
      <c r="D3249" s="18" t="str">
        <f>"&lt;" &amp; A3249 &amp; "&gt;" &amp; TEXT(B3249,0) &amp; "&lt;/" &amp; A3249 &amp; "&gt;"</f>
        <v>&lt;SmoothBlendFlag&gt;0&lt;/SmoothBlendFlag&gt;</v>
      </c>
      <c r="F3249" s="6"/>
      <c r="G3249" s="6"/>
      <c r="H3249" s="6"/>
      <c r="I3249" s="6"/>
      <c r="J3249" s="6"/>
      <c r="K3249" s="6"/>
      <c r="L3249" s="6"/>
      <c r="M3249" s="6"/>
      <c r="N3249" s="6"/>
      <c r="O3249" s="6"/>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c r="BU3249" s="6"/>
      <c r="BV3249" s="6"/>
      <c r="BW3249" s="6"/>
      <c r="BX3249" s="6"/>
      <c r="BY3249" s="6"/>
      <c r="BZ3249" s="6"/>
      <c r="CA3249" s="6"/>
      <c r="CB3249" s="6"/>
      <c r="CC3249" s="6"/>
      <c r="CD3249" s="6"/>
      <c r="CE3249" s="6"/>
      <c r="CF3249" s="6"/>
      <c r="CG3249" s="6"/>
      <c r="CH3249" s="6"/>
      <c r="CI3249" s="6"/>
      <c r="CJ3249" s="6"/>
      <c r="CK3249" s="6"/>
      <c r="CL3249" s="6"/>
      <c r="CM3249" s="6"/>
      <c r="CN3249" s="6"/>
      <c r="CO3249" s="6"/>
      <c r="CP3249" s="6"/>
      <c r="CQ3249" s="6"/>
      <c r="CR3249" s="6"/>
      <c r="CS3249" s="6"/>
      <c r="CT3249" s="6"/>
      <c r="CU3249" s="6"/>
      <c r="CV3249" s="6"/>
      <c r="CW3249" s="6"/>
      <c r="CX3249" s="6"/>
      <c r="CY3249" s="6"/>
      <c r="CZ3249" s="6"/>
      <c r="DA3249" s="6"/>
      <c r="DB3249" s="6"/>
      <c r="DC3249" s="6"/>
      <c r="DD3249" s="6"/>
    </row>
    <row r="3250" spans="1:108" ht="12.75" hidden="1" customHeight="1" outlineLevel="6">
      <c r="A3250" s="104" t="s">
        <v>135</v>
      </c>
      <c r="B3250" s="28">
        <f t="shared" si="190"/>
        <v>1</v>
      </c>
      <c r="C3250" s="11"/>
      <c r="D3250" s="18" t="str">
        <f>"&lt;" &amp; A3250 &amp; "&gt;" &amp; TEXT(B3250,0) &amp; "&lt;/" &amp; A3250 &amp; "&gt;"</f>
        <v>&lt;NumInterpXsecs&gt;1&lt;/NumInterpXsecs&gt;</v>
      </c>
      <c r="F3250" s="6"/>
      <c r="G3250" s="6"/>
      <c r="H3250" s="6"/>
      <c r="I3250" s="6"/>
      <c r="J3250" s="6"/>
      <c r="K3250" s="6"/>
      <c r="L3250" s="6"/>
      <c r="M3250" s="6"/>
      <c r="N3250" s="6"/>
      <c r="O3250" s="6"/>
      <c r="P3250" s="6"/>
      <c r="Q3250" s="6"/>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c r="BU3250" s="6"/>
      <c r="BV3250" s="6"/>
      <c r="BW3250" s="6"/>
      <c r="BX3250" s="6"/>
      <c r="BY3250" s="6"/>
      <c r="BZ3250" s="6"/>
      <c r="CA3250" s="6"/>
      <c r="CB3250" s="6"/>
      <c r="CC3250" s="6"/>
      <c r="CD3250" s="6"/>
      <c r="CE3250" s="6"/>
      <c r="CF3250" s="6"/>
      <c r="CG3250" s="6"/>
      <c r="CH3250" s="6"/>
      <c r="CI3250" s="6"/>
      <c r="CJ3250" s="6"/>
      <c r="CK3250" s="6"/>
      <c r="CL3250" s="6"/>
      <c r="CM3250" s="6"/>
      <c r="CN3250" s="6"/>
      <c r="CO3250" s="6"/>
      <c r="CP3250" s="6"/>
      <c r="CQ3250" s="6"/>
      <c r="CR3250" s="6"/>
      <c r="CS3250" s="6"/>
      <c r="CT3250" s="6"/>
      <c r="CU3250" s="6"/>
      <c r="CV3250" s="6"/>
      <c r="CW3250" s="6"/>
      <c r="CX3250" s="6"/>
      <c r="CY3250" s="6"/>
      <c r="CZ3250" s="6"/>
      <c r="DA3250" s="6"/>
      <c r="DB3250" s="6"/>
      <c r="DC3250" s="6"/>
      <c r="DD3250" s="6"/>
    </row>
    <row r="3251" spans="1:108" ht="12.75" hidden="1" customHeight="1" outlineLevel="6">
      <c r="A3251" s="104" t="s">
        <v>136</v>
      </c>
      <c r="B3251" s="100"/>
      <c r="C3251" s="11"/>
      <c r="D3251" s="6" t="str">
        <f>"&lt;" &amp; A3251 &amp; "&gt;"</f>
        <v>&lt;/Section&gt;</v>
      </c>
      <c r="F3251" s="6"/>
      <c r="G3251" s="6"/>
      <c r="H3251" s="6"/>
      <c r="I3251" s="6"/>
      <c r="J3251" s="6"/>
      <c r="K3251" s="6"/>
      <c r="L3251" s="6"/>
      <c r="M3251" s="6"/>
      <c r="N3251" s="6"/>
      <c r="O3251" s="6"/>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c r="BU3251" s="6"/>
      <c r="BV3251" s="6"/>
      <c r="BW3251" s="6"/>
      <c r="BX3251" s="6"/>
      <c r="BY3251" s="6"/>
      <c r="BZ3251" s="6"/>
      <c r="CA3251" s="6"/>
      <c r="CB3251" s="6"/>
      <c r="CC3251" s="6"/>
      <c r="CD3251" s="6"/>
      <c r="CE3251" s="6"/>
      <c r="CF3251" s="6"/>
      <c r="CG3251" s="6"/>
      <c r="CH3251" s="6"/>
      <c r="CI3251" s="6"/>
      <c r="CJ3251" s="6"/>
      <c r="CK3251" s="6"/>
      <c r="CL3251" s="6"/>
      <c r="CM3251" s="6"/>
      <c r="CN3251" s="6"/>
      <c r="CO3251" s="6"/>
      <c r="CP3251" s="6"/>
      <c r="CQ3251" s="6"/>
      <c r="CR3251" s="6"/>
      <c r="CS3251" s="6"/>
      <c r="CT3251" s="6"/>
      <c r="CU3251" s="6"/>
      <c r="CV3251" s="6"/>
      <c r="CW3251" s="6"/>
      <c r="CX3251" s="6"/>
      <c r="CY3251" s="6"/>
      <c r="CZ3251" s="6"/>
      <c r="DA3251" s="6"/>
      <c r="DB3251" s="6"/>
      <c r="DC3251" s="6"/>
      <c r="DD3251" s="6"/>
    </row>
    <row r="3252" spans="1:108" ht="12.75" hidden="1" customHeight="1" outlineLevel="5">
      <c r="A3252" s="104" t="s">
        <v>137</v>
      </c>
      <c r="B3252" s="100"/>
      <c r="C3252" s="11"/>
      <c r="D3252" s="6" t="str">
        <f>"&lt;" &amp; A3252 &amp; "&gt;"</f>
        <v>&lt;/Section_List&gt;</v>
      </c>
      <c r="F3252" s="6"/>
      <c r="G3252" s="6"/>
      <c r="H3252" s="6"/>
      <c r="I3252" s="6"/>
      <c r="J3252" s="6"/>
      <c r="K3252" s="6"/>
      <c r="L3252" s="6"/>
      <c r="M3252" s="6"/>
      <c r="N3252" s="6"/>
      <c r="O3252" s="6"/>
      <c r="P3252" s="6"/>
      <c r="Q3252" s="6"/>
      <c r="R3252" s="6"/>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c r="BU3252" s="6"/>
      <c r="BV3252" s="6"/>
      <c r="BW3252" s="6"/>
      <c r="BX3252" s="6"/>
      <c r="BY3252" s="6"/>
      <c r="BZ3252" s="6"/>
      <c r="CA3252" s="6"/>
      <c r="CB3252" s="6"/>
      <c r="CC3252" s="6"/>
      <c r="CD3252" s="6"/>
      <c r="CE3252" s="6"/>
      <c r="CF3252" s="6"/>
      <c r="CG3252" s="6"/>
      <c r="CH3252" s="6"/>
      <c r="CI3252" s="6"/>
      <c r="CJ3252" s="6"/>
      <c r="CK3252" s="6"/>
      <c r="CL3252" s="6"/>
      <c r="CM3252" s="6"/>
      <c r="CN3252" s="6"/>
      <c r="CO3252" s="6"/>
      <c r="CP3252" s="6"/>
      <c r="CQ3252" s="6"/>
      <c r="CR3252" s="6"/>
      <c r="CS3252" s="6"/>
      <c r="CT3252" s="6"/>
      <c r="CU3252" s="6"/>
      <c r="CV3252" s="6"/>
      <c r="CW3252" s="6"/>
      <c r="CX3252" s="6"/>
      <c r="CY3252" s="6"/>
      <c r="CZ3252" s="6"/>
      <c r="DA3252" s="6"/>
      <c r="DB3252" s="6"/>
      <c r="DC3252" s="6"/>
      <c r="DD3252" s="6"/>
    </row>
    <row r="3253" spans="1:108" ht="12.75" hidden="1" customHeight="1" outlineLevel="4">
      <c r="A3253" s="104" t="s">
        <v>138</v>
      </c>
      <c r="B3253" s="100"/>
      <c r="C3253" s="11" t="str">
        <f>C3124</f>
        <v>Yes</v>
      </c>
      <c r="D3253" s="133" t="str">
        <f>IF(C3253="Yes",("&lt;"&amp;A3253&amp;"&gt;"),("&lt;"&amp;A3253&amp;"--&gt;"))</f>
        <v>&lt;/Component&gt;</v>
      </c>
      <c r="F3253" s="6"/>
      <c r="G3253" s="6"/>
      <c r="H3253" s="6"/>
      <c r="I3253" s="6"/>
      <c r="J3253" s="6"/>
      <c r="K3253" s="6"/>
      <c r="L3253" s="6"/>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c r="BU3253" s="6"/>
      <c r="BV3253" s="6"/>
      <c r="BW3253" s="6"/>
      <c r="BX3253" s="6"/>
      <c r="BY3253" s="6"/>
      <c r="BZ3253" s="6"/>
      <c r="CA3253" s="6"/>
      <c r="CB3253" s="6"/>
      <c r="CC3253" s="6"/>
      <c r="CD3253" s="6"/>
      <c r="CE3253" s="6"/>
      <c r="CF3253" s="6"/>
      <c r="CG3253" s="6"/>
      <c r="CH3253" s="6"/>
      <c r="CI3253" s="6"/>
      <c r="CJ3253" s="6"/>
      <c r="CK3253" s="6"/>
      <c r="CL3253" s="6"/>
      <c r="CM3253" s="6"/>
      <c r="CN3253" s="6"/>
      <c r="CO3253" s="6"/>
      <c r="CP3253" s="6"/>
      <c r="CQ3253" s="6"/>
      <c r="CR3253" s="6"/>
      <c r="CS3253" s="6"/>
      <c r="CT3253" s="6"/>
      <c r="CU3253" s="6"/>
      <c r="CV3253" s="6"/>
      <c r="CW3253" s="6"/>
      <c r="CX3253" s="6"/>
      <c r="CY3253" s="6"/>
      <c r="CZ3253" s="6"/>
      <c r="DA3253" s="6"/>
      <c r="DB3253" s="6"/>
      <c r="DC3253" s="6"/>
      <c r="DD3253" s="6"/>
    </row>
    <row r="3254" spans="1:108" ht="12.75" hidden="1" customHeight="1" outlineLevel="3" collapsed="1">
      <c r="A3254" s="104" t="s">
        <v>40</v>
      </c>
      <c r="B3254" s="110" t="s">
        <v>543</v>
      </c>
      <c r="C3254" s="2" t="str">
        <f>IF(AND(C2809="Yes",C2956="Yes"),"No","Yes")</f>
        <v>Yes</v>
      </c>
      <c r="D3254" s="6" t="str">
        <f>IF(C3254="Yes",("&lt;"&amp;A3254&amp;"&gt;"),("&lt;!--"&amp;A3254&amp;"&gt;"))</f>
        <v>&lt;Component&gt;</v>
      </c>
      <c r="F3254" s="6"/>
      <c r="G3254" s="6"/>
      <c r="H3254" s="6"/>
      <c r="I3254" s="6"/>
      <c r="J3254" s="6"/>
      <c r="K3254" s="6"/>
      <c r="L3254" s="6"/>
      <c r="M3254" s="6"/>
      <c r="N3254" s="6"/>
      <c r="O3254" s="6"/>
      <c r="P3254" s="6"/>
      <c r="Q3254" s="6"/>
      <c r="R3254" s="6"/>
      <c r="S3254" s="6"/>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c r="BU3254" s="6"/>
      <c r="BV3254" s="6"/>
      <c r="BW3254" s="6"/>
      <c r="BX3254" s="6"/>
      <c r="BY3254" s="6"/>
      <c r="BZ3254" s="6"/>
      <c r="CA3254" s="6"/>
      <c r="CB3254" s="6"/>
      <c r="CC3254" s="6"/>
      <c r="CD3254" s="6"/>
      <c r="CE3254" s="6"/>
      <c r="CF3254" s="6"/>
      <c r="CG3254" s="6"/>
      <c r="CH3254" s="6"/>
      <c r="CI3254" s="6"/>
      <c r="CJ3254" s="6"/>
      <c r="CK3254" s="6"/>
      <c r="CL3254" s="6"/>
      <c r="CM3254" s="6"/>
      <c r="CN3254" s="6"/>
      <c r="CO3254" s="6"/>
      <c r="CP3254" s="6"/>
      <c r="CQ3254" s="6"/>
      <c r="CR3254" s="6"/>
      <c r="CS3254" s="6"/>
      <c r="CT3254" s="6"/>
      <c r="CU3254" s="6"/>
      <c r="CV3254" s="6"/>
      <c r="CW3254" s="6"/>
      <c r="CX3254" s="6"/>
      <c r="CY3254" s="6"/>
      <c r="CZ3254" s="6"/>
      <c r="DA3254" s="6"/>
      <c r="DB3254" s="6"/>
      <c r="DC3254" s="6"/>
      <c r="DD3254" s="6"/>
    </row>
    <row r="3255" spans="1:108" ht="12.75" hidden="1" customHeight="1" outlineLevel="4">
      <c r="A3255" s="104" t="s">
        <v>14</v>
      </c>
      <c r="B3255" s="100" t="s">
        <v>226</v>
      </c>
      <c r="C3255" s="11"/>
      <c r="D3255" s="18" t="str">
        <f>"&lt;" &amp; A3255 &amp; "&gt;" &amp; TEXT(B3255,"0.000000") &amp; "&lt;/" &amp; A3255 &amp; "&gt;"</f>
        <v>&lt;Type&gt;Engine&lt;/Type&gt;</v>
      </c>
      <c r="F3255" s="6"/>
      <c r="G3255" s="6"/>
      <c r="H3255" s="6"/>
      <c r="I3255" s="6"/>
      <c r="J3255" s="6"/>
      <c r="K3255" s="6"/>
      <c r="L3255" s="6"/>
      <c r="M3255" s="6"/>
      <c r="N3255" s="6"/>
      <c r="O3255" s="6"/>
      <c r="P3255" s="6"/>
      <c r="Q3255" s="6"/>
      <c r="R3255" s="6"/>
      <c r="S3255" s="6"/>
      <c r="T3255" s="6"/>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c r="BU3255" s="6"/>
      <c r="BV3255" s="6"/>
      <c r="BW3255" s="6"/>
      <c r="BX3255" s="6"/>
      <c r="BY3255" s="6"/>
      <c r="BZ3255" s="6"/>
      <c r="CA3255" s="6"/>
      <c r="CB3255" s="6"/>
      <c r="CC3255" s="6"/>
      <c r="CD3255" s="6"/>
      <c r="CE3255" s="6"/>
      <c r="CF3255" s="6"/>
      <c r="CG3255" s="6"/>
      <c r="CH3255" s="6"/>
      <c r="CI3255" s="6"/>
      <c r="CJ3255" s="6"/>
      <c r="CK3255" s="6"/>
      <c r="CL3255" s="6"/>
      <c r="CM3255" s="6"/>
      <c r="CN3255" s="6"/>
      <c r="CO3255" s="6"/>
      <c r="CP3255" s="6"/>
      <c r="CQ3255" s="6"/>
      <c r="CR3255" s="6"/>
      <c r="CS3255" s="6"/>
      <c r="CT3255" s="6"/>
      <c r="CU3255" s="6"/>
      <c r="CV3255" s="6"/>
      <c r="CW3255" s="6"/>
      <c r="CX3255" s="6"/>
      <c r="CY3255" s="6"/>
      <c r="CZ3255" s="6"/>
      <c r="DA3255" s="6"/>
      <c r="DB3255" s="6"/>
      <c r="DC3255" s="6"/>
      <c r="DD3255" s="6"/>
    </row>
    <row r="3256" spans="1:108" ht="12.75" hidden="1" customHeight="1" outlineLevel="4" collapsed="1">
      <c r="A3256" s="104" t="s">
        <v>42</v>
      </c>
      <c r="B3256" s="100"/>
      <c r="C3256" s="11"/>
      <c r="D3256" s="6" t="str">
        <f>"&lt;" &amp; A3256 &amp; "&gt;"</f>
        <v>&lt;General_Parms&gt;</v>
      </c>
      <c r="F3256" s="6"/>
      <c r="G3256" s="6"/>
      <c r="H3256" s="6"/>
      <c r="I3256" s="6"/>
      <c r="J3256" s="6"/>
      <c r="K3256" s="6"/>
      <c r="L3256" s="6"/>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c r="BU3256" s="6"/>
      <c r="BV3256" s="6"/>
      <c r="BW3256" s="6"/>
      <c r="BX3256" s="6"/>
      <c r="BY3256" s="6"/>
      <c r="BZ3256" s="6"/>
      <c r="CA3256" s="6"/>
      <c r="CB3256" s="6"/>
      <c r="CC3256" s="6"/>
      <c r="CD3256" s="6"/>
      <c r="CE3256" s="6"/>
      <c r="CF3256" s="6"/>
      <c r="CG3256" s="6"/>
      <c r="CH3256" s="6"/>
      <c r="CI3256" s="6"/>
      <c r="CJ3256" s="6"/>
      <c r="CK3256" s="6"/>
      <c r="CL3256" s="6"/>
      <c r="CM3256" s="6"/>
      <c r="CN3256" s="6"/>
      <c r="CO3256" s="6"/>
      <c r="CP3256" s="6"/>
      <c r="CQ3256" s="6"/>
      <c r="CR3256" s="6"/>
      <c r="CS3256" s="6"/>
      <c r="CT3256" s="6"/>
      <c r="CU3256" s="6"/>
      <c r="CV3256" s="6"/>
      <c r="CW3256" s="6"/>
      <c r="CX3256" s="6"/>
      <c r="CY3256" s="6"/>
      <c r="CZ3256" s="6"/>
      <c r="DA3256" s="6"/>
      <c r="DB3256" s="6"/>
      <c r="DC3256" s="6"/>
      <c r="DD3256" s="6"/>
    </row>
    <row r="3257" spans="1:108" ht="12.75" hidden="1" customHeight="1" outlineLevel="5">
      <c r="A3257" s="104" t="s">
        <v>1</v>
      </c>
      <c r="B3257" s="100" t="str">
        <f t="shared" ref="B3257:B3300" si="192">B1658</f>
        <v>fan_section</v>
      </c>
      <c r="C3257" s="11"/>
      <c r="D3257" s="18" t="str">
        <f>"&lt;" &amp; A3257 &amp; "&gt;" &amp; TEXT(B3257,"0.000000") &amp; "&lt;/" &amp; A3257 &amp; "&gt;"</f>
        <v>&lt;Name&gt;fan_section&lt;/Name&gt;</v>
      </c>
      <c r="F3257" s="6"/>
      <c r="G3257" s="6"/>
      <c r="H3257" s="6"/>
      <c r="I3257" s="6"/>
      <c r="J3257" s="6"/>
      <c r="K3257" s="6"/>
      <c r="L3257" s="6"/>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c r="BU3257" s="6"/>
      <c r="BV3257" s="6"/>
      <c r="BW3257" s="6"/>
      <c r="BX3257" s="6"/>
      <c r="BY3257" s="6"/>
      <c r="BZ3257" s="6"/>
      <c r="CA3257" s="6"/>
      <c r="CB3257" s="6"/>
      <c r="CC3257" s="6"/>
      <c r="CD3257" s="6"/>
      <c r="CE3257" s="6"/>
      <c r="CF3257" s="6"/>
      <c r="CG3257" s="6"/>
      <c r="CH3257" s="6"/>
      <c r="CI3257" s="6"/>
      <c r="CJ3257" s="6"/>
      <c r="CK3257" s="6"/>
      <c r="CL3257" s="6"/>
      <c r="CM3257" s="6"/>
      <c r="CN3257" s="6"/>
      <c r="CO3257" s="6"/>
      <c r="CP3257" s="6"/>
      <c r="CQ3257" s="6"/>
      <c r="CR3257" s="6"/>
      <c r="CS3257" s="6"/>
      <c r="CT3257" s="6"/>
      <c r="CU3257" s="6"/>
      <c r="CV3257" s="6"/>
      <c r="CW3257" s="6"/>
      <c r="CX3257" s="6"/>
      <c r="CY3257" s="6"/>
      <c r="CZ3257" s="6"/>
      <c r="DA3257" s="6"/>
      <c r="DB3257" s="6"/>
      <c r="DC3257" s="6"/>
      <c r="DD3257" s="6"/>
    </row>
    <row r="3258" spans="1:108" ht="12.75" hidden="1" customHeight="1" outlineLevel="5">
      <c r="A3258" s="104" t="s">
        <v>43</v>
      </c>
      <c r="B3258" s="28">
        <f t="shared" si="192"/>
        <v>0</v>
      </c>
      <c r="C3258" s="11"/>
      <c r="D3258" s="18" t="str">
        <f>"&lt;" &amp; A3258 &amp; "&gt;" &amp; TEXT(B3258,"0.000000") &amp; "&lt;/" &amp; A3258 &amp; "&gt;"</f>
        <v>&lt;ColorR&gt;0.000000&lt;/ColorR&gt;</v>
      </c>
      <c r="F3258" s="6"/>
      <c r="G3258" s="6"/>
      <c r="H3258" s="6"/>
      <c r="I3258" s="6"/>
      <c r="J3258" s="6"/>
      <c r="K3258" s="6"/>
      <c r="L3258" s="6"/>
      <c r="M3258" s="6"/>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c r="BU3258" s="6"/>
      <c r="BV3258" s="6"/>
      <c r="BW3258" s="6"/>
      <c r="BX3258" s="6"/>
      <c r="BY3258" s="6"/>
      <c r="BZ3258" s="6"/>
      <c r="CA3258" s="6"/>
      <c r="CB3258" s="6"/>
      <c r="CC3258" s="6"/>
      <c r="CD3258" s="6"/>
      <c r="CE3258" s="6"/>
      <c r="CF3258" s="6"/>
      <c r="CG3258" s="6"/>
      <c r="CH3258" s="6"/>
      <c r="CI3258" s="6"/>
      <c r="CJ3258" s="6"/>
      <c r="CK3258" s="6"/>
      <c r="CL3258" s="6"/>
      <c r="CM3258" s="6"/>
      <c r="CN3258" s="6"/>
      <c r="CO3258" s="6"/>
      <c r="CP3258" s="6"/>
      <c r="CQ3258" s="6"/>
      <c r="CR3258" s="6"/>
      <c r="CS3258" s="6"/>
      <c r="CT3258" s="6"/>
      <c r="CU3258" s="6"/>
      <c r="CV3258" s="6"/>
      <c r="CW3258" s="6"/>
      <c r="CX3258" s="6"/>
      <c r="CY3258" s="6"/>
      <c r="CZ3258" s="6"/>
      <c r="DA3258" s="6"/>
      <c r="DB3258" s="6"/>
      <c r="DC3258" s="6"/>
      <c r="DD3258" s="6"/>
    </row>
    <row r="3259" spans="1:108" ht="12.75" hidden="1" customHeight="1" outlineLevel="5">
      <c r="A3259" s="104" t="s">
        <v>44</v>
      </c>
      <c r="B3259" s="28">
        <f t="shared" si="192"/>
        <v>0</v>
      </c>
      <c r="C3259" s="11"/>
      <c r="D3259" s="18" t="str">
        <f>"&lt;" &amp; A3259 &amp; "&gt;" &amp; TEXT(B3259,"0.000000") &amp; "&lt;/" &amp; A3259 &amp; "&gt;"</f>
        <v>&lt;ColorG&gt;0.000000&lt;/ColorG&gt;</v>
      </c>
      <c r="F3259" s="6"/>
      <c r="G3259" s="6"/>
      <c r="H3259" s="6"/>
      <c r="I3259" s="6"/>
      <c r="J3259" s="6"/>
      <c r="K3259" s="6"/>
      <c r="L3259" s="6"/>
      <c r="M3259" s="6"/>
      <c r="N3259" s="6"/>
      <c r="O3259" s="6"/>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c r="BU3259" s="6"/>
      <c r="BV3259" s="6"/>
      <c r="BW3259" s="6"/>
      <c r="BX3259" s="6"/>
      <c r="BY3259" s="6"/>
      <c r="BZ3259" s="6"/>
      <c r="CA3259" s="6"/>
      <c r="CB3259" s="6"/>
      <c r="CC3259" s="6"/>
      <c r="CD3259" s="6"/>
      <c r="CE3259" s="6"/>
      <c r="CF3259" s="6"/>
      <c r="CG3259" s="6"/>
      <c r="CH3259" s="6"/>
      <c r="CI3259" s="6"/>
      <c r="CJ3259" s="6"/>
      <c r="CK3259" s="6"/>
      <c r="CL3259" s="6"/>
      <c r="CM3259" s="6"/>
      <c r="CN3259" s="6"/>
      <c r="CO3259" s="6"/>
      <c r="CP3259" s="6"/>
      <c r="CQ3259" s="6"/>
      <c r="CR3259" s="6"/>
      <c r="CS3259" s="6"/>
      <c r="CT3259" s="6"/>
      <c r="CU3259" s="6"/>
      <c r="CV3259" s="6"/>
      <c r="CW3259" s="6"/>
      <c r="CX3259" s="6"/>
      <c r="CY3259" s="6"/>
      <c r="CZ3259" s="6"/>
      <c r="DA3259" s="6"/>
      <c r="DB3259" s="6"/>
      <c r="DC3259" s="6"/>
      <c r="DD3259" s="6"/>
    </row>
    <row r="3260" spans="1:108" ht="12.75" hidden="1" customHeight="1" outlineLevel="5">
      <c r="A3260" s="104" t="s">
        <v>45</v>
      </c>
      <c r="B3260" s="28">
        <f t="shared" si="192"/>
        <v>255</v>
      </c>
      <c r="C3260" s="11"/>
      <c r="D3260" s="18" t="str">
        <f>"&lt;" &amp; A3260 &amp; "&gt;" &amp; TEXT(B3260,"0.000000") &amp; "&lt;/" &amp; A3260 &amp; "&gt;"</f>
        <v>&lt;ColorB&gt;255.000000&lt;/ColorB&gt;</v>
      </c>
      <c r="F3260" s="6"/>
      <c r="G3260" s="6"/>
      <c r="H3260" s="6"/>
      <c r="I3260" s="6"/>
      <c r="J3260" s="6"/>
      <c r="K3260" s="6"/>
      <c r="L3260" s="6"/>
      <c r="M3260" s="6"/>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c r="BU3260" s="6"/>
      <c r="BV3260" s="6"/>
      <c r="BW3260" s="6"/>
      <c r="BX3260" s="6"/>
      <c r="BY3260" s="6"/>
      <c r="BZ3260" s="6"/>
      <c r="CA3260" s="6"/>
      <c r="CB3260" s="6"/>
      <c r="CC3260" s="6"/>
      <c r="CD3260" s="6"/>
      <c r="CE3260" s="6"/>
      <c r="CF3260" s="6"/>
      <c r="CG3260" s="6"/>
      <c r="CH3260" s="6"/>
      <c r="CI3260" s="6"/>
      <c r="CJ3260" s="6"/>
      <c r="CK3260" s="6"/>
      <c r="CL3260" s="6"/>
      <c r="CM3260" s="6"/>
      <c r="CN3260" s="6"/>
      <c r="CO3260" s="6"/>
      <c r="CP3260" s="6"/>
      <c r="CQ3260" s="6"/>
      <c r="CR3260" s="6"/>
      <c r="CS3260" s="6"/>
      <c r="CT3260" s="6"/>
      <c r="CU3260" s="6"/>
      <c r="CV3260" s="6"/>
      <c r="CW3260" s="6"/>
      <c r="CX3260" s="6"/>
      <c r="CY3260" s="6"/>
      <c r="CZ3260" s="6"/>
      <c r="DA3260" s="6"/>
      <c r="DB3260" s="6"/>
      <c r="DC3260" s="6"/>
      <c r="DD3260" s="6"/>
    </row>
    <row r="3261" spans="1:108" ht="12.75" hidden="1" customHeight="1" outlineLevel="5">
      <c r="A3261" s="104" t="s">
        <v>46</v>
      </c>
      <c r="B3261" s="28">
        <f t="shared" si="192"/>
        <v>0</v>
      </c>
      <c r="C3261" s="11"/>
      <c r="D3261" s="18" t="str">
        <f t="shared" ref="D3261:D3270" si="193">"&lt;" &amp; A3261 &amp; "&gt;" &amp; TEXT(B3261,0) &amp; "&lt;/" &amp; A3261 &amp; "&gt;"</f>
        <v>&lt;Symmetry&gt;0&lt;/Symmetry&gt;</v>
      </c>
      <c r="F3261" s="6"/>
      <c r="G3261" s="6"/>
      <c r="H3261" s="6"/>
      <c r="I3261" s="6"/>
      <c r="J3261" s="6"/>
      <c r="K3261" s="6"/>
      <c r="L3261" s="6"/>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c r="BU3261" s="6"/>
      <c r="BV3261" s="6"/>
      <c r="BW3261" s="6"/>
      <c r="BX3261" s="6"/>
      <c r="BY3261" s="6"/>
      <c r="BZ3261" s="6"/>
      <c r="CA3261" s="6"/>
      <c r="CB3261" s="6"/>
      <c r="CC3261" s="6"/>
      <c r="CD3261" s="6"/>
      <c r="CE3261" s="6"/>
      <c r="CF3261" s="6"/>
      <c r="CG3261" s="6"/>
      <c r="CH3261" s="6"/>
      <c r="CI3261" s="6"/>
      <c r="CJ3261" s="6"/>
      <c r="CK3261" s="6"/>
      <c r="CL3261" s="6"/>
      <c r="CM3261" s="6"/>
      <c r="CN3261" s="6"/>
      <c r="CO3261" s="6"/>
      <c r="CP3261" s="6"/>
      <c r="CQ3261" s="6"/>
      <c r="CR3261" s="6"/>
      <c r="CS3261" s="6"/>
      <c r="CT3261" s="6"/>
      <c r="CU3261" s="6"/>
      <c r="CV3261" s="6"/>
      <c r="CW3261" s="6"/>
      <c r="CX3261" s="6"/>
      <c r="CY3261" s="6"/>
      <c r="CZ3261" s="6"/>
      <c r="DA3261" s="6"/>
      <c r="DB3261" s="6"/>
      <c r="DC3261" s="6"/>
      <c r="DD3261" s="6"/>
    </row>
    <row r="3262" spans="1:108" ht="12.75" hidden="1" customHeight="1" outlineLevel="5">
      <c r="A3262" s="104" t="s">
        <v>47</v>
      </c>
      <c r="B3262" s="28">
        <f t="shared" si="192"/>
        <v>0</v>
      </c>
      <c r="C3262" s="11"/>
      <c r="D3262" s="18" t="str">
        <f t="shared" si="193"/>
        <v>&lt;RelXFormFlag&gt;0&lt;/RelXFormFlag&gt;</v>
      </c>
      <c r="F3262" s="6"/>
      <c r="G3262" s="6"/>
      <c r="H3262" s="6"/>
      <c r="I3262" s="6"/>
      <c r="J3262" s="6"/>
      <c r="K3262" s="6"/>
      <c r="L3262" s="6"/>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c r="BU3262" s="6"/>
      <c r="BV3262" s="6"/>
      <c r="BW3262" s="6"/>
      <c r="BX3262" s="6"/>
      <c r="BY3262" s="6"/>
      <c r="BZ3262" s="6"/>
      <c r="CA3262" s="6"/>
      <c r="CB3262" s="6"/>
      <c r="CC3262" s="6"/>
      <c r="CD3262" s="6"/>
      <c r="CE3262" s="6"/>
      <c r="CF3262" s="6"/>
      <c r="CG3262" s="6"/>
      <c r="CH3262" s="6"/>
      <c r="CI3262" s="6"/>
      <c r="CJ3262" s="6"/>
      <c r="CK3262" s="6"/>
      <c r="CL3262" s="6"/>
      <c r="CM3262" s="6"/>
      <c r="CN3262" s="6"/>
      <c r="CO3262" s="6"/>
      <c r="CP3262" s="6"/>
      <c r="CQ3262" s="6"/>
      <c r="CR3262" s="6"/>
      <c r="CS3262" s="6"/>
      <c r="CT3262" s="6"/>
      <c r="CU3262" s="6"/>
      <c r="CV3262" s="6"/>
      <c r="CW3262" s="6"/>
      <c r="CX3262" s="6"/>
      <c r="CY3262" s="6"/>
      <c r="CZ3262" s="6"/>
      <c r="DA3262" s="6"/>
      <c r="DB3262" s="6"/>
      <c r="DC3262" s="6"/>
      <c r="DD3262" s="6"/>
    </row>
    <row r="3263" spans="1:108" ht="12.75" hidden="1" customHeight="1" outlineLevel="5">
      <c r="A3263" s="104" t="s">
        <v>48</v>
      </c>
      <c r="B3263" s="28">
        <f t="shared" si="192"/>
        <v>2</v>
      </c>
      <c r="C3263" s="11"/>
      <c r="D3263" s="18" t="str">
        <f t="shared" si="193"/>
        <v>&lt;MaterialID&gt;2&lt;/MaterialID&gt;</v>
      </c>
      <c r="F3263" s="6"/>
      <c r="G3263" s="6"/>
      <c r="H3263" s="6"/>
      <c r="I3263" s="6"/>
      <c r="J3263" s="6"/>
      <c r="K3263" s="6"/>
      <c r="L3263" s="6"/>
      <c r="M3263" s="6"/>
      <c r="N3263" s="6"/>
      <c r="O3263" s="6"/>
      <c r="P3263" s="6"/>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c r="BU3263" s="6"/>
      <c r="BV3263" s="6"/>
      <c r="BW3263" s="6"/>
      <c r="BX3263" s="6"/>
      <c r="BY3263" s="6"/>
      <c r="BZ3263" s="6"/>
      <c r="CA3263" s="6"/>
      <c r="CB3263" s="6"/>
      <c r="CC3263" s="6"/>
      <c r="CD3263" s="6"/>
      <c r="CE3263" s="6"/>
      <c r="CF3263" s="6"/>
      <c r="CG3263" s="6"/>
      <c r="CH3263" s="6"/>
      <c r="CI3263" s="6"/>
      <c r="CJ3263" s="6"/>
      <c r="CK3263" s="6"/>
      <c r="CL3263" s="6"/>
      <c r="CM3263" s="6"/>
      <c r="CN3263" s="6"/>
      <c r="CO3263" s="6"/>
      <c r="CP3263" s="6"/>
      <c r="CQ3263" s="6"/>
      <c r="CR3263" s="6"/>
      <c r="CS3263" s="6"/>
      <c r="CT3263" s="6"/>
      <c r="CU3263" s="6"/>
      <c r="CV3263" s="6"/>
      <c r="CW3263" s="6"/>
      <c r="CX3263" s="6"/>
      <c r="CY3263" s="6"/>
      <c r="CZ3263" s="6"/>
      <c r="DA3263" s="6"/>
      <c r="DB3263" s="6"/>
      <c r="DC3263" s="6"/>
      <c r="DD3263" s="6"/>
    </row>
    <row r="3264" spans="1:108" ht="12.75" hidden="1" customHeight="1" outlineLevel="5">
      <c r="A3264" s="104" t="s">
        <v>49</v>
      </c>
      <c r="B3264" s="28">
        <f t="shared" si="192"/>
        <v>1</v>
      </c>
      <c r="C3264" s="11"/>
      <c r="D3264" s="18" t="str">
        <f t="shared" si="193"/>
        <v>&lt;OutputFlag&gt;1&lt;/OutputFlag&gt;</v>
      </c>
      <c r="F3264" s="6"/>
      <c r="G3264" s="6"/>
      <c r="H3264" s="6"/>
      <c r="I3264" s="6"/>
      <c r="J3264" s="6"/>
      <c r="K3264" s="6"/>
      <c r="L3264" s="6"/>
      <c r="M3264" s="6"/>
      <c r="N3264" s="6"/>
      <c r="O3264" s="6"/>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c r="BU3264" s="6"/>
      <c r="BV3264" s="6"/>
      <c r="BW3264" s="6"/>
      <c r="BX3264" s="6"/>
      <c r="BY3264" s="6"/>
      <c r="BZ3264" s="6"/>
      <c r="CA3264" s="6"/>
      <c r="CB3264" s="6"/>
      <c r="CC3264" s="6"/>
      <c r="CD3264" s="6"/>
      <c r="CE3264" s="6"/>
      <c r="CF3264" s="6"/>
      <c r="CG3264" s="6"/>
      <c r="CH3264" s="6"/>
      <c r="CI3264" s="6"/>
      <c r="CJ3264" s="6"/>
      <c r="CK3264" s="6"/>
      <c r="CL3264" s="6"/>
      <c r="CM3264" s="6"/>
      <c r="CN3264" s="6"/>
      <c r="CO3264" s="6"/>
      <c r="CP3264" s="6"/>
      <c r="CQ3264" s="6"/>
      <c r="CR3264" s="6"/>
      <c r="CS3264" s="6"/>
      <c r="CT3264" s="6"/>
      <c r="CU3264" s="6"/>
      <c r="CV3264" s="6"/>
      <c r="CW3264" s="6"/>
      <c r="CX3264" s="6"/>
      <c r="CY3264" s="6"/>
      <c r="CZ3264" s="6"/>
      <c r="DA3264" s="6"/>
      <c r="DB3264" s="6"/>
      <c r="DC3264" s="6"/>
      <c r="DD3264" s="6"/>
    </row>
    <row r="3265" spans="1:108" ht="12.75" hidden="1" customHeight="1" outlineLevel="5">
      <c r="A3265" s="104" t="s">
        <v>50</v>
      </c>
      <c r="B3265" s="28">
        <f t="shared" si="192"/>
        <v>0</v>
      </c>
      <c r="C3265" s="11"/>
      <c r="D3265" s="18" t="str">
        <f t="shared" si="193"/>
        <v>&lt;OutputNameID&gt;0&lt;/OutputNameID&gt;</v>
      </c>
      <c r="F3265" s="6"/>
      <c r="G3265" s="6"/>
      <c r="H3265" s="6"/>
      <c r="I3265" s="6"/>
      <c r="J3265" s="6"/>
      <c r="K3265" s="6"/>
      <c r="L3265" s="6"/>
      <c r="M3265" s="6"/>
      <c r="N3265" s="6"/>
      <c r="O3265" s="6"/>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c r="BU3265" s="6"/>
      <c r="BV3265" s="6"/>
      <c r="BW3265" s="6"/>
      <c r="BX3265" s="6"/>
      <c r="BY3265" s="6"/>
      <c r="BZ3265" s="6"/>
      <c r="CA3265" s="6"/>
      <c r="CB3265" s="6"/>
      <c r="CC3265" s="6"/>
      <c r="CD3265" s="6"/>
      <c r="CE3265" s="6"/>
      <c r="CF3265" s="6"/>
      <c r="CG3265" s="6"/>
      <c r="CH3265" s="6"/>
      <c r="CI3265" s="6"/>
      <c r="CJ3265" s="6"/>
      <c r="CK3265" s="6"/>
      <c r="CL3265" s="6"/>
      <c r="CM3265" s="6"/>
      <c r="CN3265" s="6"/>
      <c r="CO3265" s="6"/>
      <c r="CP3265" s="6"/>
      <c r="CQ3265" s="6"/>
      <c r="CR3265" s="6"/>
      <c r="CS3265" s="6"/>
      <c r="CT3265" s="6"/>
      <c r="CU3265" s="6"/>
      <c r="CV3265" s="6"/>
      <c r="CW3265" s="6"/>
      <c r="CX3265" s="6"/>
      <c r="CY3265" s="6"/>
      <c r="CZ3265" s="6"/>
      <c r="DA3265" s="6"/>
      <c r="DB3265" s="6"/>
      <c r="DC3265" s="6"/>
      <c r="DD3265" s="6"/>
    </row>
    <row r="3266" spans="1:108" ht="12.75" hidden="1" customHeight="1" outlineLevel="5">
      <c r="A3266" s="104" t="s">
        <v>51</v>
      </c>
      <c r="B3266" s="28">
        <f t="shared" si="192"/>
        <v>1</v>
      </c>
      <c r="C3266" s="11"/>
      <c r="D3266" s="18" t="str">
        <f t="shared" si="193"/>
        <v>&lt;DisplayChildrenFlag&gt;1&lt;/DisplayChildrenFlag&gt;</v>
      </c>
      <c r="F3266" s="6"/>
      <c r="G3266" s="6"/>
      <c r="H3266" s="6"/>
      <c r="I3266" s="6"/>
      <c r="J3266" s="6"/>
      <c r="K3266" s="6"/>
      <c r="L3266" s="6"/>
      <c r="M3266" s="6"/>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c r="BU3266" s="6"/>
      <c r="BV3266" s="6"/>
      <c r="BW3266" s="6"/>
      <c r="BX3266" s="6"/>
      <c r="BY3266" s="6"/>
      <c r="BZ3266" s="6"/>
      <c r="CA3266" s="6"/>
      <c r="CB3266" s="6"/>
      <c r="CC3266" s="6"/>
      <c r="CD3266" s="6"/>
      <c r="CE3266" s="6"/>
      <c r="CF3266" s="6"/>
      <c r="CG3266" s="6"/>
      <c r="CH3266" s="6"/>
      <c r="CI3266" s="6"/>
      <c r="CJ3266" s="6"/>
      <c r="CK3266" s="6"/>
      <c r="CL3266" s="6"/>
      <c r="CM3266" s="6"/>
      <c r="CN3266" s="6"/>
      <c r="CO3266" s="6"/>
      <c r="CP3266" s="6"/>
      <c r="CQ3266" s="6"/>
      <c r="CR3266" s="6"/>
      <c r="CS3266" s="6"/>
      <c r="CT3266" s="6"/>
      <c r="CU3266" s="6"/>
      <c r="CV3266" s="6"/>
      <c r="CW3266" s="6"/>
      <c r="CX3266" s="6"/>
      <c r="CY3266" s="6"/>
      <c r="CZ3266" s="6"/>
      <c r="DA3266" s="6"/>
      <c r="DB3266" s="6"/>
      <c r="DC3266" s="6"/>
      <c r="DD3266" s="6"/>
    </row>
    <row r="3267" spans="1:108" ht="12.75" hidden="1" customHeight="1" outlineLevel="5">
      <c r="A3267" s="104" t="s">
        <v>52</v>
      </c>
      <c r="B3267" s="28">
        <f t="shared" si="192"/>
        <v>21</v>
      </c>
      <c r="C3267" s="11"/>
      <c r="D3267" s="18" t="str">
        <f t="shared" si="193"/>
        <v>&lt;NumPnts&gt;21&lt;/NumPnts&gt;</v>
      </c>
      <c r="F3267" s="6"/>
      <c r="G3267" s="6"/>
      <c r="H3267" s="6"/>
      <c r="I3267" s="6"/>
      <c r="J3267" s="6"/>
      <c r="K3267" s="6"/>
      <c r="L3267" s="6"/>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c r="BU3267" s="6"/>
      <c r="BV3267" s="6"/>
      <c r="BW3267" s="6"/>
      <c r="BX3267" s="6"/>
      <c r="BY3267" s="6"/>
      <c r="BZ3267" s="6"/>
      <c r="CA3267" s="6"/>
      <c r="CB3267" s="6"/>
      <c r="CC3267" s="6"/>
      <c r="CD3267" s="6"/>
      <c r="CE3267" s="6"/>
      <c r="CF3267" s="6"/>
      <c r="CG3267" s="6"/>
      <c r="CH3267" s="6"/>
      <c r="CI3267" s="6"/>
      <c r="CJ3267" s="6"/>
      <c r="CK3267" s="6"/>
      <c r="CL3267" s="6"/>
      <c r="CM3267" s="6"/>
      <c r="CN3267" s="6"/>
      <c r="CO3267" s="6"/>
      <c r="CP3267" s="6"/>
      <c r="CQ3267" s="6"/>
      <c r="CR3267" s="6"/>
      <c r="CS3267" s="6"/>
      <c r="CT3267" s="6"/>
      <c r="CU3267" s="6"/>
      <c r="CV3267" s="6"/>
      <c r="CW3267" s="6"/>
      <c r="CX3267" s="6"/>
      <c r="CY3267" s="6"/>
      <c r="CZ3267" s="6"/>
      <c r="DA3267" s="6"/>
      <c r="DB3267" s="6"/>
      <c r="DC3267" s="6"/>
      <c r="DD3267" s="6"/>
    </row>
    <row r="3268" spans="1:108" ht="12.75" hidden="1" customHeight="1" outlineLevel="5">
      <c r="A3268" s="104" t="s">
        <v>53</v>
      </c>
      <c r="B3268" s="28">
        <f t="shared" si="192"/>
        <v>11</v>
      </c>
      <c r="C3268" s="11"/>
      <c r="D3268" s="18" t="str">
        <f t="shared" si="193"/>
        <v>&lt;NumXsecs&gt;11&lt;/NumXsecs&gt;</v>
      </c>
      <c r="F3268" s="6"/>
      <c r="G3268" s="6"/>
      <c r="H3268" s="6"/>
      <c r="I3268" s="6"/>
      <c r="J3268" s="6"/>
      <c r="K3268" s="6"/>
      <c r="L3268" s="6"/>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c r="BU3268" s="6"/>
      <c r="BV3268" s="6"/>
      <c r="BW3268" s="6"/>
      <c r="BX3268" s="6"/>
      <c r="BY3268" s="6"/>
      <c r="BZ3268" s="6"/>
      <c r="CA3268" s="6"/>
      <c r="CB3268" s="6"/>
      <c r="CC3268" s="6"/>
      <c r="CD3268" s="6"/>
      <c r="CE3268" s="6"/>
      <c r="CF3268" s="6"/>
      <c r="CG3268" s="6"/>
      <c r="CH3268" s="6"/>
      <c r="CI3268" s="6"/>
      <c r="CJ3268" s="6"/>
      <c r="CK3268" s="6"/>
      <c r="CL3268" s="6"/>
      <c r="CM3268" s="6"/>
      <c r="CN3268" s="6"/>
      <c r="CO3268" s="6"/>
      <c r="CP3268" s="6"/>
      <c r="CQ3268" s="6"/>
      <c r="CR3268" s="6"/>
      <c r="CS3268" s="6"/>
      <c r="CT3268" s="6"/>
      <c r="CU3268" s="6"/>
      <c r="CV3268" s="6"/>
      <c r="CW3268" s="6"/>
      <c r="CX3268" s="6"/>
      <c r="CY3268" s="6"/>
      <c r="CZ3268" s="6"/>
      <c r="DA3268" s="6"/>
      <c r="DB3268" s="6"/>
      <c r="DC3268" s="6"/>
      <c r="DD3268" s="6"/>
    </row>
    <row r="3269" spans="1:108" ht="12.75" hidden="1" customHeight="1" outlineLevel="5">
      <c r="A3269" s="104" t="s">
        <v>54</v>
      </c>
      <c r="B3269" s="28">
        <f t="shared" si="192"/>
        <v>0</v>
      </c>
      <c r="C3269" s="11"/>
      <c r="D3269" s="18" t="str">
        <f t="shared" si="193"/>
        <v>&lt;MassPrior&gt;0&lt;/MassPrior&gt;</v>
      </c>
      <c r="F3269" s="6"/>
      <c r="G3269" s="6"/>
      <c r="H3269" s="6"/>
      <c r="I3269" s="6"/>
      <c r="J3269" s="6"/>
      <c r="K3269" s="6"/>
      <c r="L3269" s="6"/>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c r="BU3269" s="6"/>
      <c r="BV3269" s="6"/>
      <c r="BW3269" s="6"/>
      <c r="BX3269" s="6"/>
      <c r="BY3269" s="6"/>
      <c r="BZ3269" s="6"/>
      <c r="CA3269" s="6"/>
      <c r="CB3269" s="6"/>
      <c r="CC3269" s="6"/>
      <c r="CD3269" s="6"/>
      <c r="CE3269" s="6"/>
      <c r="CF3269" s="6"/>
      <c r="CG3269" s="6"/>
      <c r="CH3269" s="6"/>
      <c r="CI3269" s="6"/>
      <c r="CJ3269" s="6"/>
      <c r="CK3269" s="6"/>
      <c r="CL3269" s="6"/>
      <c r="CM3269" s="6"/>
      <c r="CN3269" s="6"/>
      <c r="CO3269" s="6"/>
      <c r="CP3269" s="6"/>
      <c r="CQ3269" s="6"/>
      <c r="CR3269" s="6"/>
      <c r="CS3269" s="6"/>
      <c r="CT3269" s="6"/>
      <c r="CU3269" s="6"/>
      <c r="CV3269" s="6"/>
      <c r="CW3269" s="6"/>
      <c r="CX3269" s="6"/>
      <c r="CY3269" s="6"/>
      <c r="CZ3269" s="6"/>
      <c r="DA3269" s="6"/>
      <c r="DB3269" s="6"/>
      <c r="DC3269" s="6"/>
      <c r="DD3269" s="6"/>
    </row>
    <row r="3270" spans="1:108" ht="12.75" hidden="1" customHeight="1" outlineLevel="5">
      <c r="A3270" s="104" t="s">
        <v>55</v>
      </c>
      <c r="B3270" s="28">
        <f t="shared" si="192"/>
        <v>0</v>
      </c>
      <c r="C3270" s="11"/>
      <c r="D3270" s="18" t="str">
        <f t="shared" si="193"/>
        <v>&lt;ShellFlag&gt;0&lt;/ShellFlag&gt;</v>
      </c>
      <c r="F3270" s="6"/>
      <c r="G3270" s="6"/>
      <c r="H3270" s="6"/>
      <c r="I3270" s="6"/>
      <c r="J3270" s="6"/>
      <c r="K3270" s="6"/>
      <c r="L3270" s="6"/>
      <c r="M3270" s="6"/>
      <c r="N3270" s="6"/>
      <c r="O3270" s="6"/>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c r="BU3270" s="6"/>
      <c r="BV3270" s="6"/>
      <c r="BW3270" s="6"/>
      <c r="BX3270" s="6"/>
      <c r="BY3270" s="6"/>
      <c r="BZ3270" s="6"/>
      <c r="CA3270" s="6"/>
      <c r="CB3270" s="6"/>
      <c r="CC3270" s="6"/>
      <c r="CD3270" s="6"/>
      <c r="CE3270" s="6"/>
      <c r="CF3270" s="6"/>
      <c r="CG3270" s="6"/>
      <c r="CH3270" s="6"/>
      <c r="CI3270" s="6"/>
      <c r="CJ3270" s="6"/>
      <c r="CK3270" s="6"/>
      <c r="CL3270" s="6"/>
      <c r="CM3270" s="6"/>
      <c r="CN3270" s="6"/>
      <c r="CO3270" s="6"/>
      <c r="CP3270" s="6"/>
      <c r="CQ3270" s="6"/>
      <c r="CR3270" s="6"/>
      <c r="CS3270" s="6"/>
      <c r="CT3270" s="6"/>
      <c r="CU3270" s="6"/>
      <c r="CV3270" s="6"/>
      <c r="CW3270" s="6"/>
      <c r="CX3270" s="6"/>
      <c r="CY3270" s="6"/>
      <c r="CZ3270" s="6"/>
      <c r="DA3270" s="6"/>
      <c r="DB3270" s="6"/>
      <c r="DC3270" s="6"/>
      <c r="DD3270" s="6"/>
    </row>
    <row r="3271" spans="1:108" ht="12.75" hidden="1" customHeight="1" outlineLevel="5">
      <c r="A3271" s="104" t="s">
        <v>56</v>
      </c>
      <c r="B3271" s="28">
        <f t="shared" si="192"/>
        <v>0</v>
      </c>
      <c r="C3271" s="11"/>
      <c r="D3271" s="18" t="str">
        <f t="shared" ref="D3271:D3285" si="194">"&lt;" &amp; A3271 &amp; "&gt;" &amp; TEXT(B3271,"0.000000") &amp; "&lt;/" &amp; A3271 &amp; "&gt;"</f>
        <v>&lt;Tran_X&gt;0.000000&lt;/Tran_X&gt;</v>
      </c>
      <c r="F3271" s="6"/>
      <c r="G3271" s="6"/>
      <c r="H3271" s="6"/>
      <c r="I3271" s="6"/>
      <c r="J3271" s="6"/>
      <c r="K3271" s="6"/>
      <c r="L3271" s="6"/>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c r="BU3271" s="6"/>
      <c r="BV3271" s="6"/>
      <c r="BW3271" s="6"/>
      <c r="BX3271" s="6"/>
      <c r="BY3271" s="6"/>
      <c r="BZ3271" s="6"/>
      <c r="CA3271" s="6"/>
      <c r="CB3271" s="6"/>
      <c r="CC3271" s="6"/>
      <c r="CD3271" s="6"/>
      <c r="CE3271" s="6"/>
      <c r="CF3271" s="6"/>
      <c r="CG3271" s="6"/>
      <c r="CH3271" s="6"/>
      <c r="CI3271" s="6"/>
      <c r="CJ3271" s="6"/>
      <c r="CK3271" s="6"/>
      <c r="CL3271" s="6"/>
      <c r="CM3271" s="6"/>
      <c r="CN3271" s="6"/>
      <c r="CO3271" s="6"/>
      <c r="CP3271" s="6"/>
      <c r="CQ3271" s="6"/>
      <c r="CR3271" s="6"/>
      <c r="CS3271" s="6"/>
      <c r="CT3271" s="6"/>
      <c r="CU3271" s="6"/>
      <c r="CV3271" s="6"/>
      <c r="CW3271" s="6"/>
      <c r="CX3271" s="6"/>
      <c r="CY3271" s="6"/>
      <c r="CZ3271" s="6"/>
      <c r="DA3271" s="6"/>
      <c r="DB3271" s="6"/>
      <c r="DC3271" s="6"/>
      <c r="DD3271" s="6"/>
    </row>
    <row r="3272" spans="1:108" ht="12.75" hidden="1" customHeight="1" outlineLevel="5">
      <c r="A3272" s="104" t="s">
        <v>57</v>
      </c>
      <c r="B3272" s="28">
        <f t="shared" si="192"/>
        <v>0</v>
      </c>
      <c r="C3272" s="11"/>
      <c r="D3272" s="18" t="str">
        <f t="shared" si="194"/>
        <v>&lt;Tran_Y&gt;0.000000&lt;/Tran_Y&gt;</v>
      </c>
      <c r="F3272" s="6"/>
      <c r="G3272" s="6"/>
      <c r="H3272" s="6"/>
      <c r="I3272" s="6"/>
      <c r="J3272" s="6"/>
      <c r="K3272" s="6"/>
      <c r="L3272" s="6"/>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c r="BU3272" s="6"/>
      <c r="BV3272" s="6"/>
      <c r="BW3272" s="6"/>
      <c r="BX3272" s="6"/>
      <c r="BY3272" s="6"/>
      <c r="BZ3272" s="6"/>
      <c r="CA3272" s="6"/>
      <c r="CB3272" s="6"/>
      <c r="CC3272" s="6"/>
      <c r="CD3272" s="6"/>
      <c r="CE3272" s="6"/>
      <c r="CF3272" s="6"/>
      <c r="CG3272" s="6"/>
      <c r="CH3272" s="6"/>
      <c r="CI3272" s="6"/>
      <c r="CJ3272" s="6"/>
      <c r="CK3272" s="6"/>
      <c r="CL3272" s="6"/>
      <c r="CM3272" s="6"/>
      <c r="CN3272" s="6"/>
      <c r="CO3272" s="6"/>
      <c r="CP3272" s="6"/>
      <c r="CQ3272" s="6"/>
      <c r="CR3272" s="6"/>
      <c r="CS3272" s="6"/>
      <c r="CT3272" s="6"/>
      <c r="CU3272" s="6"/>
      <c r="CV3272" s="6"/>
      <c r="CW3272" s="6"/>
      <c r="CX3272" s="6"/>
      <c r="CY3272" s="6"/>
      <c r="CZ3272" s="6"/>
      <c r="DA3272" s="6"/>
      <c r="DB3272" s="6"/>
      <c r="DC3272" s="6"/>
      <c r="DD3272" s="6"/>
    </row>
    <row r="3273" spans="1:108" ht="12.75" hidden="1" customHeight="1" outlineLevel="5">
      <c r="A3273" s="104" t="s">
        <v>58</v>
      </c>
      <c r="B3273" s="28">
        <f t="shared" si="192"/>
        <v>0</v>
      </c>
      <c r="C3273" s="11"/>
      <c r="D3273" s="18" t="str">
        <f t="shared" si="194"/>
        <v>&lt;Tran_Z&gt;0.000000&lt;/Tran_Z&gt;</v>
      </c>
      <c r="F3273" s="6"/>
      <c r="G3273" s="6"/>
      <c r="H3273" s="6"/>
      <c r="I3273" s="6"/>
      <c r="J3273" s="6"/>
      <c r="K3273" s="6"/>
      <c r="L3273" s="6"/>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c r="BU3273" s="6"/>
      <c r="BV3273" s="6"/>
      <c r="BW3273" s="6"/>
      <c r="BX3273" s="6"/>
      <c r="BY3273" s="6"/>
      <c r="BZ3273" s="6"/>
      <c r="CA3273" s="6"/>
      <c r="CB3273" s="6"/>
      <c r="CC3273" s="6"/>
      <c r="CD3273" s="6"/>
      <c r="CE3273" s="6"/>
      <c r="CF3273" s="6"/>
      <c r="CG3273" s="6"/>
      <c r="CH3273" s="6"/>
      <c r="CI3273" s="6"/>
      <c r="CJ3273" s="6"/>
      <c r="CK3273" s="6"/>
      <c r="CL3273" s="6"/>
      <c r="CM3273" s="6"/>
      <c r="CN3273" s="6"/>
      <c r="CO3273" s="6"/>
      <c r="CP3273" s="6"/>
      <c r="CQ3273" s="6"/>
      <c r="CR3273" s="6"/>
      <c r="CS3273" s="6"/>
      <c r="CT3273" s="6"/>
      <c r="CU3273" s="6"/>
      <c r="CV3273" s="6"/>
      <c r="CW3273" s="6"/>
      <c r="CX3273" s="6"/>
      <c r="CY3273" s="6"/>
      <c r="CZ3273" s="6"/>
      <c r="DA3273" s="6"/>
      <c r="DB3273" s="6"/>
      <c r="DC3273" s="6"/>
      <c r="DD3273" s="6"/>
    </row>
    <row r="3274" spans="1:108" ht="12.75" hidden="1" customHeight="1" outlineLevel="5">
      <c r="A3274" s="104" t="s">
        <v>59</v>
      </c>
      <c r="B3274" s="28">
        <f t="shared" si="192"/>
        <v>0</v>
      </c>
      <c r="C3274" s="11"/>
      <c r="D3274" s="18" t="str">
        <f t="shared" si="194"/>
        <v>&lt;TranRel_X&gt;0.000000&lt;/TranRel_X&gt;</v>
      </c>
      <c r="F3274" s="6"/>
      <c r="G3274" s="6"/>
      <c r="H3274" s="6"/>
      <c r="I3274" s="6"/>
      <c r="J3274" s="6"/>
      <c r="K3274" s="6"/>
      <c r="L3274" s="6"/>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c r="BU3274" s="6"/>
      <c r="BV3274" s="6"/>
      <c r="BW3274" s="6"/>
      <c r="BX3274" s="6"/>
      <c r="BY3274" s="6"/>
      <c r="BZ3274" s="6"/>
      <c r="CA3274" s="6"/>
      <c r="CB3274" s="6"/>
      <c r="CC3274" s="6"/>
      <c r="CD3274" s="6"/>
      <c r="CE3274" s="6"/>
      <c r="CF3274" s="6"/>
      <c r="CG3274" s="6"/>
      <c r="CH3274" s="6"/>
      <c r="CI3274" s="6"/>
      <c r="CJ3274" s="6"/>
      <c r="CK3274" s="6"/>
      <c r="CL3274" s="6"/>
      <c r="CM3274" s="6"/>
      <c r="CN3274" s="6"/>
      <c r="CO3274" s="6"/>
      <c r="CP3274" s="6"/>
      <c r="CQ3274" s="6"/>
      <c r="CR3274" s="6"/>
      <c r="CS3274" s="6"/>
      <c r="CT3274" s="6"/>
      <c r="CU3274" s="6"/>
      <c r="CV3274" s="6"/>
      <c r="CW3274" s="6"/>
      <c r="CX3274" s="6"/>
      <c r="CY3274" s="6"/>
      <c r="CZ3274" s="6"/>
      <c r="DA3274" s="6"/>
      <c r="DB3274" s="6"/>
      <c r="DC3274" s="6"/>
      <c r="DD3274" s="6"/>
    </row>
    <row r="3275" spans="1:108" ht="12.75" hidden="1" customHeight="1" outlineLevel="5">
      <c r="A3275" s="104" t="s">
        <v>60</v>
      </c>
      <c r="B3275" s="28">
        <f t="shared" si="192"/>
        <v>0</v>
      </c>
      <c r="C3275" s="11"/>
      <c r="D3275" s="18" t="str">
        <f t="shared" si="194"/>
        <v>&lt;TranRel_Y&gt;0.000000&lt;/TranRel_Y&gt;</v>
      </c>
      <c r="F3275" s="6"/>
      <c r="G3275" s="6"/>
      <c r="H3275" s="6"/>
      <c r="I3275" s="6"/>
      <c r="J3275" s="6"/>
      <c r="K3275" s="6"/>
      <c r="L3275" s="6"/>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c r="BU3275" s="6"/>
      <c r="BV3275" s="6"/>
      <c r="BW3275" s="6"/>
      <c r="BX3275" s="6"/>
      <c r="BY3275" s="6"/>
      <c r="BZ3275" s="6"/>
      <c r="CA3275" s="6"/>
      <c r="CB3275" s="6"/>
      <c r="CC3275" s="6"/>
      <c r="CD3275" s="6"/>
      <c r="CE3275" s="6"/>
      <c r="CF3275" s="6"/>
      <c r="CG3275" s="6"/>
      <c r="CH3275" s="6"/>
      <c r="CI3275" s="6"/>
      <c r="CJ3275" s="6"/>
      <c r="CK3275" s="6"/>
      <c r="CL3275" s="6"/>
      <c r="CM3275" s="6"/>
      <c r="CN3275" s="6"/>
      <c r="CO3275" s="6"/>
      <c r="CP3275" s="6"/>
      <c r="CQ3275" s="6"/>
      <c r="CR3275" s="6"/>
      <c r="CS3275" s="6"/>
      <c r="CT3275" s="6"/>
      <c r="CU3275" s="6"/>
      <c r="CV3275" s="6"/>
      <c r="CW3275" s="6"/>
      <c r="CX3275" s="6"/>
      <c r="CY3275" s="6"/>
      <c r="CZ3275" s="6"/>
      <c r="DA3275" s="6"/>
      <c r="DB3275" s="6"/>
      <c r="DC3275" s="6"/>
      <c r="DD3275" s="6"/>
    </row>
    <row r="3276" spans="1:108" ht="12.75" hidden="1" customHeight="1" outlineLevel="5">
      <c r="A3276" s="104" t="s">
        <v>61</v>
      </c>
      <c r="B3276" s="28">
        <f t="shared" si="192"/>
        <v>0</v>
      </c>
      <c r="C3276" s="11"/>
      <c r="D3276" s="18" t="str">
        <f t="shared" si="194"/>
        <v>&lt;TranRel_Z&gt;0.000000&lt;/TranRel_Z&gt;</v>
      </c>
      <c r="F3276" s="6"/>
      <c r="G3276" s="6"/>
      <c r="H3276" s="6"/>
      <c r="I3276" s="6"/>
      <c r="J3276" s="6"/>
      <c r="K3276" s="6"/>
      <c r="L3276" s="6"/>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c r="BU3276" s="6"/>
      <c r="BV3276" s="6"/>
      <c r="BW3276" s="6"/>
      <c r="BX3276" s="6"/>
      <c r="BY3276" s="6"/>
      <c r="BZ3276" s="6"/>
      <c r="CA3276" s="6"/>
      <c r="CB3276" s="6"/>
      <c r="CC3276" s="6"/>
      <c r="CD3276" s="6"/>
      <c r="CE3276" s="6"/>
      <c r="CF3276" s="6"/>
      <c r="CG3276" s="6"/>
      <c r="CH3276" s="6"/>
      <c r="CI3276" s="6"/>
      <c r="CJ3276" s="6"/>
      <c r="CK3276" s="6"/>
      <c r="CL3276" s="6"/>
      <c r="CM3276" s="6"/>
      <c r="CN3276" s="6"/>
      <c r="CO3276" s="6"/>
      <c r="CP3276" s="6"/>
      <c r="CQ3276" s="6"/>
      <c r="CR3276" s="6"/>
      <c r="CS3276" s="6"/>
      <c r="CT3276" s="6"/>
      <c r="CU3276" s="6"/>
      <c r="CV3276" s="6"/>
      <c r="CW3276" s="6"/>
      <c r="CX3276" s="6"/>
      <c r="CY3276" s="6"/>
      <c r="CZ3276" s="6"/>
      <c r="DA3276" s="6"/>
      <c r="DB3276" s="6"/>
      <c r="DC3276" s="6"/>
      <c r="DD3276" s="6"/>
    </row>
    <row r="3277" spans="1:108" ht="12.75" hidden="1" customHeight="1" outlineLevel="5">
      <c r="A3277" s="104" t="s">
        <v>62</v>
      </c>
      <c r="B3277" s="28">
        <f t="shared" si="192"/>
        <v>0</v>
      </c>
      <c r="C3277" s="11"/>
      <c r="D3277" s="18" t="str">
        <f t="shared" si="194"/>
        <v>&lt;Rot_X&gt;0.000000&lt;/Rot_X&gt;</v>
      </c>
      <c r="F3277" s="6"/>
      <c r="G3277" s="6"/>
      <c r="H3277" s="6"/>
      <c r="I3277" s="6"/>
      <c r="J3277" s="6"/>
      <c r="K3277" s="6"/>
      <c r="L3277" s="6"/>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c r="BU3277" s="6"/>
      <c r="BV3277" s="6"/>
      <c r="BW3277" s="6"/>
      <c r="BX3277" s="6"/>
      <c r="BY3277" s="6"/>
      <c r="BZ3277" s="6"/>
      <c r="CA3277" s="6"/>
      <c r="CB3277" s="6"/>
      <c r="CC3277" s="6"/>
      <c r="CD3277" s="6"/>
      <c r="CE3277" s="6"/>
      <c r="CF3277" s="6"/>
      <c r="CG3277" s="6"/>
      <c r="CH3277" s="6"/>
      <c r="CI3277" s="6"/>
      <c r="CJ3277" s="6"/>
      <c r="CK3277" s="6"/>
      <c r="CL3277" s="6"/>
      <c r="CM3277" s="6"/>
      <c r="CN3277" s="6"/>
      <c r="CO3277" s="6"/>
      <c r="CP3277" s="6"/>
      <c r="CQ3277" s="6"/>
      <c r="CR3277" s="6"/>
      <c r="CS3277" s="6"/>
      <c r="CT3277" s="6"/>
      <c r="CU3277" s="6"/>
      <c r="CV3277" s="6"/>
      <c r="CW3277" s="6"/>
      <c r="CX3277" s="6"/>
      <c r="CY3277" s="6"/>
      <c r="CZ3277" s="6"/>
      <c r="DA3277" s="6"/>
      <c r="DB3277" s="6"/>
      <c r="DC3277" s="6"/>
      <c r="DD3277" s="6"/>
    </row>
    <row r="3278" spans="1:108" ht="12.75" hidden="1" customHeight="1" outlineLevel="5">
      <c r="A3278" s="104" t="s">
        <v>63</v>
      </c>
      <c r="B3278" s="28">
        <f t="shared" si="192"/>
        <v>0</v>
      </c>
      <c r="C3278" s="11"/>
      <c r="D3278" s="18" t="str">
        <f t="shared" si="194"/>
        <v>&lt;Rot_Y&gt;0.000000&lt;/Rot_Y&gt;</v>
      </c>
      <c r="F3278" s="6"/>
      <c r="G3278" s="6"/>
      <c r="H3278" s="6"/>
      <c r="I3278" s="6"/>
      <c r="J3278" s="6"/>
      <c r="K3278" s="6"/>
      <c r="L3278" s="6"/>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c r="BU3278" s="6"/>
      <c r="BV3278" s="6"/>
      <c r="BW3278" s="6"/>
      <c r="BX3278" s="6"/>
      <c r="BY3278" s="6"/>
      <c r="BZ3278" s="6"/>
      <c r="CA3278" s="6"/>
      <c r="CB3278" s="6"/>
      <c r="CC3278" s="6"/>
      <c r="CD3278" s="6"/>
      <c r="CE3278" s="6"/>
      <c r="CF3278" s="6"/>
      <c r="CG3278" s="6"/>
      <c r="CH3278" s="6"/>
      <c r="CI3278" s="6"/>
      <c r="CJ3278" s="6"/>
      <c r="CK3278" s="6"/>
      <c r="CL3278" s="6"/>
      <c r="CM3278" s="6"/>
      <c r="CN3278" s="6"/>
      <c r="CO3278" s="6"/>
      <c r="CP3278" s="6"/>
      <c r="CQ3278" s="6"/>
      <c r="CR3278" s="6"/>
      <c r="CS3278" s="6"/>
      <c r="CT3278" s="6"/>
      <c r="CU3278" s="6"/>
      <c r="CV3278" s="6"/>
      <c r="CW3278" s="6"/>
      <c r="CX3278" s="6"/>
      <c r="CY3278" s="6"/>
      <c r="CZ3278" s="6"/>
      <c r="DA3278" s="6"/>
      <c r="DB3278" s="6"/>
      <c r="DC3278" s="6"/>
      <c r="DD3278" s="6"/>
    </row>
    <row r="3279" spans="1:108" ht="12.75" hidden="1" customHeight="1" outlineLevel="5">
      <c r="A3279" s="104" t="s">
        <v>64</v>
      </c>
      <c r="B3279" s="28">
        <f t="shared" si="192"/>
        <v>0</v>
      </c>
      <c r="C3279" s="11"/>
      <c r="D3279" s="18" t="str">
        <f t="shared" si="194"/>
        <v>&lt;Rot_Z&gt;0.000000&lt;/Rot_Z&gt;</v>
      </c>
      <c r="F3279" s="6"/>
      <c r="G3279" s="6"/>
      <c r="H3279" s="6"/>
      <c r="I3279" s="6"/>
      <c r="J3279" s="6"/>
      <c r="K3279" s="6"/>
      <c r="L3279" s="6"/>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c r="BU3279" s="6"/>
      <c r="BV3279" s="6"/>
      <c r="BW3279" s="6"/>
      <c r="BX3279" s="6"/>
      <c r="BY3279" s="6"/>
      <c r="BZ3279" s="6"/>
      <c r="CA3279" s="6"/>
      <c r="CB3279" s="6"/>
      <c r="CC3279" s="6"/>
      <c r="CD3279" s="6"/>
      <c r="CE3279" s="6"/>
      <c r="CF3279" s="6"/>
      <c r="CG3279" s="6"/>
      <c r="CH3279" s="6"/>
      <c r="CI3279" s="6"/>
      <c r="CJ3279" s="6"/>
      <c r="CK3279" s="6"/>
      <c r="CL3279" s="6"/>
      <c r="CM3279" s="6"/>
      <c r="CN3279" s="6"/>
      <c r="CO3279" s="6"/>
      <c r="CP3279" s="6"/>
      <c r="CQ3279" s="6"/>
      <c r="CR3279" s="6"/>
      <c r="CS3279" s="6"/>
      <c r="CT3279" s="6"/>
      <c r="CU3279" s="6"/>
      <c r="CV3279" s="6"/>
      <c r="CW3279" s="6"/>
      <c r="CX3279" s="6"/>
      <c r="CY3279" s="6"/>
      <c r="CZ3279" s="6"/>
      <c r="DA3279" s="6"/>
      <c r="DB3279" s="6"/>
      <c r="DC3279" s="6"/>
      <c r="DD3279" s="6"/>
    </row>
    <row r="3280" spans="1:108" ht="12.75" hidden="1" customHeight="1" outlineLevel="5">
      <c r="A3280" s="104" t="s">
        <v>65</v>
      </c>
      <c r="B3280" s="28">
        <f t="shared" si="192"/>
        <v>0</v>
      </c>
      <c r="C3280" s="11"/>
      <c r="D3280" s="18" t="str">
        <f t="shared" si="194"/>
        <v>&lt;RotRel_X&gt;0.000000&lt;/RotRel_X&gt;</v>
      </c>
      <c r="F3280" s="6"/>
      <c r="G3280" s="6"/>
      <c r="H3280" s="6"/>
      <c r="I3280" s="6"/>
      <c r="J3280" s="6"/>
      <c r="K3280" s="6"/>
      <c r="L3280" s="6"/>
      <c r="M3280" s="6"/>
      <c r="N3280" s="6"/>
      <c r="O3280" s="6"/>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c r="BU3280" s="6"/>
      <c r="BV3280" s="6"/>
      <c r="BW3280" s="6"/>
      <c r="BX3280" s="6"/>
      <c r="BY3280" s="6"/>
      <c r="BZ3280" s="6"/>
      <c r="CA3280" s="6"/>
      <c r="CB3280" s="6"/>
      <c r="CC3280" s="6"/>
      <c r="CD3280" s="6"/>
      <c r="CE3280" s="6"/>
      <c r="CF3280" s="6"/>
      <c r="CG3280" s="6"/>
      <c r="CH3280" s="6"/>
      <c r="CI3280" s="6"/>
      <c r="CJ3280" s="6"/>
      <c r="CK3280" s="6"/>
      <c r="CL3280" s="6"/>
      <c r="CM3280" s="6"/>
      <c r="CN3280" s="6"/>
      <c r="CO3280" s="6"/>
      <c r="CP3280" s="6"/>
      <c r="CQ3280" s="6"/>
      <c r="CR3280" s="6"/>
      <c r="CS3280" s="6"/>
      <c r="CT3280" s="6"/>
      <c r="CU3280" s="6"/>
      <c r="CV3280" s="6"/>
      <c r="CW3280" s="6"/>
      <c r="CX3280" s="6"/>
      <c r="CY3280" s="6"/>
      <c r="CZ3280" s="6"/>
      <c r="DA3280" s="6"/>
      <c r="DB3280" s="6"/>
      <c r="DC3280" s="6"/>
      <c r="DD3280" s="6"/>
    </row>
    <row r="3281" spans="1:108" ht="12.75" hidden="1" customHeight="1" outlineLevel="5">
      <c r="A3281" s="104" t="s">
        <v>66</v>
      </c>
      <c r="B3281" s="28">
        <f t="shared" si="192"/>
        <v>0</v>
      </c>
      <c r="C3281" s="11"/>
      <c r="D3281" s="18" t="str">
        <f t="shared" si="194"/>
        <v>&lt;RotRel_Y&gt;0.000000&lt;/RotRel_Y&gt;</v>
      </c>
      <c r="F3281" s="6"/>
      <c r="G3281" s="6"/>
      <c r="H3281" s="6"/>
      <c r="I3281" s="6"/>
      <c r="J3281" s="6"/>
      <c r="K3281" s="6"/>
      <c r="L3281" s="6"/>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c r="BU3281" s="6"/>
      <c r="BV3281" s="6"/>
      <c r="BW3281" s="6"/>
      <c r="BX3281" s="6"/>
      <c r="BY3281" s="6"/>
      <c r="BZ3281" s="6"/>
      <c r="CA3281" s="6"/>
      <c r="CB3281" s="6"/>
      <c r="CC3281" s="6"/>
      <c r="CD3281" s="6"/>
      <c r="CE3281" s="6"/>
      <c r="CF3281" s="6"/>
      <c r="CG3281" s="6"/>
      <c r="CH3281" s="6"/>
      <c r="CI3281" s="6"/>
      <c r="CJ3281" s="6"/>
      <c r="CK3281" s="6"/>
      <c r="CL3281" s="6"/>
      <c r="CM3281" s="6"/>
      <c r="CN3281" s="6"/>
      <c r="CO3281" s="6"/>
      <c r="CP3281" s="6"/>
      <c r="CQ3281" s="6"/>
      <c r="CR3281" s="6"/>
      <c r="CS3281" s="6"/>
      <c r="CT3281" s="6"/>
      <c r="CU3281" s="6"/>
      <c r="CV3281" s="6"/>
      <c r="CW3281" s="6"/>
      <c r="CX3281" s="6"/>
      <c r="CY3281" s="6"/>
      <c r="CZ3281" s="6"/>
      <c r="DA3281" s="6"/>
      <c r="DB3281" s="6"/>
      <c r="DC3281" s="6"/>
      <c r="DD3281" s="6"/>
    </row>
    <row r="3282" spans="1:108" ht="12.75" hidden="1" customHeight="1" outlineLevel="5">
      <c r="A3282" s="104" t="s">
        <v>67</v>
      </c>
      <c r="B3282" s="28">
        <f t="shared" si="192"/>
        <v>0</v>
      </c>
      <c r="C3282" s="11"/>
      <c r="D3282" s="18" t="str">
        <f t="shared" si="194"/>
        <v>&lt;RotRel_Z&gt;0.000000&lt;/RotRel_Z&gt;</v>
      </c>
      <c r="F3282" s="6"/>
      <c r="G3282" s="6"/>
      <c r="H3282" s="6"/>
      <c r="I3282" s="6"/>
      <c r="J3282" s="6"/>
      <c r="K3282" s="6"/>
      <c r="L3282" s="6"/>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c r="BU3282" s="6"/>
      <c r="BV3282" s="6"/>
      <c r="BW3282" s="6"/>
      <c r="BX3282" s="6"/>
      <c r="BY3282" s="6"/>
      <c r="BZ3282" s="6"/>
      <c r="CA3282" s="6"/>
      <c r="CB3282" s="6"/>
      <c r="CC3282" s="6"/>
      <c r="CD3282" s="6"/>
      <c r="CE3282" s="6"/>
      <c r="CF3282" s="6"/>
      <c r="CG3282" s="6"/>
      <c r="CH3282" s="6"/>
      <c r="CI3282" s="6"/>
      <c r="CJ3282" s="6"/>
      <c r="CK3282" s="6"/>
      <c r="CL3282" s="6"/>
      <c r="CM3282" s="6"/>
      <c r="CN3282" s="6"/>
      <c r="CO3282" s="6"/>
      <c r="CP3282" s="6"/>
      <c r="CQ3282" s="6"/>
      <c r="CR3282" s="6"/>
      <c r="CS3282" s="6"/>
      <c r="CT3282" s="6"/>
      <c r="CU3282" s="6"/>
      <c r="CV3282" s="6"/>
      <c r="CW3282" s="6"/>
      <c r="CX3282" s="6"/>
      <c r="CY3282" s="6"/>
      <c r="CZ3282" s="6"/>
      <c r="DA3282" s="6"/>
      <c r="DB3282" s="6"/>
      <c r="DC3282" s="6"/>
      <c r="DD3282" s="6"/>
    </row>
    <row r="3283" spans="1:108" ht="12.75" hidden="1" customHeight="1" outlineLevel="5">
      <c r="A3283" s="104" t="s">
        <v>68</v>
      </c>
      <c r="B3283" s="28">
        <f t="shared" si="192"/>
        <v>0</v>
      </c>
      <c r="C3283" s="11"/>
      <c r="D3283" s="18" t="str">
        <f t="shared" si="194"/>
        <v>&lt;Origin&gt;0.000000&lt;/Origin&gt;</v>
      </c>
      <c r="F3283" s="6"/>
      <c r="G3283" s="6"/>
      <c r="H3283" s="6"/>
      <c r="I3283" s="6"/>
      <c r="J3283" s="6"/>
      <c r="K3283" s="6"/>
      <c r="L3283" s="6"/>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c r="BU3283" s="6"/>
      <c r="BV3283" s="6"/>
      <c r="BW3283" s="6"/>
      <c r="BX3283" s="6"/>
      <c r="BY3283" s="6"/>
      <c r="BZ3283" s="6"/>
      <c r="CA3283" s="6"/>
      <c r="CB3283" s="6"/>
      <c r="CC3283" s="6"/>
      <c r="CD3283" s="6"/>
      <c r="CE3283" s="6"/>
      <c r="CF3283" s="6"/>
      <c r="CG3283" s="6"/>
      <c r="CH3283" s="6"/>
      <c r="CI3283" s="6"/>
      <c r="CJ3283" s="6"/>
      <c r="CK3283" s="6"/>
      <c r="CL3283" s="6"/>
      <c r="CM3283" s="6"/>
      <c r="CN3283" s="6"/>
      <c r="CO3283" s="6"/>
      <c r="CP3283" s="6"/>
      <c r="CQ3283" s="6"/>
      <c r="CR3283" s="6"/>
      <c r="CS3283" s="6"/>
      <c r="CT3283" s="6"/>
      <c r="CU3283" s="6"/>
      <c r="CV3283" s="6"/>
      <c r="CW3283" s="6"/>
      <c r="CX3283" s="6"/>
      <c r="CY3283" s="6"/>
      <c r="CZ3283" s="6"/>
      <c r="DA3283" s="6"/>
      <c r="DB3283" s="6"/>
      <c r="DC3283" s="6"/>
      <c r="DD3283" s="6"/>
    </row>
    <row r="3284" spans="1:108" ht="12.75" hidden="1" customHeight="1" outlineLevel="5">
      <c r="A3284" s="104" t="s">
        <v>69</v>
      </c>
      <c r="B3284" s="28">
        <f t="shared" si="192"/>
        <v>1</v>
      </c>
      <c r="C3284" s="11"/>
      <c r="D3284" s="18" t="str">
        <f t="shared" si="194"/>
        <v>&lt;Density&gt;1.000000&lt;/Density&gt;</v>
      </c>
      <c r="F3284" s="6"/>
      <c r="G3284" s="6"/>
      <c r="H3284" s="6"/>
      <c r="I3284" s="6"/>
      <c r="J3284" s="6"/>
      <c r="K3284" s="6"/>
      <c r="L3284" s="6"/>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c r="BU3284" s="6"/>
      <c r="BV3284" s="6"/>
      <c r="BW3284" s="6"/>
      <c r="BX3284" s="6"/>
      <c r="BY3284" s="6"/>
      <c r="BZ3284" s="6"/>
      <c r="CA3284" s="6"/>
      <c r="CB3284" s="6"/>
      <c r="CC3284" s="6"/>
      <c r="CD3284" s="6"/>
      <c r="CE3284" s="6"/>
      <c r="CF3284" s="6"/>
      <c r="CG3284" s="6"/>
      <c r="CH3284" s="6"/>
      <c r="CI3284" s="6"/>
      <c r="CJ3284" s="6"/>
      <c r="CK3284" s="6"/>
      <c r="CL3284" s="6"/>
      <c r="CM3284" s="6"/>
      <c r="CN3284" s="6"/>
      <c r="CO3284" s="6"/>
      <c r="CP3284" s="6"/>
      <c r="CQ3284" s="6"/>
      <c r="CR3284" s="6"/>
      <c r="CS3284" s="6"/>
      <c r="CT3284" s="6"/>
      <c r="CU3284" s="6"/>
      <c r="CV3284" s="6"/>
      <c r="CW3284" s="6"/>
      <c r="CX3284" s="6"/>
      <c r="CY3284" s="6"/>
      <c r="CZ3284" s="6"/>
      <c r="DA3284" s="6"/>
      <c r="DB3284" s="6"/>
      <c r="DC3284" s="6"/>
      <c r="DD3284" s="6"/>
    </row>
    <row r="3285" spans="1:108" ht="12.75" hidden="1" customHeight="1" outlineLevel="5">
      <c r="A3285" s="104" t="s">
        <v>70</v>
      </c>
      <c r="B3285" s="28">
        <f t="shared" si="192"/>
        <v>1</v>
      </c>
      <c r="C3285" s="11"/>
      <c r="D3285" s="18" t="str">
        <f t="shared" si="194"/>
        <v>&lt;ShellMassArea&gt;1.000000&lt;/ShellMassArea&gt;</v>
      </c>
      <c r="F3285" s="6"/>
      <c r="G3285" s="6"/>
      <c r="H3285" s="6"/>
      <c r="I3285" s="6"/>
      <c r="J3285" s="6"/>
      <c r="K3285" s="6"/>
      <c r="L3285" s="6"/>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c r="BU3285" s="6"/>
      <c r="BV3285" s="6"/>
      <c r="BW3285" s="6"/>
      <c r="BX3285" s="6"/>
      <c r="BY3285" s="6"/>
      <c r="BZ3285" s="6"/>
      <c r="CA3285" s="6"/>
      <c r="CB3285" s="6"/>
      <c r="CC3285" s="6"/>
      <c r="CD3285" s="6"/>
      <c r="CE3285" s="6"/>
      <c r="CF3285" s="6"/>
      <c r="CG3285" s="6"/>
      <c r="CH3285" s="6"/>
      <c r="CI3285" s="6"/>
      <c r="CJ3285" s="6"/>
      <c r="CK3285" s="6"/>
      <c r="CL3285" s="6"/>
      <c r="CM3285" s="6"/>
      <c r="CN3285" s="6"/>
      <c r="CO3285" s="6"/>
      <c r="CP3285" s="6"/>
      <c r="CQ3285" s="6"/>
      <c r="CR3285" s="6"/>
      <c r="CS3285" s="6"/>
      <c r="CT3285" s="6"/>
      <c r="CU3285" s="6"/>
      <c r="CV3285" s="6"/>
      <c r="CW3285" s="6"/>
      <c r="CX3285" s="6"/>
      <c r="CY3285" s="6"/>
      <c r="CZ3285" s="6"/>
      <c r="DA3285" s="6"/>
      <c r="DB3285" s="6"/>
      <c r="DC3285" s="6"/>
      <c r="DD3285" s="6"/>
    </row>
    <row r="3286" spans="1:108" ht="12.75" hidden="1" customHeight="1" outlineLevel="5">
      <c r="A3286" s="104" t="s">
        <v>71</v>
      </c>
      <c r="B3286" s="28">
        <f t="shared" si="192"/>
        <v>0</v>
      </c>
      <c r="C3286" s="11"/>
      <c r="D3286" s="18" t="str">
        <f>"&lt;" &amp; A3286 &amp; "&gt;" &amp; TEXT(B3286,0) &amp; "&lt;/" &amp; A3286 &amp; "&gt;"</f>
        <v>&lt;RefFlag&gt;0&lt;/RefFlag&gt;</v>
      </c>
      <c r="F3286" s="6"/>
      <c r="G3286" s="6"/>
      <c r="H3286" s="6"/>
      <c r="I3286" s="6"/>
      <c r="J3286" s="6"/>
      <c r="K3286" s="6"/>
      <c r="L3286" s="6"/>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c r="BU3286" s="6"/>
      <c r="BV3286" s="6"/>
      <c r="BW3286" s="6"/>
      <c r="BX3286" s="6"/>
      <c r="BY3286" s="6"/>
      <c r="BZ3286" s="6"/>
      <c r="CA3286" s="6"/>
      <c r="CB3286" s="6"/>
      <c r="CC3286" s="6"/>
      <c r="CD3286" s="6"/>
      <c r="CE3286" s="6"/>
      <c r="CF3286" s="6"/>
      <c r="CG3286" s="6"/>
      <c r="CH3286" s="6"/>
      <c r="CI3286" s="6"/>
      <c r="CJ3286" s="6"/>
      <c r="CK3286" s="6"/>
      <c r="CL3286" s="6"/>
      <c r="CM3286" s="6"/>
      <c r="CN3286" s="6"/>
      <c r="CO3286" s="6"/>
      <c r="CP3286" s="6"/>
      <c r="CQ3286" s="6"/>
      <c r="CR3286" s="6"/>
      <c r="CS3286" s="6"/>
      <c r="CT3286" s="6"/>
      <c r="CU3286" s="6"/>
      <c r="CV3286" s="6"/>
      <c r="CW3286" s="6"/>
      <c r="CX3286" s="6"/>
      <c r="CY3286" s="6"/>
      <c r="CZ3286" s="6"/>
      <c r="DA3286" s="6"/>
      <c r="DB3286" s="6"/>
      <c r="DC3286" s="6"/>
      <c r="DD3286" s="6"/>
    </row>
    <row r="3287" spans="1:108" ht="12.75" hidden="1" customHeight="1" outlineLevel="5">
      <c r="A3287" s="104" t="s">
        <v>72</v>
      </c>
      <c r="B3287" s="28">
        <f t="shared" si="192"/>
        <v>100</v>
      </c>
      <c r="C3287" s="11"/>
      <c r="D3287" s="18" t="str">
        <f>"&lt;" &amp; A3287 &amp; "&gt;" &amp; TEXT(B3287,"0.000000") &amp; "&lt;/" &amp; A3287 &amp; "&gt;"</f>
        <v>&lt;RefArea&gt;100.000000&lt;/RefArea&gt;</v>
      </c>
      <c r="F3287" s="6"/>
      <c r="G3287" s="6"/>
      <c r="H3287" s="6"/>
      <c r="I3287" s="6"/>
      <c r="J3287" s="6"/>
      <c r="K3287" s="6"/>
      <c r="L3287" s="6"/>
      <c r="M3287" s="6"/>
      <c r="N3287" s="6"/>
      <c r="O3287" s="6"/>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c r="BU3287" s="6"/>
      <c r="BV3287" s="6"/>
      <c r="BW3287" s="6"/>
      <c r="BX3287" s="6"/>
      <c r="BY3287" s="6"/>
      <c r="BZ3287" s="6"/>
      <c r="CA3287" s="6"/>
      <c r="CB3287" s="6"/>
      <c r="CC3287" s="6"/>
      <c r="CD3287" s="6"/>
      <c r="CE3287" s="6"/>
      <c r="CF3287" s="6"/>
      <c r="CG3287" s="6"/>
      <c r="CH3287" s="6"/>
      <c r="CI3287" s="6"/>
      <c r="CJ3287" s="6"/>
      <c r="CK3287" s="6"/>
      <c r="CL3287" s="6"/>
      <c r="CM3287" s="6"/>
      <c r="CN3287" s="6"/>
      <c r="CO3287" s="6"/>
      <c r="CP3287" s="6"/>
      <c r="CQ3287" s="6"/>
      <c r="CR3287" s="6"/>
      <c r="CS3287" s="6"/>
      <c r="CT3287" s="6"/>
      <c r="CU3287" s="6"/>
      <c r="CV3287" s="6"/>
      <c r="CW3287" s="6"/>
      <c r="CX3287" s="6"/>
      <c r="CY3287" s="6"/>
      <c r="CZ3287" s="6"/>
      <c r="DA3287" s="6"/>
      <c r="DB3287" s="6"/>
      <c r="DC3287" s="6"/>
      <c r="DD3287" s="6"/>
    </row>
    <row r="3288" spans="1:108" ht="12.75" hidden="1" customHeight="1" outlineLevel="5">
      <c r="A3288" s="104" t="s">
        <v>73</v>
      </c>
      <c r="B3288" s="28">
        <f t="shared" si="192"/>
        <v>10</v>
      </c>
      <c r="C3288" s="11"/>
      <c r="D3288" s="18" t="str">
        <f>"&lt;" &amp; A3288 &amp; "&gt;" &amp; TEXT(B3288,"0.000000") &amp; "&lt;/" &amp; A3288 &amp; "&gt;"</f>
        <v>&lt;RefSpan&gt;10.000000&lt;/RefSpan&gt;</v>
      </c>
      <c r="F3288" s="6"/>
      <c r="G3288" s="6"/>
      <c r="H3288" s="6"/>
      <c r="I3288" s="6"/>
      <c r="J3288" s="6"/>
      <c r="K3288" s="6"/>
      <c r="L3288" s="6"/>
      <c r="M3288" s="6"/>
      <c r="N3288" s="6"/>
      <c r="O3288" s="6"/>
      <c r="P3288" s="6"/>
      <c r="Q3288" s="6"/>
      <c r="R3288" s="6"/>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c r="BU3288" s="6"/>
      <c r="BV3288" s="6"/>
      <c r="BW3288" s="6"/>
      <c r="BX3288" s="6"/>
      <c r="BY3288" s="6"/>
      <c r="BZ3288" s="6"/>
      <c r="CA3288" s="6"/>
      <c r="CB3288" s="6"/>
      <c r="CC3288" s="6"/>
      <c r="CD3288" s="6"/>
      <c r="CE3288" s="6"/>
      <c r="CF3288" s="6"/>
      <c r="CG3288" s="6"/>
      <c r="CH3288" s="6"/>
      <c r="CI3288" s="6"/>
      <c r="CJ3288" s="6"/>
      <c r="CK3288" s="6"/>
      <c r="CL3288" s="6"/>
      <c r="CM3288" s="6"/>
      <c r="CN3288" s="6"/>
      <c r="CO3288" s="6"/>
      <c r="CP3288" s="6"/>
      <c r="CQ3288" s="6"/>
      <c r="CR3288" s="6"/>
      <c r="CS3288" s="6"/>
      <c r="CT3288" s="6"/>
      <c r="CU3288" s="6"/>
      <c r="CV3288" s="6"/>
      <c r="CW3288" s="6"/>
      <c r="CX3288" s="6"/>
      <c r="CY3288" s="6"/>
      <c r="CZ3288" s="6"/>
      <c r="DA3288" s="6"/>
      <c r="DB3288" s="6"/>
      <c r="DC3288" s="6"/>
      <c r="DD3288" s="6"/>
    </row>
    <row r="3289" spans="1:108" ht="12.75" hidden="1" customHeight="1" outlineLevel="5">
      <c r="A3289" s="104" t="s">
        <v>74</v>
      </c>
      <c r="B3289" s="28">
        <f t="shared" si="192"/>
        <v>1</v>
      </c>
      <c r="C3289" s="11"/>
      <c r="D3289" s="18" t="str">
        <f>"&lt;" &amp; A3289 &amp; "&gt;" &amp; TEXT(B3289,"0.000000") &amp; "&lt;/" &amp; A3289 &amp; "&gt;"</f>
        <v>&lt;RefCbar&gt;1.000000&lt;/RefCbar&gt;</v>
      </c>
      <c r="F3289" s="6"/>
      <c r="G3289" s="6"/>
      <c r="H3289" s="6"/>
      <c r="I3289" s="6"/>
      <c r="J3289" s="6"/>
      <c r="K3289" s="6"/>
      <c r="L3289" s="6"/>
      <c r="M3289" s="6"/>
      <c r="N3289" s="6"/>
      <c r="O3289" s="6"/>
      <c r="P3289" s="6"/>
      <c r="Q3289" s="6"/>
      <c r="R3289" s="6"/>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c r="BU3289" s="6"/>
      <c r="BV3289" s="6"/>
      <c r="BW3289" s="6"/>
      <c r="BX3289" s="6"/>
      <c r="BY3289" s="6"/>
      <c r="BZ3289" s="6"/>
      <c r="CA3289" s="6"/>
      <c r="CB3289" s="6"/>
      <c r="CC3289" s="6"/>
      <c r="CD3289" s="6"/>
      <c r="CE3289" s="6"/>
      <c r="CF3289" s="6"/>
      <c r="CG3289" s="6"/>
      <c r="CH3289" s="6"/>
      <c r="CI3289" s="6"/>
      <c r="CJ3289" s="6"/>
      <c r="CK3289" s="6"/>
      <c r="CL3289" s="6"/>
      <c r="CM3289" s="6"/>
      <c r="CN3289" s="6"/>
      <c r="CO3289" s="6"/>
      <c r="CP3289" s="6"/>
      <c r="CQ3289" s="6"/>
      <c r="CR3289" s="6"/>
      <c r="CS3289" s="6"/>
      <c r="CT3289" s="6"/>
      <c r="CU3289" s="6"/>
      <c r="CV3289" s="6"/>
      <c r="CW3289" s="6"/>
      <c r="CX3289" s="6"/>
      <c r="CY3289" s="6"/>
      <c r="CZ3289" s="6"/>
      <c r="DA3289" s="6"/>
      <c r="DB3289" s="6"/>
      <c r="DC3289" s="6"/>
      <c r="DD3289" s="6"/>
    </row>
    <row r="3290" spans="1:108" ht="12.75" hidden="1" customHeight="1" outlineLevel="5">
      <c r="A3290" s="104" t="s">
        <v>75</v>
      </c>
      <c r="B3290" s="28">
        <f t="shared" si="192"/>
        <v>1</v>
      </c>
      <c r="C3290" s="11"/>
      <c r="D3290" s="18" t="str">
        <f>"&lt;" &amp; A3290 &amp; "&gt;" &amp; TEXT(B3290,0) &amp; "&lt;/" &amp; A3290 &amp; "&gt;"</f>
        <v>&lt;AutoRefAreaFlag&gt;1&lt;/AutoRefAreaFlag&gt;</v>
      </c>
      <c r="F3290" s="6"/>
      <c r="G3290" s="6"/>
      <c r="H3290" s="6"/>
      <c r="I3290" s="6"/>
      <c r="J3290" s="6"/>
      <c r="K3290" s="6"/>
      <c r="L3290" s="6"/>
      <c r="M3290" s="6"/>
      <c r="N3290" s="6"/>
      <c r="O3290" s="6"/>
      <c r="P3290" s="6"/>
      <c r="Q3290" s="6"/>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c r="BU3290" s="6"/>
      <c r="BV3290" s="6"/>
      <c r="BW3290" s="6"/>
      <c r="BX3290" s="6"/>
      <c r="BY3290" s="6"/>
      <c r="BZ3290" s="6"/>
      <c r="CA3290" s="6"/>
      <c r="CB3290" s="6"/>
      <c r="CC3290" s="6"/>
      <c r="CD3290" s="6"/>
      <c r="CE3290" s="6"/>
      <c r="CF3290" s="6"/>
      <c r="CG3290" s="6"/>
      <c r="CH3290" s="6"/>
      <c r="CI3290" s="6"/>
      <c r="CJ3290" s="6"/>
      <c r="CK3290" s="6"/>
      <c r="CL3290" s="6"/>
      <c r="CM3290" s="6"/>
      <c r="CN3290" s="6"/>
      <c r="CO3290" s="6"/>
      <c r="CP3290" s="6"/>
      <c r="CQ3290" s="6"/>
      <c r="CR3290" s="6"/>
      <c r="CS3290" s="6"/>
      <c r="CT3290" s="6"/>
      <c r="CU3290" s="6"/>
      <c r="CV3290" s="6"/>
      <c r="CW3290" s="6"/>
      <c r="CX3290" s="6"/>
      <c r="CY3290" s="6"/>
      <c r="CZ3290" s="6"/>
      <c r="DA3290" s="6"/>
      <c r="DB3290" s="6"/>
      <c r="DC3290" s="6"/>
      <c r="DD3290" s="6"/>
    </row>
    <row r="3291" spans="1:108" ht="12.75" hidden="1" customHeight="1" outlineLevel="5">
      <c r="A3291" s="104" t="s">
        <v>76</v>
      </c>
      <c r="B3291" s="28">
        <f t="shared" si="192"/>
        <v>1</v>
      </c>
      <c r="C3291" s="11"/>
      <c r="D3291" s="18" t="str">
        <f>"&lt;" &amp; A3291 &amp; "&gt;" &amp; TEXT(B3291,0) &amp; "&lt;/" &amp; A3291 &amp; "&gt;"</f>
        <v>&lt;AutoRefSpanFlag&gt;1&lt;/AutoRefSpanFlag&gt;</v>
      </c>
      <c r="F3291" s="6"/>
      <c r="G3291" s="6"/>
      <c r="H3291" s="6"/>
      <c r="I3291" s="6"/>
      <c r="J3291" s="6"/>
      <c r="K3291" s="6"/>
      <c r="L3291" s="6"/>
      <c r="M3291" s="6"/>
      <c r="N3291" s="6"/>
      <c r="O3291" s="6"/>
      <c r="P3291" s="6"/>
      <c r="Q3291" s="6"/>
      <c r="R3291" s="6"/>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c r="BU3291" s="6"/>
      <c r="BV3291" s="6"/>
      <c r="BW3291" s="6"/>
      <c r="BX3291" s="6"/>
      <c r="BY3291" s="6"/>
      <c r="BZ3291" s="6"/>
      <c r="CA3291" s="6"/>
      <c r="CB3291" s="6"/>
      <c r="CC3291" s="6"/>
      <c r="CD3291" s="6"/>
      <c r="CE3291" s="6"/>
      <c r="CF3291" s="6"/>
      <c r="CG3291" s="6"/>
      <c r="CH3291" s="6"/>
      <c r="CI3291" s="6"/>
      <c r="CJ3291" s="6"/>
      <c r="CK3291" s="6"/>
      <c r="CL3291" s="6"/>
      <c r="CM3291" s="6"/>
      <c r="CN3291" s="6"/>
      <c r="CO3291" s="6"/>
      <c r="CP3291" s="6"/>
      <c r="CQ3291" s="6"/>
      <c r="CR3291" s="6"/>
      <c r="CS3291" s="6"/>
      <c r="CT3291" s="6"/>
      <c r="CU3291" s="6"/>
      <c r="CV3291" s="6"/>
      <c r="CW3291" s="6"/>
      <c r="CX3291" s="6"/>
      <c r="CY3291" s="6"/>
      <c r="CZ3291" s="6"/>
      <c r="DA3291" s="6"/>
      <c r="DB3291" s="6"/>
      <c r="DC3291" s="6"/>
      <c r="DD3291" s="6"/>
    </row>
    <row r="3292" spans="1:108" ht="12.75" hidden="1" customHeight="1" outlineLevel="5">
      <c r="A3292" s="104" t="s">
        <v>77</v>
      </c>
      <c r="B3292" s="28">
        <f t="shared" si="192"/>
        <v>1</v>
      </c>
      <c r="C3292" s="11"/>
      <c r="D3292" s="18" t="str">
        <f>"&lt;" &amp; A3292 &amp; "&gt;" &amp; TEXT(B3292,0) &amp; "&lt;/" &amp; A3292 &amp; "&gt;"</f>
        <v>&lt;AutoRefCbarFlag&gt;1&lt;/AutoRefCbarFlag&gt;</v>
      </c>
      <c r="F3292" s="6"/>
      <c r="G3292" s="6"/>
      <c r="H3292" s="6"/>
      <c r="I3292" s="6"/>
      <c r="J3292" s="6"/>
      <c r="K3292" s="6"/>
      <c r="L3292" s="6"/>
      <c r="M3292" s="6"/>
      <c r="N3292" s="6"/>
      <c r="O3292" s="6"/>
      <c r="P3292" s="6"/>
      <c r="Q3292" s="6"/>
      <c r="R3292" s="6"/>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c r="BU3292" s="6"/>
      <c r="BV3292" s="6"/>
      <c r="BW3292" s="6"/>
      <c r="BX3292" s="6"/>
      <c r="BY3292" s="6"/>
      <c r="BZ3292" s="6"/>
      <c r="CA3292" s="6"/>
      <c r="CB3292" s="6"/>
      <c r="CC3292" s="6"/>
      <c r="CD3292" s="6"/>
      <c r="CE3292" s="6"/>
      <c r="CF3292" s="6"/>
      <c r="CG3292" s="6"/>
      <c r="CH3292" s="6"/>
      <c r="CI3292" s="6"/>
      <c r="CJ3292" s="6"/>
      <c r="CK3292" s="6"/>
      <c r="CL3292" s="6"/>
      <c r="CM3292" s="6"/>
      <c r="CN3292" s="6"/>
      <c r="CO3292" s="6"/>
      <c r="CP3292" s="6"/>
      <c r="CQ3292" s="6"/>
      <c r="CR3292" s="6"/>
      <c r="CS3292" s="6"/>
      <c r="CT3292" s="6"/>
      <c r="CU3292" s="6"/>
      <c r="CV3292" s="6"/>
      <c r="CW3292" s="6"/>
      <c r="CX3292" s="6"/>
      <c r="CY3292" s="6"/>
      <c r="CZ3292" s="6"/>
      <c r="DA3292" s="6"/>
      <c r="DB3292" s="6"/>
      <c r="DC3292" s="6"/>
      <c r="DD3292" s="6"/>
    </row>
    <row r="3293" spans="1:108" ht="12.75" hidden="1" customHeight="1" outlineLevel="5">
      <c r="A3293" s="104" t="s">
        <v>78</v>
      </c>
      <c r="B3293" s="28">
        <f t="shared" si="192"/>
        <v>0</v>
      </c>
      <c r="C3293" s="11"/>
      <c r="D3293" s="18" t="str">
        <f>"&lt;" &amp; A3293 &amp; "&gt;" &amp; TEXT(B3293,"0.000000") &amp; "&lt;/" &amp; A3293 &amp; "&gt;"</f>
        <v>&lt;AeroCenter_X&gt;0.000000&lt;/AeroCenter_X&gt;</v>
      </c>
      <c r="F3293" s="6"/>
      <c r="G3293" s="6"/>
      <c r="H3293" s="6"/>
      <c r="I3293" s="6"/>
      <c r="J3293" s="6"/>
      <c r="K3293" s="6"/>
      <c r="L3293" s="6"/>
      <c r="M3293" s="6"/>
      <c r="N3293" s="6"/>
      <c r="O3293" s="6"/>
      <c r="P3293" s="6"/>
      <c r="Q3293" s="6"/>
      <c r="R3293" s="6"/>
      <c r="S3293" s="6"/>
      <c r="T3293" s="6"/>
      <c r="U3293" s="6"/>
      <c r="V3293" s="6"/>
      <c r="W3293" s="6"/>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c r="BU3293" s="6"/>
      <c r="BV3293" s="6"/>
      <c r="BW3293" s="6"/>
      <c r="BX3293" s="6"/>
      <c r="BY3293" s="6"/>
      <c r="BZ3293" s="6"/>
      <c r="CA3293" s="6"/>
      <c r="CB3293" s="6"/>
      <c r="CC3293" s="6"/>
      <c r="CD3293" s="6"/>
      <c r="CE3293" s="6"/>
      <c r="CF3293" s="6"/>
      <c r="CG3293" s="6"/>
      <c r="CH3293" s="6"/>
      <c r="CI3293" s="6"/>
      <c r="CJ3293" s="6"/>
      <c r="CK3293" s="6"/>
      <c r="CL3293" s="6"/>
      <c r="CM3293" s="6"/>
      <c r="CN3293" s="6"/>
      <c r="CO3293" s="6"/>
      <c r="CP3293" s="6"/>
      <c r="CQ3293" s="6"/>
      <c r="CR3293" s="6"/>
      <c r="CS3293" s="6"/>
      <c r="CT3293" s="6"/>
      <c r="CU3293" s="6"/>
      <c r="CV3293" s="6"/>
      <c r="CW3293" s="6"/>
      <c r="CX3293" s="6"/>
      <c r="CY3293" s="6"/>
      <c r="CZ3293" s="6"/>
      <c r="DA3293" s="6"/>
      <c r="DB3293" s="6"/>
      <c r="DC3293" s="6"/>
      <c r="DD3293" s="6"/>
    </row>
    <row r="3294" spans="1:108" ht="12.75" hidden="1" customHeight="1" outlineLevel="5">
      <c r="A3294" s="104" t="s">
        <v>79</v>
      </c>
      <c r="B3294" s="28">
        <f t="shared" si="192"/>
        <v>0</v>
      </c>
      <c r="C3294" s="11"/>
      <c r="D3294" s="18" t="str">
        <f>"&lt;" &amp; A3294 &amp; "&gt;" &amp; TEXT(B3294,"0.000000") &amp; "&lt;/" &amp; A3294 &amp; "&gt;"</f>
        <v>&lt;AeroCenter_Y&gt;0.000000&lt;/AeroCenter_Y&gt;</v>
      </c>
      <c r="F3294" s="6"/>
      <c r="G3294" s="6"/>
      <c r="H3294" s="6"/>
      <c r="I3294" s="6"/>
      <c r="J3294" s="6"/>
      <c r="K3294" s="6"/>
      <c r="L3294" s="6"/>
      <c r="M3294" s="6"/>
      <c r="N3294" s="6"/>
      <c r="O3294" s="6"/>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c r="BU3294" s="6"/>
      <c r="BV3294" s="6"/>
      <c r="BW3294" s="6"/>
      <c r="BX3294" s="6"/>
      <c r="BY3294" s="6"/>
      <c r="BZ3294" s="6"/>
      <c r="CA3294" s="6"/>
      <c r="CB3294" s="6"/>
      <c r="CC3294" s="6"/>
      <c r="CD3294" s="6"/>
      <c r="CE3294" s="6"/>
      <c r="CF3294" s="6"/>
      <c r="CG3294" s="6"/>
      <c r="CH3294" s="6"/>
      <c r="CI3294" s="6"/>
      <c r="CJ3294" s="6"/>
      <c r="CK3294" s="6"/>
      <c r="CL3294" s="6"/>
      <c r="CM3294" s="6"/>
      <c r="CN3294" s="6"/>
      <c r="CO3294" s="6"/>
      <c r="CP3294" s="6"/>
      <c r="CQ3294" s="6"/>
      <c r="CR3294" s="6"/>
      <c r="CS3294" s="6"/>
      <c r="CT3294" s="6"/>
      <c r="CU3294" s="6"/>
      <c r="CV3294" s="6"/>
      <c r="CW3294" s="6"/>
      <c r="CX3294" s="6"/>
      <c r="CY3294" s="6"/>
      <c r="CZ3294" s="6"/>
      <c r="DA3294" s="6"/>
      <c r="DB3294" s="6"/>
      <c r="DC3294" s="6"/>
      <c r="DD3294" s="6"/>
    </row>
    <row r="3295" spans="1:108" ht="12.75" hidden="1" customHeight="1" outlineLevel="5">
      <c r="A3295" s="104" t="s">
        <v>80</v>
      </c>
      <c r="B3295" s="28">
        <f t="shared" si="192"/>
        <v>0</v>
      </c>
      <c r="C3295" s="11"/>
      <c r="D3295" s="18" t="str">
        <f>"&lt;" &amp; A3295 &amp; "&gt;" &amp; TEXT(B3295,"0.000000") &amp; "&lt;/" &amp; A3295 &amp; "&gt;"</f>
        <v>&lt;AeroCenter_Z&gt;0.000000&lt;/AeroCenter_Z&gt;</v>
      </c>
      <c r="F3295" s="6"/>
      <c r="G3295" s="6"/>
      <c r="H3295" s="6"/>
      <c r="I3295" s="6"/>
      <c r="J3295" s="6"/>
      <c r="K3295" s="6"/>
      <c r="L3295" s="6"/>
      <c r="M3295" s="6"/>
      <c r="N3295" s="6"/>
      <c r="O3295" s="6"/>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c r="BU3295" s="6"/>
      <c r="BV3295" s="6"/>
      <c r="BW3295" s="6"/>
      <c r="BX3295" s="6"/>
      <c r="BY3295" s="6"/>
      <c r="BZ3295" s="6"/>
      <c r="CA3295" s="6"/>
      <c r="CB3295" s="6"/>
      <c r="CC3295" s="6"/>
      <c r="CD3295" s="6"/>
      <c r="CE3295" s="6"/>
      <c r="CF3295" s="6"/>
      <c r="CG3295" s="6"/>
      <c r="CH3295" s="6"/>
      <c r="CI3295" s="6"/>
      <c r="CJ3295" s="6"/>
      <c r="CK3295" s="6"/>
      <c r="CL3295" s="6"/>
      <c r="CM3295" s="6"/>
      <c r="CN3295" s="6"/>
      <c r="CO3295" s="6"/>
      <c r="CP3295" s="6"/>
      <c r="CQ3295" s="6"/>
      <c r="CR3295" s="6"/>
      <c r="CS3295" s="6"/>
      <c r="CT3295" s="6"/>
      <c r="CU3295" s="6"/>
      <c r="CV3295" s="6"/>
      <c r="CW3295" s="6"/>
      <c r="CX3295" s="6"/>
      <c r="CY3295" s="6"/>
      <c r="CZ3295" s="6"/>
      <c r="DA3295" s="6"/>
      <c r="DB3295" s="6"/>
      <c r="DC3295" s="6"/>
      <c r="DD3295" s="6"/>
    </row>
    <row r="3296" spans="1:108" ht="12.75" hidden="1" customHeight="1" outlineLevel="5">
      <c r="A3296" s="104" t="s">
        <v>81</v>
      </c>
      <c r="B3296" s="28">
        <f t="shared" si="192"/>
        <v>1</v>
      </c>
      <c r="C3296" s="11"/>
      <c r="D3296" s="18" t="str">
        <f>"&lt;" &amp; A3296 &amp; "&gt;" &amp; TEXT(B3296,0) &amp; "&lt;/" &amp; A3296 &amp; "&gt;"</f>
        <v>&lt;AutoAeroCenterFlag&gt;1&lt;/AutoAeroCenterFlag&gt;</v>
      </c>
      <c r="F3296" s="6"/>
      <c r="G3296" s="6"/>
      <c r="H3296" s="6"/>
      <c r="I3296" s="6"/>
      <c r="J3296" s="6"/>
      <c r="K3296" s="6"/>
      <c r="L3296" s="6"/>
      <c r="M3296" s="6"/>
      <c r="N3296" s="6"/>
      <c r="O3296" s="6"/>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c r="BU3296" s="6"/>
      <c r="BV3296" s="6"/>
      <c r="BW3296" s="6"/>
      <c r="BX3296" s="6"/>
      <c r="BY3296" s="6"/>
      <c r="BZ3296" s="6"/>
      <c r="CA3296" s="6"/>
      <c r="CB3296" s="6"/>
      <c r="CC3296" s="6"/>
      <c r="CD3296" s="6"/>
      <c r="CE3296" s="6"/>
      <c r="CF3296" s="6"/>
      <c r="CG3296" s="6"/>
      <c r="CH3296" s="6"/>
      <c r="CI3296" s="6"/>
      <c r="CJ3296" s="6"/>
      <c r="CK3296" s="6"/>
      <c r="CL3296" s="6"/>
      <c r="CM3296" s="6"/>
      <c r="CN3296" s="6"/>
      <c r="CO3296" s="6"/>
      <c r="CP3296" s="6"/>
      <c r="CQ3296" s="6"/>
      <c r="CR3296" s="6"/>
      <c r="CS3296" s="6"/>
      <c r="CT3296" s="6"/>
      <c r="CU3296" s="6"/>
      <c r="CV3296" s="6"/>
      <c r="CW3296" s="6"/>
      <c r="CX3296" s="6"/>
      <c r="CY3296" s="6"/>
      <c r="CZ3296" s="6"/>
      <c r="DA3296" s="6"/>
      <c r="DB3296" s="6"/>
      <c r="DC3296" s="6"/>
      <c r="DD3296" s="6"/>
    </row>
    <row r="3297" spans="1:108" ht="12.75" hidden="1" customHeight="1" outlineLevel="5">
      <c r="A3297" s="104" t="s">
        <v>82</v>
      </c>
      <c r="B3297" s="28">
        <f t="shared" si="192"/>
        <v>0</v>
      </c>
      <c r="C3297" s="11"/>
      <c r="D3297" s="18" t="str">
        <f>"&lt;" &amp; A3297 &amp; "&gt;" &amp; TEXT(B3297,0) &amp; "&lt;/" &amp; A3297 &amp; "&gt;"</f>
        <v>&lt;WakeActiveFlag&gt;0&lt;/WakeActiveFlag&gt;</v>
      </c>
      <c r="F3297" s="6"/>
      <c r="G3297" s="6"/>
      <c r="H3297" s="6"/>
      <c r="I3297" s="6"/>
      <c r="J3297" s="6"/>
      <c r="K3297" s="6"/>
      <c r="L3297" s="6"/>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c r="BU3297" s="6"/>
      <c r="BV3297" s="6"/>
      <c r="BW3297" s="6"/>
      <c r="BX3297" s="6"/>
      <c r="BY3297" s="6"/>
      <c r="BZ3297" s="6"/>
      <c r="CA3297" s="6"/>
      <c r="CB3297" s="6"/>
      <c r="CC3297" s="6"/>
      <c r="CD3297" s="6"/>
      <c r="CE3297" s="6"/>
      <c r="CF3297" s="6"/>
      <c r="CG3297" s="6"/>
      <c r="CH3297" s="6"/>
      <c r="CI3297" s="6"/>
      <c r="CJ3297" s="6"/>
      <c r="CK3297" s="6"/>
      <c r="CL3297" s="6"/>
      <c r="CM3297" s="6"/>
      <c r="CN3297" s="6"/>
      <c r="CO3297" s="6"/>
      <c r="CP3297" s="6"/>
      <c r="CQ3297" s="6"/>
      <c r="CR3297" s="6"/>
      <c r="CS3297" s="6"/>
      <c r="CT3297" s="6"/>
      <c r="CU3297" s="6"/>
      <c r="CV3297" s="6"/>
      <c r="CW3297" s="6"/>
      <c r="CX3297" s="6"/>
      <c r="CY3297" s="6"/>
      <c r="CZ3297" s="6"/>
      <c r="DA3297" s="6"/>
      <c r="DB3297" s="6"/>
      <c r="DC3297" s="6"/>
      <c r="DD3297" s="6"/>
    </row>
    <row r="3298" spans="1:108" ht="12.75" hidden="1" customHeight="1" outlineLevel="5">
      <c r="A3298" s="104" t="s">
        <v>83</v>
      </c>
      <c r="B3298" s="28">
        <f t="shared" si="192"/>
        <v>3</v>
      </c>
      <c r="C3298" s="11"/>
      <c r="D3298" s="18" t="str">
        <f>"&lt;" &amp; A3298 &amp; "&gt;" &amp; TEXT(B3298,0) &amp; "&lt;/" &amp; A3298 &amp; "&gt;"</f>
        <v>&lt;PosAttachFlag&gt;3&lt;/PosAttachFlag&gt;</v>
      </c>
      <c r="F3298" s="6"/>
      <c r="G3298" s="6"/>
      <c r="H3298" s="6"/>
      <c r="I3298" s="6"/>
      <c r="J3298" s="6"/>
      <c r="K3298" s="6"/>
      <c r="L3298" s="6"/>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c r="BU3298" s="6"/>
      <c r="BV3298" s="6"/>
      <c r="BW3298" s="6"/>
      <c r="BX3298" s="6"/>
      <c r="BY3298" s="6"/>
      <c r="BZ3298" s="6"/>
      <c r="CA3298" s="6"/>
      <c r="CB3298" s="6"/>
      <c r="CC3298" s="6"/>
      <c r="CD3298" s="6"/>
      <c r="CE3298" s="6"/>
      <c r="CF3298" s="6"/>
      <c r="CG3298" s="6"/>
      <c r="CH3298" s="6"/>
      <c r="CI3298" s="6"/>
      <c r="CJ3298" s="6"/>
      <c r="CK3298" s="6"/>
      <c r="CL3298" s="6"/>
      <c r="CM3298" s="6"/>
      <c r="CN3298" s="6"/>
      <c r="CO3298" s="6"/>
      <c r="CP3298" s="6"/>
      <c r="CQ3298" s="6"/>
      <c r="CR3298" s="6"/>
      <c r="CS3298" s="6"/>
      <c r="CT3298" s="6"/>
      <c r="CU3298" s="6"/>
      <c r="CV3298" s="6"/>
      <c r="CW3298" s="6"/>
      <c r="CX3298" s="6"/>
      <c r="CY3298" s="6"/>
      <c r="CZ3298" s="6"/>
      <c r="DA3298" s="6"/>
      <c r="DB3298" s="6"/>
      <c r="DC3298" s="6"/>
      <c r="DD3298" s="6"/>
    </row>
    <row r="3299" spans="1:108" ht="12.75" hidden="1" customHeight="1" outlineLevel="5">
      <c r="A3299" s="104" t="s">
        <v>84</v>
      </c>
      <c r="B3299" s="28">
        <f t="shared" si="192"/>
        <v>0</v>
      </c>
      <c r="C3299" s="11"/>
      <c r="D3299" s="18" t="str">
        <f>"&lt;" &amp; A3299 &amp; "&gt;" &amp; TEXT(B3299,"0.000000") &amp; "&lt;/" &amp; A3299 &amp; "&gt;"</f>
        <v>&lt;U_Attach&gt;0.000000&lt;/U_Attach&gt;</v>
      </c>
      <c r="F3299" s="6"/>
      <c r="G3299" s="6"/>
      <c r="H3299" s="6"/>
      <c r="I3299" s="6"/>
      <c r="J3299" s="6"/>
      <c r="K3299" s="6"/>
      <c r="L3299" s="6"/>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c r="BU3299" s="6"/>
      <c r="BV3299" s="6"/>
      <c r="BW3299" s="6"/>
      <c r="BX3299" s="6"/>
      <c r="BY3299" s="6"/>
      <c r="BZ3299" s="6"/>
      <c r="CA3299" s="6"/>
      <c r="CB3299" s="6"/>
      <c r="CC3299" s="6"/>
      <c r="CD3299" s="6"/>
      <c r="CE3299" s="6"/>
      <c r="CF3299" s="6"/>
      <c r="CG3299" s="6"/>
      <c r="CH3299" s="6"/>
      <c r="CI3299" s="6"/>
      <c r="CJ3299" s="6"/>
      <c r="CK3299" s="6"/>
      <c r="CL3299" s="6"/>
      <c r="CM3299" s="6"/>
      <c r="CN3299" s="6"/>
      <c r="CO3299" s="6"/>
      <c r="CP3299" s="6"/>
      <c r="CQ3299" s="6"/>
      <c r="CR3299" s="6"/>
      <c r="CS3299" s="6"/>
      <c r="CT3299" s="6"/>
      <c r="CU3299" s="6"/>
      <c r="CV3299" s="6"/>
      <c r="CW3299" s="6"/>
      <c r="CX3299" s="6"/>
      <c r="CY3299" s="6"/>
      <c r="CZ3299" s="6"/>
      <c r="DA3299" s="6"/>
      <c r="DB3299" s="6"/>
      <c r="DC3299" s="6"/>
      <c r="DD3299" s="6"/>
    </row>
    <row r="3300" spans="1:108" ht="12.75" hidden="1" customHeight="1" outlineLevel="5">
      <c r="A3300" s="104" t="s">
        <v>85</v>
      </c>
      <c r="B3300" s="28">
        <f t="shared" si="192"/>
        <v>0</v>
      </c>
      <c r="C3300" s="11"/>
      <c r="D3300" s="18" t="str">
        <f>"&lt;" &amp; A3300 &amp; "&gt;" &amp; TEXT(B3300,"0.000000") &amp; "&lt;/" &amp; A3300 &amp; "&gt;"</f>
        <v>&lt;V_Attach&gt;0.000000&lt;/V_Attach&gt;</v>
      </c>
      <c r="F3300" s="6"/>
      <c r="G3300" s="6"/>
      <c r="H3300" s="6"/>
      <c r="I3300" s="6"/>
      <c r="J3300" s="6"/>
      <c r="K3300" s="6"/>
      <c r="L3300" s="6"/>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c r="BU3300" s="6"/>
      <c r="BV3300" s="6"/>
      <c r="BW3300" s="6"/>
      <c r="BX3300" s="6"/>
      <c r="BY3300" s="6"/>
      <c r="BZ3300" s="6"/>
      <c r="CA3300" s="6"/>
      <c r="CB3300" s="6"/>
      <c r="CC3300" s="6"/>
      <c r="CD3300" s="6"/>
      <c r="CE3300" s="6"/>
      <c r="CF3300" s="6"/>
      <c r="CG3300" s="6"/>
      <c r="CH3300" s="6"/>
      <c r="CI3300" s="6"/>
      <c r="CJ3300" s="6"/>
      <c r="CK3300" s="6"/>
      <c r="CL3300" s="6"/>
      <c r="CM3300" s="6"/>
      <c r="CN3300" s="6"/>
      <c r="CO3300" s="6"/>
      <c r="CP3300" s="6"/>
      <c r="CQ3300" s="6"/>
      <c r="CR3300" s="6"/>
      <c r="CS3300" s="6"/>
      <c r="CT3300" s="6"/>
      <c r="CU3300" s="6"/>
      <c r="CV3300" s="6"/>
      <c r="CW3300" s="6"/>
      <c r="CX3300" s="6"/>
      <c r="CY3300" s="6"/>
      <c r="CZ3300" s="6"/>
      <c r="DA3300" s="6"/>
      <c r="DB3300" s="6"/>
      <c r="DC3300" s="6"/>
      <c r="DD3300" s="6"/>
    </row>
    <row r="3301" spans="1:108" ht="12.75" hidden="1" customHeight="1" outlineLevel="5">
      <c r="A3301" s="104" t="s">
        <v>86</v>
      </c>
      <c r="B3301" s="28">
        <v>149750024</v>
      </c>
      <c r="C3301" s="11"/>
      <c r="D3301" s="18" t="str">
        <f>"&lt;" &amp; A3301 &amp; "&gt;" &amp; TEXT(B3301,0) &amp; "&lt;/" &amp; A3301 &amp; "&gt;"</f>
        <v>&lt;PtrID&gt;149750024&lt;/PtrID&gt;</v>
      </c>
      <c r="F3301" s="6"/>
      <c r="G3301" s="6"/>
      <c r="H3301" s="6"/>
      <c r="I3301" s="6"/>
      <c r="J3301" s="6"/>
      <c r="K3301" s="6"/>
      <c r="L3301" s="6"/>
      <c r="M3301" s="6"/>
      <c r="N3301" s="6"/>
      <c r="O3301" s="6"/>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c r="BU3301" s="6"/>
      <c r="BV3301" s="6"/>
      <c r="BW3301" s="6"/>
      <c r="BX3301" s="6"/>
      <c r="BY3301" s="6"/>
      <c r="BZ3301" s="6"/>
      <c r="CA3301" s="6"/>
      <c r="CB3301" s="6"/>
      <c r="CC3301" s="6"/>
      <c r="CD3301" s="6"/>
      <c r="CE3301" s="6"/>
      <c r="CF3301" s="6"/>
      <c r="CG3301" s="6"/>
      <c r="CH3301" s="6"/>
      <c r="CI3301" s="6"/>
      <c r="CJ3301" s="6"/>
      <c r="CK3301" s="6"/>
      <c r="CL3301" s="6"/>
      <c r="CM3301" s="6"/>
      <c r="CN3301" s="6"/>
      <c r="CO3301" s="6"/>
      <c r="CP3301" s="6"/>
      <c r="CQ3301" s="6"/>
      <c r="CR3301" s="6"/>
      <c r="CS3301" s="6"/>
      <c r="CT3301" s="6"/>
      <c r="CU3301" s="6"/>
      <c r="CV3301" s="6"/>
      <c r="CW3301" s="6"/>
      <c r="CX3301" s="6"/>
      <c r="CY3301" s="6"/>
      <c r="CZ3301" s="6"/>
      <c r="DA3301" s="6"/>
      <c r="DB3301" s="6"/>
      <c r="DC3301" s="6"/>
      <c r="DD3301" s="6"/>
    </row>
    <row r="3302" spans="1:108" ht="12.75" hidden="1" customHeight="1" outlineLevel="5">
      <c r="A3302" s="104" t="s">
        <v>87</v>
      </c>
      <c r="B3302" s="28">
        <v>149518280</v>
      </c>
      <c r="C3302" s="11"/>
      <c r="D3302" s="18" t="str">
        <f>"&lt;" &amp; A3302 &amp; "&gt;" &amp; TEXT(B3302,0) &amp; "&lt;/" &amp; A3302 &amp; "&gt;"</f>
        <v>&lt;Parent_PtrID&gt;149518280&lt;/Parent_PtrID&gt;</v>
      </c>
      <c r="F3302" s="6"/>
      <c r="G3302" s="6"/>
      <c r="H3302" s="6"/>
      <c r="I3302" s="6"/>
      <c r="J3302" s="6"/>
      <c r="K3302" s="6"/>
      <c r="L3302" s="6"/>
      <c r="M3302" s="6"/>
      <c r="N3302" s="6"/>
      <c r="O3302" s="6"/>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c r="BU3302" s="6"/>
      <c r="BV3302" s="6"/>
      <c r="BW3302" s="6"/>
      <c r="BX3302" s="6"/>
      <c r="BY3302" s="6"/>
      <c r="BZ3302" s="6"/>
      <c r="CA3302" s="6"/>
      <c r="CB3302" s="6"/>
      <c r="CC3302" s="6"/>
      <c r="CD3302" s="6"/>
      <c r="CE3302" s="6"/>
      <c r="CF3302" s="6"/>
      <c r="CG3302" s="6"/>
      <c r="CH3302" s="6"/>
      <c r="CI3302" s="6"/>
      <c r="CJ3302" s="6"/>
      <c r="CK3302" s="6"/>
      <c r="CL3302" s="6"/>
      <c r="CM3302" s="6"/>
      <c r="CN3302" s="6"/>
      <c r="CO3302" s="6"/>
      <c r="CP3302" s="6"/>
      <c r="CQ3302" s="6"/>
      <c r="CR3302" s="6"/>
      <c r="CS3302" s="6"/>
      <c r="CT3302" s="6"/>
      <c r="CU3302" s="6"/>
      <c r="CV3302" s="6"/>
      <c r="CW3302" s="6"/>
      <c r="CX3302" s="6"/>
      <c r="CY3302" s="6"/>
      <c r="CZ3302" s="6"/>
      <c r="DA3302" s="6"/>
      <c r="DB3302" s="6"/>
      <c r="DC3302" s="6"/>
      <c r="DD3302" s="6"/>
    </row>
    <row r="3303" spans="1:108" ht="12.75" hidden="1" customHeight="1" outlineLevel="5">
      <c r="A3303" s="104" t="s">
        <v>88</v>
      </c>
      <c r="B3303" s="100"/>
      <c r="C3303" s="11"/>
      <c r="D3303" s="6" t="str">
        <f>"&lt;" &amp; A3303 &amp; "&gt;"</f>
        <v>&lt;/General_Parms&gt;</v>
      </c>
      <c r="F3303" s="6"/>
      <c r="G3303" s="6"/>
      <c r="H3303" s="6"/>
      <c r="I3303" s="6"/>
      <c r="J3303" s="6"/>
      <c r="K3303" s="6"/>
      <c r="L3303" s="6"/>
      <c r="M3303" s="6"/>
      <c r="N3303" s="6"/>
      <c r="O3303" s="6"/>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c r="BU3303" s="6"/>
      <c r="BV3303" s="6"/>
      <c r="BW3303" s="6"/>
      <c r="BX3303" s="6"/>
      <c r="BY3303" s="6"/>
      <c r="BZ3303" s="6"/>
      <c r="CA3303" s="6"/>
      <c r="CB3303" s="6"/>
      <c r="CC3303" s="6"/>
      <c r="CD3303" s="6"/>
      <c r="CE3303" s="6"/>
      <c r="CF3303" s="6"/>
      <c r="CG3303" s="6"/>
      <c r="CH3303" s="6"/>
      <c r="CI3303" s="6"/>
      <c r="CJ3303" s="6"/>
      <c r="CK3303" s="6"/>
      <c r="CL3303" s="6"/>
      <c r="CM3303" s="6"/>
      <c r="CN3303" s="6"/>
      <c r="CO3303" s="6"/>
      <c r="CP3303" s="6"/>
      <c r="CQ3303" s="6"/>
      <c r="CR3303" s="6"/>
      <c r="CS3303" s="6"/>
      <c r="CT3303" s="6"/>
      <c r="CU3303" s="6"/>
      <c r="CV3303" s="6"/>
      <c r="CW3303" s="6"/>
      <c r="CX3303" s="6"/>
      <c r="CY3303" s="6"/>
      <c r="CZ3303" s="6"/>
      <c r="DA3303" s="6"/>
      <c r="DB3303" s="6"/>
      <c r="DC3303" s="6"/>
      <c r="DD3303" s="6"/>
    </row>
    <row r="3304" spans="1:108" ht="12.75" hidden="1" customHeight="1" outlineLevel="4">
      <c r="A3304" s="104" t="s">
        <v>228</v>
      </c>
      <c r="B3304" s="100"/>
      <c r="C3304" s="11"/>
      <c r="D3304" s="6" t="str">
        <f>"&lt;" &amp; A3304 &amp; "&gt;"</f>
        <v>&lt;Engine_Parms&gt;</v>
      </c>
      <c r="F3304" s="6"/>
      <c r="G3304" s="6"/>
      <c r="H3304" s="6"/>
      <c r="I3304" s="6"/>
      <c r="J3304" s="6"/>
      <c r="K3304" s="6"/>
      <c r="L3304" s="6"/>
      <c r="M3304" s="6"/>
      <c r="N3304" s="6"/>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c r="BU3304" s="6"/>
      <c r="BV3304" s="6"/>
      <c r="BW3304" s="6"/>
      <c r="BX3304" s="6"/>
      <c r="BY3304" s="6"/>
      <c r="BZ3304" s="6"/>
      <c r="CA3304" s="6"/>
      <c r="CB3304" s="6"/>
      <c r="CC3304" s="6"/>
      <c r="CD3304" s="6"/>
      <c r="CE3304" s="6"/>
      <c r="CF3304" s="6"/>
      <c r="CG3304" s="6"/>
      <c r="CH3304" s="6"/>
      <c r="CI3304" s="6"/>
      <c r="CJ3304" s="6"/>
      <c r="CK3304" s="6"/>
      <c r="CL3304" s="6"/>
      <c r="CM3304" s="6"/>
      <c r="CN3304" s="6"/>
      <c r="CO3304" s="6"/>
      <c r="CP3304" s="6"/>
      <c r="CQ3304" s="6"/>
      <c r="CR3304" s="6"/>
      <c r="CS3304" s="6"/>
      <c r="CT3304" s="6"/>
      <c r="CU3304" s="6"/>
      <c r="CV3304" s="6"/>
      <c r="CW3304" s="6"/>
      <c r="CX3304" s="6"/>
      <c r="CY3304" s="6"/>
      <c r="CZ3304" s="6"/>
      <c r="DA3304" s="6"/>
      <c r="DB3304" s="6"/>
      <c r="DC3304" s="6"/>
      <c r="DD3304" s="6"/>
    </row>
    <row r="3305" spans="1:108" ht="12.75" hidden="1" customHeight="1" outlineLevel="5">
      <c r="A3305" s="104" t="s">
        <v>229</v>
      </c>
      <c r="B3305" s="28">
        <f t="shared" ref="B3305:B3339" si="195">B1706</f>
        <v>0</v>
      </c>
      <c r="C3305" s="11"/>
      <c r="D3305" s="18" t="str">
        <f>"&lt;" &amp; A3305 &amp; "&gt;" &amp; TEXT(B3305,0) &amp; "&lt;/" &amp; A3305 &amp; "&gt;"</f>
        <v>&lt;Engine_Type&gt;0&lt;/Engine_Type&gt;</v>
      </c>
      <c r="F3305" s="6"/>
      <c r="G3305" s="6"/>
      <c r="H3305" s="6"/>
      <c r="I3305" s="6"/>
      <c r="J3305" s="6"/>
      <c r="K3305" s="6"/>
      <c r="L3305" s="6"/>
      <c r="M3305" s="6"/>
      <c r="N3305" s="6"/>
      <c r="O3305" s="6"/>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c r="BU3305" s="6"/>
      <c r="BV3305" s="6"/>
      <c r="BW3305" s="6"/>
      <c r="BX3305" s="6"/>
      <c r="BY3305" s="6"/>
      <c r="BZ3305" s="6"/>
      <c r="CA3305" s="6"/>
      <c r="CB3305" s="6"/>
      <c r="CC3305" s="6"/>
      <c r="CD3305" s="6"/>
      <c r="CE3305" s="6"/>
      <c r="CF3305" s="6"/>
      <c r="CG3305" s="6"/>
      <c r="CH3305" s="6"/>
      <c r="CI3305" s="6"/>
      <c r="CJ3305" s="6"/>
      <c r="CK3305" s="6"/>
      <c r="CL3305" s="6"/>
      <c r="CM3305" s="6"/>
      <c r="CN3305" s="6"/>
      <c r="CO3305" s="6"/>
      <c r="CP3305" s="6"/>
      <c r="CQ3305" s="6"/>
      <c r="CR3305" s="6"/>
      <c r="CS3305" s="6"/>
      <c r="CT3305" s="6"/>
      <c r="CU3305" s="6"/>
      <c r="CV3305" s="6"/>
      <c r="CW3305" s="6"/>
      <c r="CX3305" s="6"/>
      <c r="CY3305" s="6"/>
      <c r="CZ3305" s="6"/>
      <c r="DA3305" s="6"/>
      <c r="DB3305" s="6"/>
      <c r="DC3305" s="6"/>
      <c r="DD3305" s="6"/>
    </row>
    <row r="3306" spans="1:108" ht="12.75" hidden="1" customHeight="1" outlineLevel="5">
      <c r="A3306" s="104" t="s">
        <v>230</v>
      </c>
      <c r="B3306" s="94">
        <f t="shared" si="195"/>
        <v>0.82173499999999999</v>
      </c>
      <c r="C3306" s="11"/>
      <c r="D3306" s="18" t="str">
        <f>"&lt;" &amp; A3306 &amp; "&gt;" &amp; TEXT(B3306,"0.000000") &amp; "&lt;/" &amp; A3306 &amp; "&gt;"</f>
        <v>&lt;Radius_Tip&gt;0.821735&lt;/Radius_Tip&gt;</v>
      </c>
      <c r="F3306" s="6"/>
      <c r="G3306" s="6"/>
      <c r="H3306" s="6"/>
      <c r="I3306" s="6"/>
      <c r="J3306" s="6"/>
      <c r="K3306" s="6"/>
      <c r="L3306" s="6"/>
      <c r="M3306" s="6"/>
      <c r="N3306" s="6"/>
      <c r="O3306" s="6"/>
      <c r="P3306" s="6"/>
      <c r="Q3306" s="6"/>
      <c r="R3306" s="6"/>
      <c r="S3306" s="6"/>
      <c r="T3306" s="6"/>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c r="BU3306" s="6"/>
      <c r="BV3306" s="6"/>
      <c r="BW3306" s="6"/>
      <c r="BX3306" s="6"/>
      <c r="BY3306" s="6"/>
      <c r="BZ3306" s="6"/>
      <c r="CA3306" s="6"/>
      <c r="CB3306" s="6"/>
      <c r="CC3306" s="6"/>
      <c r="CD3306" s="6"/>
      <c r="CE3306" s="6"/>
      <c r="CF3306" s="6"/>
      <c r="CG3306" s="6"/>
      <c r="CH3306" s="6"/>
      <c r="CI3306" s="6"/>
      <c r="CJ3306" s="6"/>
      <c r="CK3306" s="6"/>
      <c r="CL3306" s="6"/>
      <c r="CM3306" s="6"/>
      <c r="CN3306" s="6"/>
      <c r="CO3306" s="6"/>
      <c r="CP3306" s="6"/>
      <c r="CQ3306" s="6"/>
      <c r="CR3306" s="6"/>
      <c r="CS3306" s="6"/>
      <c r="CT3306" s="6"/>
      <c r="CU3306" s="6"/>
      <c r="CV3306" s="6"/>
      <c r="CW3306" s="6"/>
      <c r="CX3306" s="6"/>
      <c r="CY3306" s="6"/>
      <c r="CZ3306" s="6"/>
      <c r="DA3306" s="6"/>
      <c r="DB3306" s="6"/>
      <c r="DC3306" s="6"/>
      <c r="DD3306" s="6"/>
    </row>
    <row r="3307" spans="1:108" ht="12.75" hidden="1" customHeight="1" outlineLevel="5">
      <c r="A3307" s="104" t="s">
        <v>231</v>
      </c>
      <c r="B3307" s="28">
        <f t="shared" si="195"/>
        <v>1.1499999999999999</v>
      </c>
      <c r="C3307" s="11"/>
      <c r="D3307" s="18" t="str">
        <f>"&lt;" &amp; A3307 &amp; "&gt;" &amp; TEXT(B3307,"0.000000") &amp; "&lt;/" &amp; A3307 &amp; "&gt;"</f>
        <v>&lt;Max_Tip&gt;1.150000&lt;/Max_Tip&gt;</v>
      </c>
      <c r="F3307" s="6"/>
      <c r="G3307" s="6"/>
      <c r="H3307" s="6"/>
      <c r="I3307" s="6"/>
      <c r="J3307" s="6"/>
      <c r="K3307" s="6"/>
      <c r="L3307" s="6"/>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c r="BU3307" s="6"/>
      <c r="BV3307" s="6"/>
      <c r="BW3307" s="6"/>
      <c r="BX3307" s="6"/>
      <c r="BY3307" s="6"/>
      <c r="BZ3307" s="6"/>
      <c r="CA3307" s="6"/>
      <c r="CB3307" s="6"/>
      <c r="CC3307" s="6"/>
      <c r="CD3307" s="6"/>
      <c r="CE3307" s="6"/>
      <c r="CF3307" s="6"/>
      <c r="CG3307" s="6"/>
      <c r="CH3307" s="6"/>
      <c r="CI3307" s="6"/>
      <c r="CJ3307" s="6"/>
      <c r="CK3307" s="6"/>
      <c r="CL3307" s="6"/>
      <c r="CM3307" s="6"/>
      <c r="CN3307" s="6"/>
      <c r="CO3307" s="6"/>
      <c r="CP3307" s="6"/>
      <c r="CQ3307" s="6"/>
      <c r="CR3307" s="6"/>
      <c r="CS3307" s="6"/>
      <c r="CT3307" s="6"/>
      <c r="CU3307" s="6"/>
      <c r="CV3307" s="6"/>
      <c r="CW3307" s="6"/>
      <c r="CX3307" s="6"/>
      <c r="CY3307" s="6"/>
      <c r="CZ3307" s="6"/>
      <c r="DA3307" s="6"/>
      <c r="DB3307" s="6"/>
      <c r="DC3307" s="6"/>
      <c r="DD3307" s="6"/>
    </row>
    <row r="3308" spans="1:108" ht="12.75" hidden="1" customHeight="1" outlineLevel="5">
      <c r="A3308" s="104" t="s">
        <v>232</v>
      </c>
      <c r="B3308" s="28">
        <f t="shared" si="195"/>
        <v>0.31333299999999997</v>
      </c>
      <c r="C3308" s="11"/>
      <c r="D3308" s="18" t="str">
        <f>"&lt;" &amp; A3308 &amp; "&gt;" &amp; TEXT(B3308,"0.000000") &amp; "&lt;/" &amp; A3308 &amp; "&gt;"</f>
        <v>&lt;Hub_Tip&gt;0.313333&lt;/Hub_Tip&gt;</v>
      </c>
      <c r="F3308" s="6"/>
      <c r="G3308" s="6"/>
      <c r="H3308" s="6"/>
      <c r="I3308" s="6"/>
      <c r="J3308" s="6"/>
      <c r="K3308" s="6"/>
      <c r="L3308" s="6"/>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c r="BU3308" s="6"/>
      <c r="BV3308" s="6"/>
      <c r="BW3308" s="6"/>
      <c r="BX3308" s="6"/>
      <c r="BY3308" s="6"/>
      <c r="BZ3308" s="6"/>
      <c r="CA3308" s="6"/>
      <c r="CB3308" s="6"/>
      <c r="CC3308" s="6"/>
      <c r="CD3308" s="6"/>
      <c r="CE3308" s="6"/>
      <c r="CF3308" s="6"/>
      <c r="CG3308" s="6"/>
      <c r="CH3308" s="6"/>
      <c r="CI3308" s="6"/>
      <c r="CJ3308" s="6"/>
      <c r="CK3308" s="6"/>
      <c r="CL3308" s="6"/>
      <c r="CM3308" s="6"/>
      <c r="CN3308" s="6"/>
      <c r="CO3308" s="6"/>
      <c r="CP3308" s="6"/>
      <c r="CQ3308" s="6"/>
      <c r="CR3308" s="6"/>
      <c r="CS3308" s="6"/>
      <c r="CT3308" s="6"/>
      <c r="CU3308" s="6"/>
      <c r="CV3308" s="6"/>
      <c r="CW3308" s="6"/>
      <c r="CX3308" s="6"/>
      <c r="CY3308" s="6"/>
      <c r="CZ3308" s="6"/>
      <c r="DA3308" s="6"/>
      <c r="DB3308" s="6"/>
      <c r="DC3308" s="6"/>
      <c r="DD3308" s="6"/>
    </row>
    <row r="3309" spans="1:108" ht="12.75" hidden="1" customHeight="1" outlineLevel="5">
      <c r="A3309" s="104" t="s">
        <v>233</v>
      </c>
      <c r="B3309" s="28">
        <f t="shared" si="195"/>
        <v>0</v>
      </c>
      <c r="C3309" s="11"/>
      <c r="D3309" s="18" t="str">
        <f>"&lt;" &amp; A3309 &amp; "&gt;" &amp; TEXT(B3309,"0.000000") &amp; "&lt;/" &amp; A3309 &amp; "&gt;"</f>
        <v>&lt;Eng_Length&gt;0.000000&lt;/Eng_Length&gt;</v>
      </c>
      <c r="F3309" s="6"/>
      <c r="G3309" s="6"/>
      <c r="H3309" s="6"/>
      <c r="I3309" s="6"/>
      <c r="J3309" s="6"/>
      <c r="K3309" s="6"/>
      <c r="L3309" s="6"/>
      <c r="M3309" s="6"/>
      <c r="N3309" s="6"/>
      <c r="O3309" s="6"/>
      <c r="P3309" s="6"/>
      <c r="Q3309" s="6"/>
      <c r="R3309" s="6"/>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c r="BU3309" s="6"/>
      <c r="BV3309" s="6"/>
      <c r="BW3309" s="6"/>
      <c r="BX3309" s="6"/>
      <c r="BY3309" s="6"/>
      <c r="BZ3309" s="6"/>
      <c r="CA3309" s="6"/>
      <c r="CB3309" s="6"/>
      <c r="CC3309" s="6"/>
      <c r="CD3309" s="6"/>
      <c r="CE3309" s="6"/>
      <c r="CF3309" s="6"/>
      <c r="CG3309" s="6"/>
      <c r="CH3309" s="6"/>
      <c r="CI3309" s="6"/>
      <c r="CJ3309" s="6"/>
      <c r="CK3309" s="6"/>
      <c r="CL3309" s="6"/>
      <c r="CM3309" s="6"/>
      <c r="CN3309" s="6"/>
      <c r="CO3309" s="6"/>
      <c r="CP3309" s="6"/>
      <c r="CQ3309" s="6"/>
      <c r="CR3309" s="6"/>
      <c r="CS3309" s="6"/>
      <c r="CT3309" s="6"/>
      <c r="CU3309" s="6"/>
      <c r="CV3309" s="6"/>
      <c r="CW3309" s="6"/>
      <c r="CX3309" s="6"/>
      <c r="CY3309" s="6"/>
      <c r="CZ3309" s="6"/>
      <c r="DA3309" s="6"/>
      <c r="DB3309" s="6"/>
      <c r="DC3309" s="6"/>
      <c r="DD3309" s="6"/>
    </row>
    <row r="3310" spans="1:108" ht="12.75" hidden="1" customHeight="1" outlineLevel="5">
      <c r="A3310" s="104" t="s">
        <v>234</v>
      </c>
      <c r="B3310" s="28">
        <f t="shared" si="195"/>
        <v>1</v>
      </c>
      <c r="C3310" s="11"/>
      <c r="D3310" s="18" t="str">
        <f>"&lt;" &amp; A3310 &amp; "&gt;" &amp; TEXT(B3310,0) &amp; "&lt;/" &amp; A3310 &amp; "&gt;"</f>
        <v>&lt;Inlet_Type&gt;1&lt;/Inlet_Type&gt;</v>
      </c>
      <c r="F3310" s="6"/>
      <c r="G3310" s="6"/>
      <c r="H3310" s="6"/>
      <c r="I3310" s="6"/>
      <c r="J3310" s="6"/>
      <c r="K3310" s="6"/>
      <c r="L3310" s="6"/>
      <c r="M3310" s="6"/>
      <c r="N3310" s="6"/>
      <c r="O3310" s="6"/>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c r="BU3310" s="6"/>
      <c r="BV3310" s="6"/>
      <c r="BW3310" s="6"/>
      <c r="BX3310" s="6"/>
      <c r="BY3310" s="6"/>
      <c r="BZ3310" s="6"/>
      <c r="CA3310" s="6"/>
      <c r="CB3310" s="6"/>
      <c r="CC3310" s="6"/>
      <c r="CD3310" s="6"/>
      <c r="CE3310" s="6"/>
      <c r="CF3310" s="6"/>
      <c r="CG3310" s="6"/>
      <c r="CH3310" s="6"/>
      <c r="CI3310" s="6"/>
      <c r="CJ3310" s="6"/>
      <c r="CK3310" s="6"/>
      <c r="CL3310" s="6"/>
      <c r="CM3310" s="6"/>
      <c r="CN3310" s="6"/>
      <c r="CO3310" s="6"/>
      <c r="CP3310" s="6"/>
      <c r="CQ3310" s="6"/>
      <c r="CR3310" s="6"/>
      <c r="CS3310" s="6"/>
      <c r="CT3310" s="6"/>
      <c r="CU3310" s="6"/>
      <c r="CV3310" s="6"/>
      <c r="CW3310" s="6"/>
      <c r="CX3310" s="6"/>
      <c r="CY3310" s="6"/>
      <c r="CZ3310" s="6"/>
      <c r="DA3310" s="6"/>
      <c r="DB3310" s="6"/>
      <c r="DC3310" s="6"/>
      <c r="DD3310" s="6"/>
    </row>
    <row r="3311" spans="1:108" ht="12.75" hidden="1" customHeight="1" outlineLevel="5">
      <c r="A3311" s="104" t="s">
        <v>235</v>
      </c>
      <c r="B3311" s="28">
        <f t="shared" si="195"/>
        <v>0</v>
      </c>
      <c r="C3311" s="11"/>
      <c r="D3311" s="18" t="str">
        <f>"&lt;" &amp; A3311 &amp; "&gt;" &amp; TEXT(B3311,0) &amp; "&lt;/" &amp; A3311 &amp; "&gt;"</f>
        <v>&lt;Inl_Noz_Color&gt;0&lt;/Inl_Noz_Color&gt;</v>
      </c>
      <c r="F3311" s="6"/>
      <c r="G3311" s="6"/>
      <c r="H3311" s="6"/>
      <c r="I3311" s="6"/>
      <c r="J3311" s="6"/>
      <c r="K3311" s="6"/>
      <c r="L3311" s="6"/>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c r="BU3311" s="6"/>
      <c r="BV3311" s="6"/>
      <c r="BW3311" s="6"/>
      <c r="BX3311" s="6"/>
      <c r="BY3311" s="6"/>
      <c r="BZ3311" s="6"/>
      <c r="CA3311" s="6"/>
      <c r="CB3311" s="6"/>
      <c r="CC3311" s="6"/>
      <c r="CD3311" s="6"/>
      <c r="CE3311" s="6"/>
      <c r="CF3311" s="6"/>
      <c r="CG3311" s="6"/>
      <c r="CH3311" s="6"/>
      <c r="CI3311" s="6"/>
      <c r="CJ3311" s="6"/>
      <c r="CK3311" s="6"/>
      <c r="CL3311" s="6"/>
      <c r="CM3311" s="6"/>
      <c r="CN3311" s="6"/>
      <c r="CO3311" s="6"/>
      <c r="CP3311" s="6"/>
      <c r="CQ3311" s="6"/>
      <c r="CR3311" s="6"/>
      <c r="CS3311" s="6"/>
      <c r="CT3311" s="6"/>
      <c r="CU3311" s="6"/>
      <c r="CV3311" s="6"/>
      <c r="CW3311" s="6"/>
      <c r="CX3311" s="6"/>
      <c r="CY3311" s="6"/>
      <c r="CZ3311" s="6"/>
      <c r="DA3311" s="6"/>
      <c r="DB3311" s="6"/>
      <c r="DC3311" s="6"/>
      <c r="DD3311" s="6"/>
    </row>
    <row r="3312" spans="1:108" ht="12.75" hidden="1" customHeight="1" outlineLevel="5">
      <c r="A3312" s="104" t="s">
        <v>236</v>
      </c>
      <c r="B3312" s="28">
        <f t="shared" si="195"/>
        <v>0</v>
      </c>
      <c r="C3312" s="11"/>
      <c r="D3312" s="18" t="str">
        <f>"&lt;" &amp; A3312 &amp; "&gt;" &amp; TEXT(B3312,0) &amp; "&lt;/" &amp; A3312 &amp; "&gt;"</f>
        <v>&lt;Inlet_XY_Sym_Flag&gt;0&lt;/Inlet_XY_Sym_Flag&gt;</v>
      </c>
      <c r="F3312" s="6"/>
      <c r="G3312" s="6"/>
      <c r="H3312" s="6"/>
      <c r="I3312" s="6"/>
      <c r="J3312" s="6"/>
      <c r="K3312" s="6"/>
      <c r="L3312" s="6"/>
      <c r="M3312" s="6"/>
      <c r="N3312" s="6"/>
      <c r="O3312" s="6"/>
      <c r="P3312" s="6"/>
      <c r="Q3312" s="6"/>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c r="BU3312" s="6"/>
      <c r="BV3312" s="6"/>
      <c r="BW3312" s="6"/>
      <c r="BX3312" s="6"/>
      <c r="BY3312" s="6"/>
      <c r="BZ3312" s="6"/>
      <c r="CA3312" s="6"/>
      <c r="CB3312" s="6"/>
      <c r="CC3312" s="6"/>
      <c r="CD3312" s="6"/>
      <c r="CE3312" s="6"/>
      <c r="CF3312" s="6"/>
      <c r="CG3312" s="6"/>
      <c r="CH3312" s="6"/>
      <c r="CI3312" s="6"/>
      <c r="CJ3312" s="6"/>
      <c r="CK3312" s="6"/>
      <c r="CL3312" s="6"/>
      <c r="CM3312" s="6"/>
      <c r="CN3312" s="6"/>
      <c r="CO3312" s="6"/>
      <c r="CP3312" s="6"/>
      <c r="CQ3312" s="6"/>
      <c r="CR3312" s="6"/>
      <c r="CS3312" s="6"/>
      <c r="CT3312" s="6"/>
      <c r="CU3312" s="6"/>
      <c r="CV3312" s="6"/>
      <c r="CW3312" s="6"/>
      <c r="CX3312" s="6"/>
      <c r="CY3312" s="6"/>
      <c r="CZ3312" s="6"/>
      <c r="DA3312" s="6"/>
      <c r="DB3312" s="6"/>
      <c r="DC3312" s="6"/>
      <c r="DD3312" s="6"/>
    </row>
    <row r="3313" spans="1:108" ht="12.75" hidden="1" customHeight="1" outlineLevel="5">
      <c r="A3313" s="104" t="s">
        <v>237</v>
      </c>
      <c r="B3313" s="28">
        <f t="shared" si="195"/>
        <v>0</v>
      </c>
      <c r="C3313" s="11"/>
      <c r="D3313" s="18" t="str">
        <f>"&lt;" &amp; A3313 &amp; "&gt;" &amp; TEXT(B3313,0) &amp; "&lt;/" &amp; A3313 &amp; "&gt;"</f>
        <v>&lt;Inlet_Half_Split_Flag&gt;0&lt;/Inlet_Half_Split_Flag&gt;</v>
      </c>
      <c r="F3313" s="6"/>
      <c r="G3313" s="6"/>
      <c r="H3313" s="6"/>
      <c r="I3313" s="6"/>
      <c r="J3313" s="6"/>
      <c r="K3313" s="6"/>
      <c r="L3313" s="6"/>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c r="BU3313" s="6"/>
      <c r="BV3313" s="6"/>
      <c r="BW3313" s="6"/>
      <c r="BX3313" s="6"/>
      <c r="BY3313" s="6"/>
      <c r="BZ3313" s="6"/>
      <c r="CA3313" s="6"/>
      <c r="CB3313" s="6"/>
      <c r="CC3313" s="6"/>
      <c r="CD3313" s="6"/>
      <c r="CE3313" s="6"/>
      <c r="CF3313" s="6"/>
      <c r="CG3313" s="6"/>
      <c r="CH3313" s="6"/>
      <c r="CI3313" s="6"/>
      <c r="CJ3313" s="6"/>
      <c r="CK3313" s="6"/>
      <c r="CL3313" s="6"/>
      <c r="CM3313" s="6"/>
      <c r="CN3313" s="6"/>
      <c r="CO3313" s="6"/>
      <c r="CP3313" s="6"/>
      <c r="CQ3313" s="6"/>
      <c r="CR3313" s="6"/>
      <c r="CS3313" s="6"/>
      <c r="CT3313" s="6"/>
      <c r="CU3313" s="6"/>
      <c r="CV3313" s="6"/>
      <c r="CW3313" s="6"/>
      <c r="CX3313" s="6"/>
      <c r="CY3313" s="6"/>
      <c r="CZ3313" s="6"/>
      <c r="DA3313" s="6"/>
      <c r="DB3313" s="6"/>
      <c r="DC3313" s="6"/>
      <c r="DD3313" s="6"/>
    </row>
    <row r="3314" spans="1:108" ht="12.75" hidden="1" customHeight="1" outlineLevel="5">
      <c r="A3314" s="104" t="s">
        <v>238</v>
      </c>
      <c r="B3314" s="94">
        <f t="shared" si="195"/>
        <v>1.8246959177837139</v>
      </c>
      <c r="C3314" s="11"/>
      <c r="D3314" s="18" t="str">
        <f t="shared" ref="D3314:D3322" si="196">"&lt;" &amp; A3314 &amp; "&gt;" &amp; TEXT(B3314,"0.000000") &amp; "&lt;/" &amp; A3314 &amp; "&gt;"</f>
        <v>&lt;Cowl_Length&gt;1.824696&lt;/Cowl_Length&gt;</v>
      </c>
      <c r="F3314" s="6"/>
      <c r="G3314" s="6"/>
      <c r="H3314" s="6"/>
      <c r="I3314" s="6"/>
      <c r="J3314" s="6"/>
      <c r="K3314" s="6"/>
      <c r="L3314" s="6"/>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c r="BU3314" s="6"/>
      <c r="BV3314" s="6"/>
      <c r="BW3314" s="6"/>
      <c r="BX3314" s="6"/>
      <c r="BY3314" s="6"/>
      <c r="BZ3314" s="6"/>
      <c r="CA3314" s="6"/>
      <c r="CB3314" s="6"/>
      <c r="CC3314" s="6"/>
      <c r="CD3314" s="6"/>
      <c r="CE3314" s="6"/>
      <c r="CF3314" s="6"/>
      <c r="CG3314" s="6"/>
      <c r="CH3314" s="6"/>
      <c r="CI3314" s="6"/>
      <c r="CJ3314" s="6"/>
      <c r="CK3314" s="6"/>
      <c r="CL3314" s="6"/>
      <c r="CM3314" s="6"/>
      <c r="CN3314" s="6"/>
      <c r="CO3314" s="6"/>
      <c r="CP3314" s="6"/>
      <c r="CQ3314" s="6"/>
      <c r="CR3314" s="6"/>
      <c r="CS3314" s="6"/>
      <c r="CT3314" s="6"/>
      <c r="CU3314" s="6"/>
      <c r="CV3314" s="6"/>
      <c r="CW3314" s="6"/>
      <c r="CX3314" s="6"/>
      <c r="CY3314" s="6"/>
      <c r="CZ3314" s="6"/>
      <c r="DA3314" s="6"/>
      <c r="DB3314" s="6"/>
      <c r="DC3314" s="6"/>
      <c r="DD3314" s="6"/>
    </row>
    <row r="3315" spans="1:108" ht="12.75" hidden="1" customHeight="1" outlineLevel="5">
      <c r="A3315" s="104" t="s">
        <v>239</v>
      </c>
      <c r="B3315" s="28">
        <f t="shared" si="195"/>
        <v>1.1499999999999999</v>
      </c>
      <c r="C3315" s="11"/>
      <c r="D3315" s="18" t="str">
        <f t="shared" si="196"/>
        <v>&lt;Eng_Thrt_Ratio&gt;1.150000&lt;/Eng_Thrt_Ratio&gt;</v>
      </c>
      <c r="F3315" s="6"/>
      <c r="G3315" s="6"/>
      <c r="H3315" s="6"/>
      <c r="I3315" s="6"/>
      <c r="J3315" s="6"/>
      <c r="K3315" s="6"/>
      <c r="L3315" s="6"/>
      <c r="M3315" s="6"/>
      <c r="N3315" s="6"/>
      <c r="O3315" s="6"/>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c r="BU3315" s="6"/>
      <c r="BV3315" s="6"/>
      <c r="BW3315" s="6"/>
      <c r="BX3315" s="6"/>
      <c r="BY3315" s="6"/>
      <c r="BZ3315" s="6"/>
      <c r="CA3315" s="6"/>
      <c r="CB3315" s="6"/>
      <c r="CC3315" s="6"/>
      <c r="CD3315" s="6"/>
      <c r="CE3315" s="6"/>
      <c r="CF3315" s="6"/>
      <c r="CG3315" s="6"/>
      <c r="CH3315" s="6"/>
      <c r="CI3315" s="6"/>
      <c r="CJ3315" s="6"/>
      <c r="CK3315" s="6"/>
      <c r="CL3315" s="6"/>
      <c r="CM3315" s="6"/>
      <c r="CN3315" s="6"/>
      <c r="CO3315" s="6"/>
      <c r="CP3315" s="6"/>
      <c r="CQ3315" s="6"/>
      <c r="CR3315" s="6"/>
      <c r="CS3315" s="6"/>
      <c r="CT3315" s="6"/>
      <c r="CU3315" s="6"/>
      <c r="CV3315" s="6"/>
      <c r="CW3315" s="6"/>
      <c r="CX3315" s="6"/>
      <c r="CY3315" s="6"/>
      <c r="CZ3315" s="6"/>
      <c r="DA3315" s="6"/>
      <c r="DB3315" s="6"/>
      <c r="DC3315" s="6"/>
      <c r="DD3315" s="6"/>
    </row>
    <row r="3316" spans="1:108" ht="12.75" hidden="1" customHeight="1" outlineLevel="5">
      <c r="A3316" s="104" t="s">
        <v>240</v>
      </c>
      <c r="B3316" s="28">
        <f t="shared" si="195"/>
        <v>1.1499999999999999</v>
      </c>
      <c r="C3316" s="11"/>
      <c r="D3316" s="18" t="str">
        <f t="shared" si="196"/>
        <v>&lt;Hilight_Thrt_Ratio&gt;1.150000&lt;/Hilight_Thrt_Ratio&gt;</v>
      </c>
      <c r="F3316" s="6"/>
      <c r="G3316" s="6"/>
      <c r="H3316" s="6"/>
      <c r="I3316" s="6"/>
      <c r="J3316" s="6"/>
      <c r="K3316" s="6"/>
      <c r="L3316" s="6"/>
      <c r="M3316" s="6"/>
      <c r="N3316" s="6"/>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c r="BU3316" s="6"/>
      <c r="BV3316" s="6"/>
      <c r="BW3316" s="6"/>
      <c r="BX3316" s="6"/>
      <c r="BY3316" s="6"/>
      <c r="BZ3316" s="6"/>
      <c r="CA3316" s="6"/>
      <c r="CB3316" s="6"/>
      <c r="CC3316" s="6"/>
      <c r="CD3316" s="6"/>
      <c r="CE3316" s="6"/>
      <c r="CF3316" s="6"/>
      <c r="CG3316" s="6"/>
      <c r="CH3316" s="6"/>
      <c r="CI3316" s="6"/>
      <c r="CJ3316" s="6"/>
      <c r="CK3316" s="6"/>
      <c r="CL3316" s="6"/>
      <c r="CM3316" s="6"/>
      <c r="CN3316" s="6"/>
      <c r="CO3316" s="6"/>
      <c r="CP3316" s="6"/>
      <c r="CQ3316" s="6"/>
      <c r="CR3316" s="6"/>
      <c r="CS3316" s="6"/>
      <c r="CT3316" s="6"/>
      <c r="CU3316" s="6"/>
      <c r="CV3316" s="6"/>
      <c r="CW3316" s="6"/>
      <c r="CX3316" s="6"/>
      <c r="CY3316" s="6"/>
      <c r="CZ3316" s="6"/>
      <c r="DA3316" s="6"/>
      <c r="DB3316" s="6"/>
      <c r="DC3316" s="6"/>
      <c r="DD3316" s="6"/>
    </row>
    <row r="3317" spans="1:108" ht="12.75" hidden="1" customHeight="1" outlineLevel="5">
      <c r="A3317" s="104" t="s">
        <v>241</v>
      </c>
      <c r="B3317" s="28">
        <f t="shared" si="195"/>
        <v>1.026904</v>
      </c>
      <c r="C3317" s="11"/>
      <c r="D3317" s="18" t="str">
        <f t="shared" si="196"/>
        <v>&lt;Lip_Finess_Ratio&gt;1.026904&lt;/Lip_Finess_Ratio&gt;</v>
      </c>
      <c r="F3317" s="6"/>
      <c r="G3317" s="6"/>
      <c r="H3317" s="6"/>
      <c r="I3317" s="6"/>
      <c r="J3317" s="6"/>
      <c r="K3317" s="6"/>
      <c r="L3317" s="6"/>
      <c r="M3317" s="6"/>
      <c r="N3317" s="6"/>
      <c r="O3317" s="6"/>
      <c r="P3317" s="6"/>
      <c r="Q3317" s="6"/>
      <c r="R3317" s="6"/>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c r="BU3317" s="6"/>
      <c r="BV3317" s="6"/>
      <c r="BW3317" s="6"/>
      <c r="BX3317" s="6"/>
      <c r="BY3317" s="6"/>
      <c r="BZ3317" s="6"/>
      <c r="CA3317" s="6"/>
      <c r="CB3317" s="6"/>
      <c r="CC3317" s="6"/>
      <c r="CD3317" s="6"/>
      <c r="CE3317" s="6"/>
      <c r="CF3317" s="6"/>
      <c r="CG3317" s="6"/>
      <c r="CH3317" s="6"/>
      <c r="CI3317" s="6"/>
      <c r="CJ3317" s="6"/>
      <c r="CK3317" s="6"/>
      <c r="CL3317" s="6"/>
      <c r="CM3317" s="6"/>
      <c r="CN3317" s="6"/>
      <c r="CO3317" s="6"/>
      <c r="CP3317" s="6"/>
      <c r="CQ3317" s="6"/>
      <c r="CR3317" s="6"/>
      <c r="CS3317" s="6"/>
      <c r="CT3317" s="6"/>
      <c r="CU3317" s="6"/>
      <c r="CV3317" s="6"/>
      <c r="CW3317" s="6"/>
      <c r="CX3317" s="6"/>
      <c r="CY3317" s="6"/>
      <c r="CZ3317" s="6"/>
      <c r="DA3317" s="6"/>
      <c r="DB3317" s="6"/>
      <c r="DC3317" s="6"/>
      <c r="DD3317" s="6"/>
    </row>
    <row r="3318" spans="1:108" ht="12.75" hidden="1" customHeight="1" outlineLevel="5">
      <c r="A3318" s="104" t="s">
        <v>242</v>
      </c>
      <c r="B3318" s="28">
        <f t="shared" si="195"/>
        <v>1</v>
      </c>
      <c r="C3318" s="11"/>
      <c r="D3318" s="18" t="str">
        <f t="shared" si="196"/>
        <v>&lt;Height_Width_Ratio&gt;1.000000&lt;/Height_Width_Ratio&gt;</v>
      </c>
      <c r="F3318" s="6"/>
      <c r="G3318" s="6"/>
      <c r="H3318" s="6"/>
      <c r="I3318" s="6"/>
      <c r="J3318" s="6"/>
      <c r="K3318" s="6"/>
      <c r="L3318" s="6"/>
      <c r="M3318" s="6"/>
      <c r="N3318" s="6"/>
      <c r="O3318" s="6"/>
      <c r="P3318" s="6"/>
      <c r="Q3318" s="6"/>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c r="BU3318" s="6"/>
      <c r="BV3318" s="6"/>
      <c r="BW3318" s="6"/>
      <c r="BX3318" s="6"/>
      <c r="BY3318" s="6"/>
      <c r="BZ3318" s="6"/>
      <c r="CA3318" s="6"/>
      <c r="CB3318" s="6"/>
      <c r="CC3318" s="6"/>
      <c r="CD3318" s="6"/>
      <c r="CE3318" s="6"/>
      <c r="CF3318" s="6"/>
      <c r="CG3318" s="6"/>
      <c r="CH3318" s="6"/>
      <c r="CI3318" s="6"/>
      <c r="CJ3318" s="6"/>
      <c r="CK3318" s="6"/>
      <c r="CL3318" s="6"/>
      <c r="CM3318" s="6"/>
      <c r="CN3318" s="6"/>
      <c r="CO3318" s="6"/>
      <c r="CP3318" s="6"/>
      <c r="CQ3318" s="6"/>
      <c r="CR3318" s="6"/>
      <c r="CS3318" s="6"/>
      <c r="CT3318" s="6"/>
      <c r="CU3318" s="6"/>
      <c r="CV3318" s="6"/>
      <c r="CW3318" s="6"/>
      <c r="CX3318" s="6"/>
      <c r="CY3318" s="6"/>
      <c r="CZ3318" s="6"/>
      <c r="DA3318" s="6"/>
      <c r="DB3318" s="6"/>
      <c r="DC3318" s="6"/>
      <c r="DD3318" s="6"/>
    </row>
    <row r="3319" spans="1:108" ht="12.75" hidden="1" customHeight="1" outlineLevel="5">
      <c r="A3319" s="104" t="s">
        <v>243</v>
      </c>
      <c r="B3319" s="28">
        <f t="shared" si="195"/>
        <v>-0.95229299999999995</v>
      </c>
      <c r="C3319" s="11"/>
      <c r="D3319" s="18" t="str">
        <f t="shared" si="196"/>
        <v>&lt;Upper_Surf_Shape_Factor&gt;-0.952293&lt;/Upper_Surf_Shape_Factor&gt;</v>
      </c>
      <c r="F3319" s="6"/>
      <c r="G3319" s="6"/>
      <c r="H3319" s="6"/>
      <c r="I3319" s="6"/>
      <c r="J3319" s="6"/>
      <c r="K3319" s="6"/>
      <c r="L3319" s="6"/>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c r="BU3319" s="6"/>
      <c r="BV3319" s="6"/>
      <c r="BW3319" s="6"/>
      <c r="BX3319" s="6"/>
      <c r="BY3319" s="6"/>
      <c r="BZ3319" s="6"/>
      <c r="CA3319" s="6"/>
      <c r="CB3319" s="6"/>
      <c r="CC3319" s="6"/>
      <c r="CD3319" s="6"/>
      <c r="CE3319" s="6"/>
      <c r="CF3319" s="6"/>
      <c r="CG3319" s="6"/>
      <c r="CH3319" s="6"/>
      <c r="CI3319" s="6"/>
      <c r="CJ3319" s="6"/>
      <c r="CK3319" s="6"/>
      <c r="CL3319" s="6"/>
      <c r="CM3319" s="6"/>
      <c r="CN3319" s="6"/>
      <c r="CO3319" s="6"/>
      <c r="CP3319" s="6"/>
      <c r="CQ3319" s="6"/>
      <c r="CR3319" s="6"/>
      <c r="CS3319" s="6"/>
      <c r="CT3319" s="6"/>
      <c r="CU3319" s="6"/>
      <c r="CV3319" s="6"/>
      <c r="CW3319" s="6"/>
      <c r="CX3319" s="6"/>
      <c r="CY3319" s="6"/>
      <c r="CZ3319" s="6"/>
      <c r="DA3319" s="6"/>
      <c r="DB3319" s="6"/>
      <c r="DC3319" s="6"/>
      <c r="DD3319" s="6"/>
    </row>
    <row r="3320" spans="1:108" ht="12.75" hidden="1" customHeight="1" outlineLevel="5">
      <c r="A3320" s="104" t="s">
        <v>244</v>
      </c>
      <c r="B3320" s="28">
        <f t="shared" si="195"/>
        <v>0.66507400000000005</v>
      </c>
      <c r="C3320" s="11"/>
      <c r="D3320" s="18" t="str">
        <f t="shared" si="196"/>
        <v>&lt;Lower_Surf_Shape_Factor&gt;0.665074&lt;/Lower_Surf_Shape_Factor&gt;</v>
      </c>
      <c r="F3320" s="6"/>
      <c r="G3320" s="6"/>
      <c r="H3320" s="6"/>
      <c r="I3320" s="6"/>
      <c r="J3320" s="6"/>
      <c r="K3320" s="6"/>
      <c r="L3320" s="6"/>
      <c r="M3320" s="6"/>
      <c r="N3320" s="6"/>
      <c r="O3320" s="6"/>
      <c r="P3320" s="6"/>
      <c r="Q3320" s="6"/>
      <c r="R3320" s="6"/>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c r="BU3320" s="6"/>
      <c r="BV3320" s="6"/>
      <c r="BW3320" s="6"/>
      <c r="BX3320" s="6"/>
      <c r="BY3320" s="6"/>
      <c r="BZ3320" s="6"/>
      <c r="CA3320" s="6"/>
      <c r="CB3320" s="6"/>
      <c r="CC3320" s="6"/>
      <c r="CD3320" s="6"/>
      <c r="CE3320" s="6"/>
      <c r="CF3320" s="6"/>
      <c r="CG3320" s="6"/>
      <c r="CH3320" s="6"/>
      <c r="CI3320" s="6"/>
      <c r="CJ3320" s="6"/>
      <c r="CK3320" s="6"/>
      <c r="CL3320" s="6"/>
      <c r="CM3320" s="6"/>
      <c r="CN3320" s="6"/>
      <c r="CO3320" s="6"/>
      <c r="CP3320" s="6"/>
      <c r="CQ3320" s="6"/>
      <c r="CR3320" s="6"/>
      <c r="CS3320" s="6"/>
      <c r="CT3320" s="6"/>
      <c r="CU3320" s="6"/>
      <c r="CV3320" s="6"/>
      <c r="CW3320" s="6"/>
      <c r="CX3320" s="6"/>
      <c r="CY3320" s="6"/>
      <c r="CZ3320" s="6"/>
      <c r="DA3320" s="6"/>
      <c r="DB3320" s="6"/>
      <c r="DC3320" s="6"/>
      <c r="DD3320" s="6"/>
    </row>
    <row r="3321" spans="1:108" ht="12.75" hidden="1" customHeight="1" outlineLevel="5">
      <c r="A3321" s="104" t="s">
        <v>245</v>
      </c>
      <c r="B3321" s="28">
        <f t="shared" si="195"/>
        <v>90</v>
      </c>
      <c r="C3321" s="11"/>
      <c r="D3321" s="18" t="str">
        <f t="shared" si="196"/>
        <v>&lt;Inlet_X_Axis_Rot&gt;90.000000&lt;/Inlet_X_Axis_Rot&gt;</v>
      </c>
      <c r="F3321" s="6"/>
      <c r="G3321" s="6"/>
      <c r="H3321" s="6"/>
      <c r="I3321" s="6"/>
      <c r="J3321" s="6"/>
      <c r="K3321" s="6"/>
      <c r="L3321" s="6"/>
      <c r="M3321" s="6"/>
      <c r="N3321" s="6"/>
      <c r="O3321" s="6"/>
      <c r="P3321" s="6"/>
      <c r="Q3321" s="6"/>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c r="BU3321" s="6"/>
      <c r="BV3321" s="6"/>
      <c r="BW3321" s="6"/>
      <c r="BX3321" s="6"/>
      <c r="BY3321" s="6"/>
      <c r="BZ3321" s="6"/>
      <c r="CA3321" s="6"/>
      <c r="CB3321" s="6"/>
      <c r="CC3321" s="6"/>
      <c r="CD3321" s="6"/>
      <c r="CE3321" s="6"/>
      <c r="CF3321" s="6"/>
      <c r="CG3321" s="6"/>
      <c r="CH3321" s="6"/>
      <c r="CI3321" s="6"/>
      <c r="CJ3321" s="6"/>
      <c r="CK3321" s="6"/>
      <c r="CL3321" s="6"/>
      <c r="CM3321" s="6"/>
      <c r="CN3321" s="6"/>
      <c r="CO3321" s="6"/>
      <c r="CP3321" s="6"/>
      <c r="CQ3321" s="6"/>
      <c r="CR3321" s="6"/>
      <c r="CS3321" s="6"/>
      <c r="CT3321" s="6"/>
      <c r="CU3321" s="6"/>
      <c r="CV3321" s="6"/>
      <c r="CW3321" s="6"/>
      <c r="CX3321" s="6"/>
      <c r="CY3321" s="6"/>
      <c r="CZ3321" s="6"/>
      <c r="DA3321" s="6"/>
      <c r="DB3321" s="6"/>
      <c r="DC3321" s="6"/>
      <c r="DD3321" s="6"/>
    </row>
    <row r="3322" spans="1:108" ht="12.75" hidden="1" customHeight="1" outlineLevel="5">
      <c r="A3322" s="104" t="s">
        <v>246</v>
      </c>
      <c r="B3322" s="28">
        <f t="shared" si="195"/>
        <v>2</v>
      </c>
      <c r="C3322" s="11"/>
      <c r="D3322" s="18" t="str">
        <f t="shared" si="196"/>
        <v>&lt;Inlet_Scarf_Angle&gt;2.000000&lt;/Inlet_Scarf_Angle&gt;</v>
      </c>
      <c r="F3322" s="6"/>
      <c r="G3322" s="6"/>
      <c r="H3322" s="6"/>
      <c r="I3322" s="6"/>
      <c r="J3322" s="6"/>
      <c r="K3322" s="6"/>
      <c r="L3322" s="6"/>
      <c r="M3322" s="6"/>
      <c r="N3322" s="6"/>
      <c r="O3322" s="6"/>
      <c r="P3322" s="6"/>
      <c r="Q3322" s="6"/>
      <c r="R3322" s="6"/>
      <c r="S3322" s="6"/>
      <c r="T3322" s="6"/>
      <c r="U3322" s="6"/>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c r="BU3322" s="6"/>
      <c r="BV3322" s="6"/>
      <c r="BW3322" s="6"/>
      <c r="BX3322" s="6"/>
      <c r="BY3322" s="6"/>
      <c r="BZ3322" s="6"/>
      <c r="CA3322" s="6"/>
      <c r="CB3322" s="6"/>
      <c r="CC3322" s="6"/>
      <c r="CD3322" s="6"/>
      <c r="CE3322" s="6"/>
      <c r="CF3322" s="6"/>
      <c r="CG3322" s="6"/>
      <c r="CH3322" s="6"/>
      <c r="CI3322" s="6"/>
      <c r="CJ3322" s="6"/>
      <c r="CK3322" s="6"/>
      <c r="CL3322" s="6"/>
      <c r="CM3322" s="6"/>
      <c r="CN3322" s="6"/>
      <c r="CO3322" s="6"/>
      <c r="CP3322" s="6"/>
      <c r="CQ3322" s="6"/>
      <c r="CR3322" s="6"/>
      <c r="CS3322" s="6"/>
      <c r="CT3322" s="6"/>
      <c r="CU3322" s="6"/>
      <c r="CV3322" s="6"/>
      <c r="CW3322" s="6"/>
      <c r="CX3322" s="6"/>
      <c r="CY3322" s="6"/>
      <c r="CZ3322" s="6"/>
      <c r="DA3322" s="6"/>
      <c r="DB3322" s="6"/>
      <c r="DC3322" s="6"/>
      <c r="DD3322" s="6"/>
    </row>
    <row r="3323" spans="1:108" ht="12.75" hidden="1" customHeight="1" outlineLevel="5">
      <c r="A3323" s="104" t="s">
        <v>247</v>
      </c>
      <c r="B3323" s="28">
        <f t="shared" si="195"/>
        <v>0</v>
      </c>
      <c r="C3323" s="11"/>
      <c r="D3323" s="18" t="str">
        <f>"&lt;" &amp; A3323 &amp; "&gt;" &amp; TEXT(B3323,0) &amp; "&lt;/" &amp; A3323 &amp; "&gt;"</f>
        <v>&lt;Inlet_Duct_On_Off&gt;0&lt;/Inlet_Duct_On_Off&gt;</v>
      </c>
      <c r="F3323" s="6"/>
      <c r="G3323" s="6"/>
      <c r="H3323" s="6"/>
      <c r="I3323" s="6"/>
      <c r="J3323" s="6"/>
      <c r="K3323" s="6"/>
      <c r="L3323" s="6"/>
      <c r="M3323" s="6"/>
      <c r="N3323" s="6"/>
      <c r="O3323" s="6"/>
      <c r="P3323" s="6"/>
      <c r="Q3323" s="6"/>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c r="BU3323" s="6"/>
      <c r="BV3323" s="6"/>
      <c r="BW3323" s="6"/>
      <c r="BX3323" s="6"/>
      <c r="BY3323" s="6"/>
      <c r="BZ3323" s="6"/>
      <c r="CA3323" s="6"/>
      <c r="CB3323" s="6"/>
      <c r="CC3323" s="6"/>
      <c r="CD3323" s="6"/>
      <c r="CE3323" s="6"/>
      <c r="CF3323" s="6"/>
      <c r="CG3323" s="6"/>
      <c r="CH3323" s="6"/>
      <c r="CI3323" s="6"/>
      <c r="CJ3323" s="6"/>
      <c r="CK3323" s="6"/>
      <c r="CL3323" s="6"/>
      <c r="CM3323" s="6"/>
      <c r="CN3323" s="6"/>
      <c r="CO3323" s="6"/>
      <c r="CP3323" s="6"/>
      <c r="CQ3323" s="6"/>
      <c r="CR3323" s="6"/>
      <c r="CS3323" s="6"/>
      <c r="CT3323" s="6"/>
      <c r="CU3323" s="6"/>
      <c r="CV3323" s="6"/>
      <c r="CW3323" s="6"/>
      <c r="CX3323" s="6"/>
      <c r="CY3323" s="6"/>
      <c r="CZ3323" s="6"/>
      <c r="DA3323" s="6"/>
      <c r="DB3323" s="6"/>
      <c r="DC3323" s="6"/>
      <c r="DD3323" s="6"/>
    </row>
    <row r="3324" spans="1:108" ht="12.75" hidden="1" customHeight="1" outlineLevel="5">
      <c r="A3324" s="104" t="s">
        <v>248</v>
      </c>
      <c r="B3324" s="28">
        <f t="shared" si="195"/>
        <v>3</v>
      </c>
      <c r="C3324" s="11"/>
      <c r="D3324" s="18" t="str">
        <f>"&lt;" &amp; A3324 &amp; "&gt;" &amp; TEXT(B3324,"0.000000") &amp; "&lt;/" &amp; A3324 &amp; "&gt;"</f>
        <v>&lt;Inlet_Duct_X_Offset&gt;3.000000&lt;/Inlet_Duct_X_Offset&gt;</v>
      </c>
      <c r="F3324" s="6"/>
      <c r="G3324" s="6"/>
      <c r="H3324" s="6"/>
      <c r="I3324" s="6"/>
      <c r="J3324" s="6"/>
      <c r="K3324" s="6"/>
      <c r="L3324" s="6"/>
      <c r="M3324" s="6"/>
      <c r="N3324" s="6"/>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c r="BU3324" s="6"/>
      <c r="BV3324" s="6"/>
      <c r="BW3324" s="6"/>
      <c r="BX3324" s="6"/>
      <c r="BY3324" s="6"/>
      <c r="BZ3324" s="6"/>
      <c r="CA3324" s="6"/>
      <c r="CB3324" s="6"/>
      <c r="CC3324" s="6"/>
      <c r="CD3324" s="6"/>
      <c r="CE3324" s="6"/>
      <c r="CF3324" s="6"/>
      <c r="CG3324" s="6"/>
      <c r="CH3324" s="6"/>
      <c r="CI3324" s="6"/>
      <c r="CJ3324" s="6"/>
      <c r="CK3324" s="6"/>
      <c r="CL3324" s="6"/>
      <c r="CM3324" s="6"/>
      <c r="CN3324" s="6"/>
      <c r="CO3324" s="6"/>
      <c r="CP3324" s="6"/>
      <c r="CQ3324" s="6"/>
      <c r="CR3324" s="6"/>
      <c r="CS3324" s="6"/>
      <c r="CT3324" s="6"/>
      <c r="CU3324" s="6"/>
      <c r="CV3324" s="6"/>
      <c r="CW3324" s="6"/>
      <c r="CX3324" s="6"/>
      <c r="CY3324" s="6"/>
      <c r="CZ3324" s="6"/>
      <c r="DA3324" s="6"/>
      <c r="DB3324" s="6"/>
      <c r="DC3324" s="6"/>
      <c r="DD3324" s="6"/>
    </row>
    <row r="3325" spans="1:108" ht="12.75" hidden="1" customHeight="1" outlineLevel="5">
      <c r="A3325" s="104" t="s">
        <v>249</v>
      </c>
      <c r="B3325" s="28">
        <f t="shared" si="195"/>
        <v>1</v>
      </c>
      <c r="C3325" s="11"/>
      <c r="D3325" s="18" t="str">
        <f>"&lt;" &amp; A3325 &amp; "&gt;" &amp; TEXT(B3325,"0.000000") &amp; "&lt;/" &amp; A3325 &amp; "&gt;"</f>
        <v>&lt;Inlet_Duct_Y_Offset&gt;1.000000&lt;/Inlet_Duct_Y_Offset&gt;</v>
      </c>
      <c r="F3325" s="6"/>
      <c r="G3325" s="6"/>
      <c r="H3325" s="6"/>
      <c r="I3325" s="6"/>
      <c r="J3325" s="6"/>
      <c r="K3325" s="6"/>
      <c r="L3325" s="6"/>
      <c r="M3325" s="6"/>
      <c r="N3325" s="6"/>
      <c r="O3325" s="6"/>
      <c r="P3325" s="6"/>
      <c r="Q3325" s="6"/>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c r="BU3325" s="6"/>
      <c r="BV3325" s="6"/>
      <c r="BW3325" s="6"/>
      <c r="BX3325" s="6"/>
      <c r="BY3325" s="6"/>
      <c r="BZ3325" s="6"/>
      <c r="CA3325" s="6"/>
      <c r="CB3325" s="6"/>
      <c r="CC3325" s="6"/>
      <c r="CD3325" s="6"/>
      <c r="CE3325" s="6"/>
      <c r="CF3325" s="6"/>
      <c r="CG3325" s="6"/>
      <c r="CH3325" s="6"/>
      <c r="CI3325" s="6"/>
      <c r="CJ3325" s="6"/>
      <c r="CK3325" s="6"/>
      <c r="CL3325" s="6"/>
      <c r="CM3325" s="6"/>
      <c r="CN3325" s="6"/>
      <c r="CO3325" s="6"/>
      <c r="CP3325" s="6"/>
      <c r="CQ3325" s="6"/>
      <c r="CR3325" s="6"/>
      <c r="CS3325" s="6"/>
      <c r="CT3325" s="6"/>
      <c r="CU3325" s="6"/>
      <c r="CV3325" s="6"/>
      <c r="CW3325" s="6"/>
      <c r="CX3325" s="6"/>
      <c r="CY3325" s="6"/>
      <c r="CZ3325" s="6"/>
      <c r="DA3325" s="6"/>
      <c r="DB3325" s="6"/>
      <c r="DC3325" s="6"/>
      <c r="DD3325" s="6"/>
    </row>
    <row r="3326" spans="1:108" ht="12.75" hidden="1" customHeight="1" outlineLevel="5">
      <c r="A3326" s="104" t="s">
        <v>250</v>
      </c>
      <c r="B3326" s="28">
        <f t="shared" si="195"/>
        <v>0.5</v>
      </c>
      <c r="C3326" s="11"/>
      <c r="D3326" s="18" t="str">
        <f>"&lt;" &amp; A3326 &amp; "&gt;" &amp; TEXT(B3326,"0.000000") &amp; "&lt;/" &amp; A3326 &amp; "&gt;"</f>
        <v>&lt;Inlet_Duct_Shape_Factor&gt;0.500000&lt;/Inlet_Duct_Shape_Factor&gt;</v>
      </c>
      <c r="F3326" s="6"/>
      <c r="G3326" s="6"/>
      <c r="H3326" s="6"/>
      <c r="I3326" s="6"/>
      <c r="J3326" s="6"/>
      <c r="K3326" s="6"/>
      <c r="L3326" s="6"/>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c r="BU3326" s="6"/>
      <c r="BV3326" s="6"/>
      <c r="BW3326" s="6"/>
      <c r="BX3326" s="6"/>
      <c r="BY3326" s="6"/>
      <c r="BZ3326" s="6"/>
      <c r="CA3326" s="6"/>
      <c r="CB3326" s="6"/>
      <c r="CC3326" s="6"/>
      <c r="CD3326" s="6"/>
      <c r="CE3326" s="6"/>
      <c r="CF3326" s="6"/>
      <c r="CG3326" s="6"/>
      <c r="CH3326" s="6"/>
      <c r="CI3326" s="6"/>
      <c r="CJ3326" s="6"/>
      <c r="CK3326" s="6"/>
      <c r="CL3326" s="6"/>
      <c r="CM3326" s="6"/>
      <c r="CN3326" s="6"/>
      <c r="CO3326" s="6"/>
      <c r="CP3326" s="6"/>
      <c r="CQ3326" s="6"/>
      <c r="CR3326" s="6"/>
      <c r="CS3326" s="6"/>
      <c r="CT3326" s="6"/>
      <c r="CU3326" s="6"/>
      <c r="CV3326" s="6"/>
      <c r="CW3326" s="6"/>
      <c r="CX3326" s="6"/>
      <c r="CY3326" s="6"/>
      <c r="CZ3326" s="6"/>
      <c r="DA3326" s="6"/>
      <c r="DB3326" s="6"/>
      <c r="DC3326" s="6"/>
      <c r="DD3326" s="6"/>
    </row>
    <row r="3327" spans="1:108" ht="12.75" hidden="1" customHeight="1" outlineLevel="5">
      <c r="A3327" s="104" t="s">
        <v>251</v>
      </c>
      <c r="B3327" s="28">
        <f t="shared" si="195"/>
        <v>0</v>
      </c>
      <c r="C3327" s="11"/>
      <c r="D3327" s="18" t="str">
        <f>"&lt;" &amp; A3327 &amp; "&gt;" &amp; TEXT(B3327,0) &amp; "&lt;/" &amp; A3327 &amp; "&gt;"</f>
        <v>&lt;Divertor_On_Off&gt;0&lt;/Divertor_On_Off&gt;</v>
      </c>
      <c r="F3327" s="6"/>
      <c r="G3327" s="6"/>
      <c r="H3327" s="6"/>
      <c r="I3327" s="6"/>
      <c r="J3327" s="6"/>
      <c r="K3327" s="6"/>
      <c r="L3327" s="6"/>
      <c r="M3327" s="6"/>
      <c r="N3327" s="6"/>
      <c r="O3327" s="6"/>
      <c r="P3327" s="6"/>
      <c r="Q3327" s="6"/>
      <c r="R3327" s="6"/>
      <c r="S3327" s="6"/>
      <c r="T3327" s="6"/>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c r="BU3327" s="6"/>
      <c r="BV3327" s="6"/>
      <c r="BW3327" s="6"/>
      <c r="BX3327" s="6"/>
      <c r="BY3327" s="6"/>
      <c r="BZ3327" s="6"/>
      <c r="CA3327" s="6"/>
      <c r="CB3327" s="6"/>
      <c r="CC3327" s="6"/>
      <c r="CD3327" s="6"/>
      <c r="CE3327" s="6"/>
      <c r="CF3327" s="6"/>
      <c r="CG3327" s="6"/>
      <c r="CH3327" s="6"/>
      <c r="CI3327" s="6"/>
      <c r="CJ3327" s="6"/>
      <c r="CK3327" s="6"/>
      <c r="CL3327" s="6"/>
      <c r="CM3327" s="6"/>
      <c r="CN3327" s="6"/>
      <c r="CO3327" s="6"/>
      <c r="CP3327" s="6"/>
      <c r="CQ3327" s="6"/>
      <c r="CR3327" s="6"/>
      <c r="CS3327" s="6"/>
      <c r="CT3327" s="6"/>
      <c r="CU3327" s="6"/>
      <c r="CV3327" s="6"/>
      <c r="CW3327" s="6"/>
      <c r="CX3327" s="6"/>
      <c r="CY3327" s="6"/>
      <c r="CZ3327" s="6"/>
      <c r="DA3327" s="6"/>
      <c r="DB3327" s="6"/>
      <c r="DC3327" s="6"/>
      <c r="DD3327" s="6"/>
    </row>
    <row r="3328" spans="1:108" ht="12.75" hidden="1" customHeight="1" outlineLevel="5">
      <c r="A3328" s="104" t="s">
        <v>252</v>
      </c>
      <c r="B3328" s="28">
        <f t="shared" si="195"/>
        <v>0.5</v>
      </c>
      <c r="C3328" s="11"/>
      <c r="D3328" s="18" t="str">
        <f>"&lt;" &amp; A3328 &amp; "&gt;" &amp; TEXT(B3328,"0.000000") &amp; "&lt;/" &amp; A3328 &amp; "&gt;"</f>
        <v>&lt;Divertor_Height&gt;0.500000&lt;/Divertor_Height&gt;</v>
      </c>
      <c r="F3328" s="6"/>
      <c r="G3328" s="6"/>
      <c r="H3328" s="6"/>
      <c r="I3328" s="6"/>
      <c r="J3328" s="6"/>
      <c r="K3328" s="6"/>
      <c r="L3328" s="6"/>
      <c r="M3328" s="6"/>
      <c r="N3328" s="6"/>
      <c r="O3328" s="6"/>
      <c r="P3328" s="6"/>
      <c r="Q3328" s="6"/>
      <c r="R3328" s="6"/>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c r="BU3328" s="6"/>
      <c r="BV3328" s="6"/>
      <c r="BW3328" s="6"/>
      <c r="BX3328" s="6"/>
      <c r="BY3328" s="6"/>
      <c r="BZ3328" s="6"/>
      <c r="CA3328" s="6"/>
      <c r="CB3328" s="6"/>
      <c r="CC3328" s="6"/>
      <c r="CD3328" s="6"/>
      <c r="CE3328" s="6"/>
      <c r="CF3328" s="6"/>
      <c r="CG3328" s="6"/>
      <c r="CH3328" s="6"/>
      <c r="CI3328" s="6"/>
      <c r="CJ3328" s="6"/>
      <c r="CK3328" s="6"/>
      <c r="CL3328" s="6"/>
      <c r="CM3328" s="6"/>
      <c r="CN3328" s="6"/>
      <c r="CO3328" s="6"/>
      <c r="CP3328" s="6"/>
      <c r="CQ3328" s="6"/>
      <c r="CR3328" s="6"/>
      <c r="CS3328" s="6"/>
      <c r="CT3328" s="6"/>
      <c r="CU3328" s="6"/>
      <c r="CV3328" s="6"/>
      <c r="CW3328" s="6"/>
      <c r="CX3328" s="6"/>
      <c r="CY3328" s="6"/>
      <c r="CZ3328" s="6"/>
      <c r="DA3328" s="6"/>
      <c r="DB3328" s="6"/>
      <c r="DC3328" s="6"/>
      <c r="DD3328" s="6"/>
    </row>
    <row r="3329" spans="1:108" ht="12.75" hidden="1" customHeight="1" outlineLevel="5">
      <c r="A3329" s="104" t="s">
        <v>253</v>
      </c>
      <c r="B3329" s="28">
        <f t="shared" si="195"/>
        <v>1</v>
      </c>
      <c r="C3329" s="11"/>
      <c r="D3329" s="18" t="str">
        <f>"&lt;" &amp; A3329 &amp; "&gt;" &amp; TEXT(B3329,"0.000000") &amp; "&lt;/" &amp; A3329 &amp; "&gt;"</f>
        <v>&lt;Divertor_Length&gt;1.000000&lt;/Divertor_Length&gt;</v>
      </c>
      <c r="F3329" s="6"/>
      <c r="G3329" s="6"/>
      <c r="H3329" s="6"/>
      <c r="I3329" s="6"/>
      <c r="J3329" s="6"/>
      <c r="K3329" s="6"/>
      <c r="L3329" s="6"/>
      <c r="M3329" s="6"/>
      <c r="N3329" s="6"/>
      <c r="O3329" s="6"/>
      <c r="P3329" s="6"/>
      <c r="Q3329" s="6"/>
      <c r="R3329" s="6"/>
      <c r="S3329" s="6"/>
      <c r="T3329" s="6"/>
      <c r="U3329" s="6"/>
      <c r="V3329" s="6"/>
      <c r="W3329" s="6"/>
      <c r="X3329" s="6"/>
      <c r="Y3329" s="6"/>
      <c r="Z3329" s="6"/>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c r="BU3329" s="6"/>
      <c r="BV3329" s="6"/>
      <c r="BW3329" s="6"/>
      <c r="BX3329" s="6"/>
      <c r="BY3329" s="6"/>
      <c r="BZ3329" s="6"/>
      <c r="CA3329" s="6"/>
      <c r="CB3329" s="6"/>
      <c r="CC3329" s="6"/>
      <c r="CD3329" s="6"/>
      <c r="CE3329" s="6"/>
      <c r="CF3329" s="6"/>
      <c r="CG3329" s="6"/>
      <c r="CH3329" s="6"/>
      <c r="CI3329" s="6"/>
      <c r="CJ3329" s="6"/>
      <c r="CK3329" s="6"/>
      <c r="CL3329" s="6"/>
      <c r="CM3329" s="6"/>
      <c r="CN3329" s="6"/>
      <c r="CO3329" s="6"/>
      <c r="CP3329" s="6"/>
      <c r="CQ3329" s="6"/>
      <c r="CR3329" s="6"/>
      <c r="CS3329" s="6"/>
      <c r="CT3329" s="6"/>
      <c r="CU3329" s="6"/>
      <c r="CV3329" s="6"/>
      <c r="CW3329" s="6"/>
      <c r="CX3329" s="6"/>
      <c r="CY3329" s="6"/>
      <c r="CZ3329" s="6"/>
      <c r="DA3329" s="6"/>
      <c r="DB3329" s="6"/>
      <c r="DC3329" s="6"/>
      <c r="DD3329" s="6"/>
    </row>
    <row r="3330" spans="1:108" ht="12.75" hidden="1" customHeight="1" outlineLevel="5">
      <c r="A3330" s="104" t="s">
        <v>254</v>
      </c>
      <c r="B3330" s="28">
        <f t="shared" si="195"/>
        <v>0</v>
      </c>
      <c r="C3330" s="11"/>
      <c r="D3330" s="18" t="str">
        <f>"&lt;" &amp; A3330 &amp; "&gt;" &amp; TEXT(B3330,0) &amp; "&lt;/" &amp; A3330 &amp; "&gt;"</f>
        <v>&lt;Nozzle_Type&gt;0&lt;/Nozzle_Type&gt;</v>
      </c>
      <c r="F3330" s="6"/>
      <c r="G3330" s="6"/>
      <c r="H3330" s="6"/>
      <c r="I3330" s="6"/>
      <c r="J3330" s="6"/>
      <c r="K3330" s="6"/>
      <c r="L3330" s="6"/>
      <c r="M3330" s="6"/>
      <c r="N3330" s="6"/>
      <c r="O3330" s="6"/>
      <c r="P3330" s="6"/>
      <c r="Q3330" s="6"/>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c r="BU3330" s="6"/>
      <c r="BV3330" s="6"/>
      <c r="BW3330" s="6"/>
      <c r="BX3330" s="6"/>
      <c r="BY3330" s="6"/>
      <c r="BZ3330" s="6"/>
      <c r="CA3330" s="6"/>
      <c r="CB3330" s="6"/>
      <c r="CC3330" s="6"/>
      <c r="CD3330" s="6"/>
      <c r="CE3330" s="6"/>
      <c r="CF3330" s="6"/>
      <c r="CG3330" s="6"/>
      <c r="CH3330" s="6"/>
      <c r="CI3330" s="6"/>
      <c r="CJ3330" s="6"/>
      <c r="CK3330" s="6"/>
      <c r="CL3330" s="6"/>
      <c r="CM3330" s="6"/>
      <c r="CN3330" s="6"/>
      <c r="CO3330" s="6"/>
      <c r="CP3330" s="6"/>
      <c r="CQ3330" s="6"/>
      <c r="CR3330" s="6"/>
      <c r="CS3330" s="6"/>
      <c r="CT3330" s="6"/>
      <c r="CU3330" s="6"/>
      <c r="CV3330" s="6"/>
      <c r="CW3330" s="6"/>
      <c r="CX3330" s="6"/>
      <c r="CY3330" s="6"/>
      <c r="CZ3330" s="6"/>
      <c r="DA3330" s="6"/>
      <c r="DB3330" s="6"/>
      <c r="DC3330" s="6"/>
      <c r="DD3330" s="6"/>
    </row>
    <row r="3331" spans="1:108" ht="12.75" hidden="1" customHeight="1" outlineLevel="5">
      <c r="A3331" s="104" t="s">
        <v>255</v>
      </c>
      <c r="B3331" s="94">
        <f t="shared" si="195"/>
        <v>1.8246959177837139</v>
      </c>
      <c r="C3331" s="11"/>
      <c r="D3331" s="18" t="str">
        <f>"&lt;" &amp; A3331 &amp; "&gt;" &amp; TEXT(B3331,"0.000000") &amp; "&lt;/" &amp; A3331 &amp; "&gt;"</f>
        <v>&lt;Nozzle_Length&gt;1.824696&lt;/Nozzle_Length&gt;</v>
      </c>
      <c r="F3331" s="6"/>
      <c r="G3331" s="6"/>
      <c r="H3331" s="6"/>
      <c r="I3331" s="6"/>
      <c r="J3331" s="6"/>
      <c r="K3331" s="6"/>
      <c r="L3331" s="6"/>
      <c r="M3331" s="6"/>
      <c r="N3331" s="6"/>
      <c r="O3331" s="6"/>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c r="BU3331" s="6"/>
      <c r="BV3331" s="6"/>
      <c r="BW3331" s="6"/>
      <c r="BX3331" s="6"/>
      <c r="BY3331" s="6"/>
      <c r="BZ3331" s="6"/>
      <c r="CA3331" s="6"/>
      <c r="CB3331" s="6"/>
      <c r="CC3331" s="6"/>
      <c r="CD3331" s="6"/>
      <c r="CE3331" s="6"/>
      <c r="CF3331" s="6"/>
      <c r="CG3331" s="6"/>
      <c r="CH3331" s="6"/>
      <c r="CI3331" s="6"/>
      <c r="CJ3331" s="6"/>
      <c r="CK3331" s="6"/>
      <c r="CL3331" s="6"/>
      <c r="CM3331" s="6"/>
      <c r="CN3331" s="6"/>
      <c r="CO3331" s="6"/>
      <c r="CP3331" s="6"/>
      <c r="CQ3331" s="6"/>
      <c r="CR3331" s="6"/>
      <c r="CS3331" s="6"/>
      <c r="CT3331" s="6"/>
      <c r="CU3331" s="6"/>
      <c r="CV3331" s="6"/>
      <c r="CW3331" s="6"/>
      <c r="CX3331" s="6"/>
      <c r="CY3331" s="6"/>
      <c r="CZ3331" s="6"/>
      <c r="DA3331" s="6"/>
      <c r="DB3331" s="6"/>
      <c r="DC3331" s="6"/>
      <c r="DD3331" s="6"/>
    </row>
    <row r="3332" spans="1:108" ht="12.75" hidden="1" customHeight="1" outlineLevel="5">
      <c r="A3332" s="104" t="s">
        <v>256</v>
      </c>
      <c r="B3332" s="28">
        <f t="shared" si="195"/>
        <v>1.2</v>
      </c>
      <c r="C3332" s="11"/>
      <c r="D3332" s="18" t="str">
        <f>"&lt;" &amp; A3332 &amp; "&gt;" &amp; TEXT(B3332,"0.000000") &amp; "&lt;/" &amp; A3332 &amp; "&gt;"</f>
        <v>&lt;Exit_Area_Ratio&gt;1.200000&lt;/Exit_Area_Ratio&gt;</v>
      </c>
      <c r="F3332" s="6"/>
      <c r="G3332" s="6"/>
      <c r="H3332" s="6"/>
      <c r="I3332" s="6"/>
      <c r="J3332" s="6"/>
      <c r="K3332" s="6"/>
      <c r="L3332" s="6"/>
      <c r="M3332" s="6"/>
      <c r="N3332" s="6"/>
      <c r="O3332" s="6"/>
      <c r="P3332" s="6"/>
      <c r="Q3332" s="6"/>
      <c r="R3332" s="6"/>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c r="BU3332" s="6"/>
      <c r="BV3332" s="6"/>
      <c r="BW3332" s="6"/>
      <c r="BX3332" s="6"/>
      <c r="BY3332" s="6"/>
      <c r="BZ3332" s="6"/>
      <c r="CA3332" s="6"/>
      <c r="CB3332" s="6"/>
      <c r="CC3332" s="6"/>
      <c r="CD3332" s="6"/>
      <c r="CE3332" s="6"/>
      <c r="CF3332" s="6"/>
      <c r="CG3332" s="6"/>
      <c r="CH3332" s="6"/>
      <c r="CI3332" s="6"/>
      <c r="CJ3332" s="6"/>
      <c r="CK3332" s="6"/>
      <c r="CL3332" s="6"/>
      <c r="CM3332" s="6"/>
      <c r="CN3332" s="6"/>
      <c r="CO3332" s="6"/>
      <c r="CP3332" s="6"/>
      <c r="CQ3332" s="6"/>
      <c r="CR3332" s="6"/>
      <c r="CS3332" s="6"/>
      <c r="CT3332" s="6"/>
      <c r="CU3332" s="6"/>
      <c r="CV3332" s="6"/>
      <c r="CW3332" s="6"/>
      <c r="CX3332" s="6"/>
      <c r="CY3332" s="6"/>
      <c r="CZ3332" s="6"/>
      <c r="DA3332" s="6"/>
      <c r="DB3332" s="6"/>
      <c r="DC3332" s="6"/>
      <c r="DD3332" s="6"/>
    </row>
    <row r="3333" spans="1:108" ht="12.75" hidden="1" customHeight="1" outlineLevel="5">
      <c r="A3333" s="104" t="s">
        <v>257</v>
      </c>
      <c r="B3333" s="28">
        <f t="shared" si="195"/>
        <v>1</v>
      </c>
      <c r="C3333" s="11"/>
      <c r="D3333" s="18" t="str">
        <f>"&lt;" &amp; A3333 &amp; "&gt;" &amp; TEXT(B3333,"0.000000") &amp; "&lt;/" &amp; A3333 &amp; "&gt;"</f>
        <v>&lt;Nozzle_Height_Width_Ratio&gt;1.000000&lt;/Nozzle_Height_Width_Ratio&gt;</v>
      </c>
      <c r="F3333" s="6"/>
      <c r="G3333" s="6"/>
      <c r="H3333" s="6"/>
      <c r="I3333" s="6"/>
      <c r="J3333" s="6"/>
      <c r="K3333" s="6"/>
      <c r="L3333" s="6"/>
      <c r="M3333" s="6"/>
      <c r="N3333" s="6"/>
      <c r="O3333" s="6"/>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c r="BU3333" s="6"/>
      <c r="BV3333" s="6"/>
      <c r="BW3333" s="6"/>
      <c r="BX3333" s="6"/>
      <c r="BY3333" s="6"/>
      <c r="BZ3333" s="6"/>
      <c r="CA3333" s="6"/>
      <c r="CB3333" s="6"/>
      <c r="CC3333" s="6"/>
      <c r="CD3333" s="6"/>
      <c r="CE3333" s="6"/>
      <c r="CF3333" s="6"/>
      <c r="CG3333" s="6"/>
      <c r="CH3333" s="6"/>
      <c r="CI3333" s="6"/>
      <c r="CJ3333" s="6"/>
      <c r="CK3333" s="6"/>
      <c r="CL3333" s="6"/>
      <c r="CM3333" s="6"/>
      <c r="CN3333" s="6"/>
      <c r="CO3333" s="6"/>
      <c r="CP3333" s="6"/>
      <c r="CQ3333" s="6"/>
      <c r="CR3333" s="6"/>
      <c r="CS3333" s="6"/>
      <c r="CT3333" s="6"/>
      <c r="CU3333" s="6"/>
      <c r="CV3333" s="6"/>
      <c r="CW3333" s="6"/>
      <c r="CX3333" s="6"/>
      <c r="CY3333" s="6"/>
      <c r="CZ3333" s="6"/>
      <c r="DA3333" s="6"/>
      <c r="DB3333" s="6"/>
      <c r="DC3333" s="6"/>
      <c r="DD3333" s="6"/>
    </row>
    <row r="3334" spans="1:108" ht="12.75" hidden="1" customHeight="1" outlineLevel="5">
      <c r="A3334" s="104" t="s">
        <v>258</v>
      </c>
      <c r="B3334" s="28">
        <f t="shared" si="195"/>
        <v>1.5</v>
      </c>
      <c r="C3334" s="11"/>
      <c r="D3334" s="18" t="str">
        <f>"&lt;" &amp; A3334 &amp; "&gt;" &amp; TEXT(B3334,"0.000000") &amp; "&lt;/" &amp; A3334 &amp; "&gt;"</f>
        <v>&lt;Exit_Throat_Ratio&gt;1.500000&lt;/Exit_Throat_Ratio&gt;</v>
      </c>
      <c r="F3334" s="6"/>
      <c r="G3334" s="6"/>
      <c r="H3334" s="6"/>
      <c r="I3334" s="6"/>
      <c r="J3334" s="6"/>
      <c r="K3334" s="6"/>
      <c r="L3334" s="6"/>
      <c r="M3334" s="6"/>
      <c r="N3334" s="6"/>
      <c r="O3334" s="6"/>
      <c r="P3334" s="6"/>
      <c r="Q3334" s="6"/>
      <c r="R3334" s="6"/>
      <c r="S3334" s="6"/>
      <c r="T3334" s="6"/>
      <c r="U3334" s="6"/>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c r="BU3334" s="6"/>
      <c r="BV3334" s="6"/>
      <c r="BW3334" s="6"/>
      <c r="BX3334" s="6"/>
      <c r="BY3334" s="6"/>
      <c r="BZ3334" s="6"/>
      <c r="CA3334" s="6"/>
      <c r="CB3334" s="6"/>
      <c r="CC3334" s="6"/>
      <c r="CD3334" s="6"/>
      <c r="CE3334" s="6"/>
      <c r="CF3334" s="6"/>
      <c r="CG3334" s="6"/>
      <c r="CH3334" s="6"/>
      <c r="CI3334" s="6"/>
      <c r="CJ3334" s="6"/>
      <c r="CK3334" s="6"/>
      <c r="CL3334" s="6"/>
      <c r="CM3334" s="6"/>
      <c r="CN3334" s="6"/>
      <c r="CO3334" s="6"/>
      <c r="CP3334" s="6"/>
      <c r="CQ3334" s="6"/>
      <c r="CR3334" s="6"/>
      <c r="CS3334" s="6"/>
      <c r="CT3334" s="6"/>
      <c r="CU3334" s="6"/>
      <c r="CV3334" s="6"/>
      <c r="CW3334" s="6"/>
      <c r="CX3334" s="6"/>
      <c r="CY3334" s="6"/>
      <c r="CZ3334" s="6"/>
      <c r="DA3334" s="6"/>
      <c r="DB3334" s="6"/>
      <c r="DC3334" s="6"/>
      <c r="DD3334" s="6"/>
    </row>
    <row r="3335" spans="1:108" ht="12.75" hidden="1" customHeight="1" outlineLevel="5">
      <c r="A3335" s="104" t="s">
        <v>259</v>
      </c>
      <c r="B3335" s="28">
        <f t="shared" si="195"/>
        <v>1</v>
      </c>
      <c r="C3335" s="11"/>
      <c r="D3335" s="18" t="str">
        <f>"&lt;" &amp; A3335 &amp; "&gt;" &amp; TEXT(B3335,"0.000000") &amp; "&lt;/" &amp; A3335 &amp; "&gt;"</f>
        <v>&lt;Dive_Flap_Ratio&gt;1.000000&lt;/Dive_Flap_Ratio&gt;</v>
      </c>
      <c r="F3335" s="6"/>
      <c r="G3335" s="6"/>
      <c r="H3335" s="6"/>
      <c r="I3335" s="6"/>
      <c r="J3335" s="6"/>
      <c r="K3335" s="6"/>
      <c r="L3335" s="6"/>
      <c r="M3335" s="6"/>
      <c r="N3335" s="6"/>
      <c r="O3335" s="6"/>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c r="BU3335" s="6"/>
      <c r="BV3335" s="6"/>
      <c r="BW3335" s="6"/>
      <c r="BX3335" s="6"/>
      <c r="BY3335" s="6"/>
      <c r="BZ3335" s="6"/>
      <c r="CA3335" s="6"/>
      <c r="CB3335" s="6"/>
      <c r="CC3335" s="6"/>
      <c r="CD3335" s="6"/>
      <c r="CE3335" s="6"/>
      <c r="CF3335" s="6"/>
      <c r="CG3335" s="6"/>
      <c r="CH3335" s="6"/>
      <c r="CI3335" s="6"/>
      <c r="CJ3335" s="6"/>
      <c r="CK3335" s="6"/>
      <c r="CL3335" s="6"/>
      <c r="CM3335" s="6"/>
      <c r="CN3335" s="6"/>
      <c r="CO3335" s="6"/>
      <c r="CP3335" s="6"/>
      <c r="CQ3335" s="6"/>
      <c r="CR3335" s="6"/>
      <c r="CS3335" s="6"/>
      <c r="CT3335" s="6"/>
      <c r="CU3335" s="6"/>
      <c r="CV3335" s="6"/>
      <c r="CW3335" s="6"/>
      <c r="CX3335" s="6"/>
      <c r="CY3335" s="6"/>
      <c r="CZ3335" s="6"/>
      <c r="DA3335" s="6"/>
      <c r="DB3335" s="6"/>
      <c r="DC3335" s="6"/>
      <c r="DD3335" s="6"/>
    </row>
    <row r="3336" spans="1:108" ht="12.75" hidden="1" customHeight="1" outlineLevel="5">
      <c r="A3336" s="104" t="s">
        <v>260</v>
      </c>
      <c r="B3336" s="28">
        <f t="shared" si="195"/>
        <v>0</v>
      </c>
      <c r="C3336" s="11"/>
      <c r="D3336" s="18" t="str">
        <f>"&lt;" &amp; A3336 &amp; "&gt;" &amp; TEXT(B3336,0) &amp; "&lt;/" &amp; A3336 &amp; "&gt;"</f>
        <v>&lt;Nozzle_Duct_On_Off&gt;0&lt;/Nozzle_Duct_On_Off&gt;</v>
      </c>
      <c r="F3336" s="6"/>
      <c r="G3336" s="6"/>
      <c r="H3336" s="6"/>
      <c r="I3336" s="6"/>
      <c r="J3336" s="6"/>
      <c r="K3336" s="6"/>
      <c r="L3336" s="6"/>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c r="BU3336" s="6"/>
      <c r="BV3336" s="6"/>
      <c r="BW3336" s="6"/>
      <c r="BX3336" s="6"/>
      <c r="BY3336" s="6"/>
      <c r="BZ3336" s="6"/>
      <c r="CA3336" s="6"/>
      <c r="CB3336" s="6"/>
      <c r="CC3336" s="6"/>
      <c r="CD3336" s="6"/>
      <c r="CE3336" s="6"/>
      <c r="CF3336" s="6"/>
      <c r="CG3336" s="6"/>
      <c r="CH3336" s="6"/>
      <c r="CI3336" s="6"/>
      <c r="CJ3336" s="6"/>
      <c r="CK3336" s="6"/>
      <c r="CL3336" s="6"/>
      <c r="CM3336" s="6"/>
      <c r="CN3336" s="6"/>
      <c r="CO3336" s="6"/>
      <c r="CP3336" s="6"/>
      <c r="CQ3336" s="6"/>
      <c r="CR3336" s="6"/>
      <c r="CS3336" s="6"/>
      <c r="CT3336" s="6"/>
      <c r="CU3336" s="6"/>
      <c r="CV3336" s="6"/>
      <c r="CW3336" s="6"/>
      <c r="CX3336" s="6"/>
      <c r="CY3336" s="6"/>
      <c r="CZ3336" s="6"/>
      <c r="DA3336" s="6"/>
      <c r="DB3336" s="6"/>
      <c r="DC3336" s="6"/>
      <c r="DD3336" s="6"/>
    </row>
    <row r="3337" spans="1:108" ht="12.75" hidden="1" customHeight="1" outlineLevel="5">
      <c r="A3337" s="104" t="s">
        <v>261</v>
      </c>
      <c r="B3337" s="28">
        <f t="shared" si="195"/>
        <v>1</v>
      </c>
      <c r="C3337" s="11"/>
      <c r="D3337" s="18" t="str">
        <f>"&lt;" &amp; A3337 &amp; "&gt;" &amp; TEXT(B3337,"0.000000") &amp; "&lt;/" &amp; A3337 &amp; "&gt;"</f>
        <v>&lt;Nozzle_Duct_X_Offset&gt;1.000000&lt;/Nozzle_Duct_X_Offset&gt;</v>
      </c>
      <c r="F3337" s="6"/>
      <c r="G3337" s="6"/>
      <c r="H3337" s="6"/>
      <c r="I3337" s="6"/>
      <c r="J3337" s="6"/>
      <c r="K3337" s="6"/>
      <c r="L3337" s="6"/>
      <c r="M3337" s="6"/>
      <c r="N3337" s="6"/>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c r="BU3337" s="6"/>
      <c r="BV3337" s="6"/>
      <c r="BW3337" s="6"/>
      <c r="BX3337" s="6"/>
      <c r="BY3337" s="6"/>
      <c r="BZ3337" s="6"/>
      <c r="CA3337" s="6"/>
      <c r="CB3337" s="6"/>
      <c r="CC3337" s="6"/>
      <c r="CD3337" s="6"/>
      <c r="CE3337" s="6"/>
      <c r="CF3337" s="6"/>
      <c r="CG3337" s="6"/>
      <c r="CH3337" s="6"/>
      <c r="CI3337" s="6"/>
      <c r="CJ3337" s="6"/>
      <c r="CK3337" s="6"/>
      <c r="CL3337" s="6"/>
      <c r="CM3337" s="6"/>
      <c r="CN3337" s="6"/>
      <c r="CO3337" s="6"/>
      <c r="CP3337" s="6"/>
      <c r="CQ3337" s="6"/>
      <c r="CR3337" s="6"/>
      <c r="CS3337" s="6"/>
      <c r="CT3337" s="6"/>
      <c r="CU3337" s="6"/>
      <c r="CV3337" s="6"/>
      <c r="CW3337" s="6"/>
      <c r="CX3337" s="6"/>
      <c r="CY3337" s="6"/>
      <c r="CZ3337" s="6"/>
      <c r="DA3337" s="6"/>
      <c r="DB3337" s="6"/>
      <c r="DC3337" s="6"/>
      <c r="DD3337" s="6"/>
    </row>
    <row r="3338" spans="1:108" ht="12.75" hidden="1" customHeight="1" outlineLevel="5">
      <c r="A3338" s="104" t="s">
        <v>262</v>
      </c>
      <c r="B3338" s="28">
        <f t="shared" si="195"/>
        <v>0</v>
      </c>
      <c r="C3338" s="11"/>
      <c r="D3338" s="18" t="str">
        <f>"&lt;" &amp; A3338 &amp; "&gt;" &amp; TEXT(B3338,"0.000000") &amp; "&lt;/" &amp; A3338 &amp; "&gt;"</f>
        <v>&lt;Nozzle_Duct_Y_Offset&gt;0.000000&lt;/Nozzle_Duct_Y_Offset&gt;</v>
      </c>
      <c r="F3338" s="6"/>
      <c r="G3338" s="6"/>
      <c r="H3338" s="6"/>
      <c r="I3338" s="6"/>
      <c r="J3338" s="6"/>
      <c r="K3338" s="6"/>
      <c r="L3338" s="6"/>
      <c r="M3338" s="6"/>
      <c r="N3338" s="6"/>
      <c r="O3338" s="6"/>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c r="BU3338" s="6"/>
      <c r="BV3338" s="6"/>
      <c r="BW3338" s="6"/>
      <c r="BX3338" s="6"/>
      <c r="BY3338" s="6"/>
      <c r="BZ3338" s="6"/>
      <c r="CA3338" s="6"/>
      <c r="CB3338" s="6"/>
      <c r="CC3338" s="6"/>
      <c r="CD3338" s="6"/>
      <c r="CE3338" s="6"/>
      <c r="CF3338" s="6"/>
      <c r="CG3338" s="6"/>
      <c r="CH3338" s="6"/>
      <c r="CI3338" s="6"/>
      <c r="CJ3338" s="6"/>
      <c r="CK3338" s="6"/>
      <c r="CL3338" s="6"/>
      <c r="CM3338" s="6"/>
      <c r="CN3338" s="6"/>
      <c r="CO3338" s="6"/>
      <c r="CP3338" s="6"/>
      <c r="CQ3338" s="6"/>
      <c r="CR3338" s="6"/>
      <c r="CS3338" s="6"/>
      <c r="CT3338" s="6"/>
      <c r="CU3338" s="6"/>
      <c r="CV3338" s="6"/>
      <c r="CW3338" s="6"/>
      <c r="CX3338" s="6"/>
      <c r="CY3338" s="6"/>
      <c r="CZ3338" s="6"/>
      <c r="DA3338" s="6"/>
      <c r="DB3338" s="6"/>
      <c r="DC3338" s="6"/>
      <c r="DD3338" s="6"/>
    </row>
    <row r="3339" spans="1:108" ht="12.75" hidden="1" customHeight="1" outlineLevel="5">
      <c r="A3339" s="104" t="s">
        <v>263</v>
      </c>
      <c r="B3339" s="28">
        <f t="shared" si="195"/>
        <v>0</v>
      </c>
      <c r="C3339" s="11"/>
      <c r="D3339" s="18" t="str">
        <f>"&lt;" &amp; A3339 &amp; "&gt;" &amp; TEXT(B3339,"0.000000") &amp; "&lt;/" &amp; A3339 &amp; "&gt;"</f>
        <v>&lt;Nozzle_Duct_Shape_Factor&gt;0.000000&lt;/Nozzle_Duct_Shape_Factor&gt;</v>
      </c>
      <c r="F3339" s="6"/>
      <c r="G3339" s="6"/>
      <c r="H3339" s="6"/>
      <c r="I3339" s="6"/>
      <c r="J3339" s="6"/>
      <c r="K3339" s="6"/>
      <c r="L3339" s="6"/>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c r="BU3339" s="6"/>
      <c r="BV3339" s="6"/>
      <c r="BW3339" s="6"/>
      <c r="BX3339" s="6"/>
      <c r="BY3339" s="6"/>
      <c r="BZ3339" s="6"/>
      <c r="CA3339" s="6"/>
      <c r="CB3339" s="6"/>
      <c r="CC3339" s="6"/>
      <c r="CD3339" s="6"/>
      <c r="CE3339" s="6"/>
      <c r="CF3339" s="6"/>
      <c r="CG3339" s="6"/>
      <c r="CH3339" s="6"/>
      <c r="CI3339" s="6"/>
      <c r="CJ3339" s="6"/>
      <c r="CK3339" s="6"/>
      <c r="CL3339" s="6"/>
      <c r="CM3339" s="6"/>
      <c r="CN3339" s="6"/>
      <c r="CO3339" s="6"/>
      <c r="CP3339" s="6"/>
      <c r="CQ3339" s="6"/>
      <c r="CR3339" s="6"/>
      <c r="CS3339" s="6"/>
      <c r="CT3339" s="6"/>
      <c r="CU3339" s="6"/>
      <c r="CV3339" s="6"/>
      <c r="CW3339" s="6"/>
      <c r="CX3339" s="6"/>
      <c r="CY3339" s="6"/>
      <c r="CZ3339" s="6"/>
      <c r="DA3339" s="6"/>
      <c r="DB3339" s="6"/>
      <c r="DC3339" s="6"/>
      <c r="DD3339" s="6"/>
    </row>
    <row r="3340" spans="1:108" ht="12.75" hidden="1" customHeight="1" outlineLevel="5">
      <c r="A3340" s="104" t="s">
        <v>264</v>
      </c>
      <c r="B3340" s="100"/>
      <c r="C3340" s="11"/>
      <c r="D3340" s="6" t="str">
        <f>"&lt;" &amp; A3340 &amp; "&gt;"</f>
        <v>&lt;/Engine_Parms&gt;</v>
      </c>
      <c r="F3340" s="6"/>
      <c r="G3340" s="6"/>
      <c r="H3340" s="6"/>
      <c r="I3340" s="6"/>
      <c r="J3340" s="6"/>
      <c r="K3340" s="6"/>
      <c r="L3340" s="6"/>
      <c r="M3340" s="6"/>
      <c r="N3340" s="6"/>
      <c r="O3340" s="6"/>
      <c r="P3340" s="6"/>
      <c r="Q3340" s="6"/>
      <c r="R3340" s="6"/>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c r="BU3340" s="6"/>
      <c r="BV3340" s="6"/>
      <c r="BW3340" s="6"/>
      <c r="BX3340" s="6"/>
      <c r="BY3340" s="6"/>
      <c r="BZ3340" s="6"/>
      <c r="CA3340" s="6"/>
      <c r="CB3340" s="6"/>
      <c r="CC3340" s="6"/>
      <c r="CD3340" s="6"/>
      <c r="CE3340" s="6"/>
      <c r="CF3340" s="6"/>
      <c r="CG3340" s="6"/>
      <c r="CH3340" s="6"/>
      <c r="CI3340" s="6"/>
      <c r="CJ3340" s="6"/>
      <c r="CK3340" s="6"/>
      <c r="CL3340" s="6"/>
      <c r="CM3340" s="6"/>
      <c r="CN3340" s="6"/>
      <c r="CO3340" s="6"/>
      <c r="CP3340" s="6"/>
      <c r="CQ3340" s="6"/>
      <c r="CR3340" s="6"/>
      <c r="CS3340" s="6"/>
      <c r="CT3340" s="6"/>
      <c r="CU3340" s="6"/>
      <c r="CV3340" s="6"/>
      <c r="CW3340" s="6"/>
      <c r="CX3340" s="6"/>
      <c r="CY3340" s="6"/>
      <c r="CZ3340" s="6"/>
      <c r="DA3340" s="6"/>
      <c r="DB3340" s="6"/>
      <c r="DC3340" s="6"/>
      <c r="DD3340" s="6"/>
    </row>
    <row r="3341" spans="1:108" ht="12.75" hidden="1" customHeight="1" outlineLevel="4">
      <c r="A3341" s="104" t="s">
        <v>138</v>
      </c>
      <c r="B3341" s="100"/>
      <c r="C3341" s="11" t="str">
        <f>IF(OR(C2956="Yes",C2809="No"),"No","Yes")</f>
        <v>No</v>
      </c>
      <c r="D3341" s="133" t="str">
        <f>IF(C3341="Yes",("&lt;"&amp;A3341&amp;"&gt;"),("&lt;"&amp;A3341&amp;"--&gt;"))</f>
        <v>&lt;/Component--&gt;</v>
      </c>
      <c r="F3341" s="6"/>
      <c r="G3341" s="6"/>
      <c r="H3341" s="6"/>
      <c r="I3341" s="6"/>
      <c r="J3341" s="6"/>
      <c r="K3341" s="6"/>
      <c r="L3341" s="6"/>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c r="BU3341" s="6"/>
      <c r="BV3341" s="6"/>
      <c r="BW3341" s="6"/>
      <c r="BX3341" s="6"/>
      <c r="BY3341" s="6"/>
      <c r="BZ3341" s="6"/>
      <c r="CA3341" s="6"/>
      <c r="CB3341" s="6"/>
      <c r="CC3341" s="6"/>
      <c r="CD3341" s="6"/>
      <c r="CE3341" s="6"/>
      <c r="CF3341" s="6"/>
      <c r="CG3341" s="6"/>
      <c r="CH3341" s="6"/>
      <c r="CI3341" s="6"/>
      <c r="CJ3341" s="6"/>
      <c r="CK3341" s="6"/>
      <c r="CL3341" s="6"/>
      <c r="CM3341" s="6"/>
      <c r="CN3341" s="6"/>
      <c r="CO3341" s="6"/>
      <c r="CP3341" s="6"/>
      <c r="CQ3341" s="6"/>
      <c r="CR3341" s="6"/>
      <c r="CS3341" s="6"/>
      <c r="CT3341" s="6"/>
      <c r="CU3341" s="6"/>
      <c r="CV3341" s="6"/>
      <c r="CW3341" s="6"/>
      <c r="CX3341" s="6"/>
      <c r="CY3341" s="6"/>
      <c r="CZ3341" s="6"/>
      <c r="DA3341" s="6"/>
      <c r="DB3341" s="6"/>
      <c r="DC3341" s="6"/>
      <c r="DD3341" s="6"/>
    </row>
    <row r="3342" spans="1:108" s="24" customFormat="1" outlineLevel="2" collapsed="1">
      <c r="A3342" s="104" t="s">
        <v>40</v>
      </c>
      <c r="B3342" s="110" t="str">
        <f>B3345 &amp; " (Model)"</f>
        <v>Gear3 (Model)</v>
      </c>
      <c r="C3342" s="27" t="s">
        <v>11</v>
      </c>
      <c r="D3342" s="6" t="str">
        <f>IF(C3342="Yes",("&lt;"&amp;A3342&amp;"&gt;"),("&lt;!--"&amp;A3342&amp;"&gt;"))</f>
        <v>&lt;Component&gt;</v>
      </c>
      <c r="E3342"/>
      <c r="F3342" s="6"/>
      <c r="G3342" s="6"/>
      <c r="H3342" s="6"/>
      <c r="I3342" s="6"/>
      <c r="J3342" s="6"/>
      <c r="K3342" s="6"/>
      <c r="L3342" s="6"/>
      <c r="M3342" s="6"/>
      <c r="N3342" s="6"/>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c r="BU3342" s="6"/>
      <c r="BV3342" s="6"/>
      <c r="BW3342" s="6"/>
      <c r="BX3342" s="6"/>
      <c r="BY3342" s="6"/>
      <c r="BZ3342" s="6"/>
      <c r="CA3342" s="6"/>
      <c r="CB3342" s="6"/>
      <c r="CC3342" s="6"/>
      <c r="CD3342" s="6"/>
      <c r="CE3342" s="6"/>
      <c r="CF3342" s="6"/>
      <c r="CG3342" s="6"/>
      <c r="CH3342" s="6"/>
      <c r="CI3342" s="6"/>
      <c r="CJ3342" s="6"/>
      <c r="CK3342" s="6"/>
      <c r="CL3342" s="6"/>
      <c r="CM3342" s="6"/>
      <c r="CN3342" s="6"/>
      <c r="CO3342" s="6"/>
      <c r="CP3342" s="6"/>
      <c r="CQ3342" s="6"/>
      <c r="CR3342" s="6"/>
      <c r="CS3342" s="6"/>
      <c r="CT3342" s="6"/>
      <c r="CU3342" s="6"/>
      <c r="CV3342" s="6"/>
      <c r="CW3342" s="6"/>
      <c r="CX3342" s="6"/>
      <c r="CY3342" s="6"/>
      <c r="CZ3342" s="6"/>
      <c r="DA3342" s="6"/>
      <c r="DB3342" s="6"/>
      <c r="DC3342" s="6"/>
      <c r="DD3342" s="6"/>
    </row>
    <row r="3343" spans="1:108" ht="12.75" hidden="1" customHeight="1" outlineLevel="3">
      <c r="A3343" s="104" t="s">
        <v>14</v>
      </c>
      <c r="B3343" s="6" t="s">
        <v>284</v>
      </c>
      <c r="C3343" s="12"/>
      <c r="D3343" s="18" t="str">
        <f>"&lt;" &amp; A3343 &amp; "&gt;" &amp; TEXT(B3343,"0.000000") &amp; "&lt;/" &amp; A3343 &amp; "&gt;"</f>
        <v>&lt;Type&gt;Duct&lt;/Type&gt;</v>
      </c>
      <c r="F3343" s="6"/>
      <c r="G3343" s="6"/>
      <c r="H3343" s="6"/>
      <c r="I3343" s="6"/>
      <c r="J3343" s="6"/>
      <c r="K3343" s="134"/>
      <c r="L3343" s="6"/>
      <c r="M3343" s="6"/>
      <c r="N3343" s="6"/>
      <c r="O3343" s="6"/>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c r="BU3343" s="6"/>
      <c r="BV3343" s="6"/>
      <c r="BW3343" s="6"/>
      <c r="BX3343" s="6"/>
      <c r="BY3343" s="6"/>
      <c r="BZ3343" s="6"/>
      <c r="CA3343" s="6"/>
      <c r="CB3343" s="6"/>
      <c r="CC3343" s="6"/>
      <c r="CD3343" s="6"/>
      <c r="CE3343" s="6"/>
      <c r="CF3343" s="6"/>
      <c r="CG3343" s="6"/>
      <c r="CH3343" s="6"/>
      <c r="CI3343" s="6"/>
      <c r="CJ3343" s="6"/>
      <c r="CK3343" s="6"/>
      <c r="CL3343" s="6"/>
      <c r="CM3343" s="6"/>
      <c r="CN3343" s="6"/>
      <c r="CO3343" s="6"/>
      <c r="CP3343" s="6"/>
      <c r="CQ3343" s="6"/>
      <c r="CR3343" s="6"/>
      <c r="CS3343" s="6"/>
      <c r="CT3343" s="6"/>
      <c r="CU3343" s="6"/>
      <c r="CV3343" s="6"/>
      <c r="CW3343" s="6"/>
      <c r="CX3343" s="6"/>
      <c r="CY3343" s="6"/>
      <c r="CZ3343" s="6"/>
      <c r="DA3343" s="6"/>
      <c r="DB3343" s="6"/>
      <c r="DC3343" s="6"/>
      <c r="DD3343" s="6"/>
    </row>
    <row r="3344" spans="1:108" ht="12.75" hidden="1" customHeight="1" outlineLevel="3">
      <c r="A3344" s="104" t="s">
        <v>42</v>
      </c>
      <c r="C3344" s="12"/>
      <c r="D3344" s="6" t="str">
        <f>"&lt;" &amp; A3344 &amp; "&gt;"</f>
        <v>&lt;General_Parms&gt;</v>
      </c>
      <c r="F3344" s="6"/>
      <c r="G3344" s="6"/>
      <c r="H3344" s="6"/>
      <c r="I3344" s="6"/>
      <c r="J3344" s="6"/>
      <c r="K3344" s="6"/>
      <c r="L3344" s="6"/>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c r="BU3344" s="6"/>
      <c r="BV3344" s="6"/>
      <c r="BW3344" s="6"/>
      <c r="BX3344" s="6"/>
      <c r="BY3344" s="6"/>
      <c r="BZ3344" s="6"/>
      <c r="CA3344" s="6"/>
      <c r="CB3344" s="6"/>
      <c r="CC3344" s="6"/>
      <c r="CD3344" s="6"/>
      <c r="CE3344" s="6"/>
      <c r="CF3344" s="6"/>
      <c r="CG3344" s="6"/>
      <c r="CH3344" s="6"/>
      <c r="CI3344" s="6"/>
      <c r="CJ3344" s="6"/>
      <c r="CK3344" s="6"/>
      <c r="CL3344" s="6"/>
      <c r="CM3344" s="6"/>
      <c r="CN3344" s="6"/>
      <c r="CO3344" s="6"/>
      <c r="CP3344" s="6"/>
      <c r="CQ3344" s="6"/>
      <c r="CR3344" s="6"/>
      <c r="CS3344" s="6"/>
      <c r="CT3344" s="6"/>
      <c r="CU3344" s="6"/>
      <c r="CV3344" s="6"/>
      <c r="CW3344" s="6"/>
      <c r="CX3344" s="6"/>
      <c r="CY3344" s="6"/>
      <c r="CZ3344" s="6"/>
      <c r="DA3344" s="6"/>
      <c r="DB3344" s="6"/>
      <c r="DC3344" s="6"/>
      <c r="DD3344" s="6"/>
    </row>
    <row r="3345" spans="1:108" ht="12.75" hidden="1" customHeight="1" outlineLevel="4">
      <c r="A3345" s="104" t="s">
        <v>1</v>
      </c>
      <c r="B3345" s="119" t="str">
        <f>"Gear3"</f>
        <v>Gear3</v>
      </c>
      <c r="C3345" s="12"/>
      <c r="D3345" s="18" t="str">
        <f>"&lt;" &amp; A3345 &amp; "&gt;" &amp; TEXT(B3345,"0.000000") &amp; "&lt;/" &amp; A3345 &amp; "&gt;"</f>
        <v>&lt;Name&gt;Gear3&lt;/Name&gt;</v>
      </c>
      <c r="F3345" s="6"/>
      <c r="G3345" s="6"/>
      <c r="H3345" s="6"/>
      <c r="I3345" s="6"/>
      <c r="J3345" s="6"/>
      <c r="K3345" s="6"/>
      <c r="L3345" s="6"/>
      <c r="M3345" s="6"/>
      <c r="N3345" s="6"/>
      <c r="O3345" s="6"/>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c r="BU3345" s="6"/>
      <c r="BV3345" s="6"/>
      <c r="BW3345" s="6"/>
      <c r="BX3345" s="6"/>
      <c r="BY3345" s="6"/>
      <c r="BZ3345" s="6"/>
      <c r="CA3345" s="6"/>
      <c r="CB3345" s="6"/>
      <c r="CC3345" s="6"/>
      <c r="CD3345" s="6"/>
      <c r="CE3345" s="6"/>
      <c r="CF3345" s="6"/>
      <c r="CG3345" s="6"/>
      <c r="CH3345" s="6"/>
      <c r="CI3345" s="6"/>
      <c r="CJ3345" s="6"/>
      <c r="CK3345" s="6"/>
      <c r="CL3345" s="6"/>
      <c r="CM3345" s="6"/>
      <c r="CN3345" s="6"/>
      <c r="CO3345" s="6"/>
      <c r="CP3345" s="6"/>
      <c r="CQ3345" s="6"/>
      <c r="CR3345" s="6"/>
      <c r="CS3345" s="6"/>
      <c r="CT3345" s="6"/>
      <c r="CU3345" s="6"/>
      <c r="CV3345" s="6"/>
      <c r="CW3345" s="6"/>
      <c r="CX3345" s="6"/>
      <c r="CY3345" s="6"/>
      <c r="CZ3345" s="6"/>
      <c r="DA3345" s="6"/>
      <c r="DB3345" s="6"/>
      <c r="DC3345" s="6"/>
      <c r="DD3345" s="6"/>
    </row>
    <row r="3346" spans="1:108" ht="12.75" hidden="1" customHeight="1" outlineLevel="4">
      <c r="A3346" s="104" t="s">
        <v>43</v>
      </c>
      <c r="B3346" s="105">
        <v>127</v>
      </c>
      <c r="C3346" s="12"/>
      <c r="D3346" s="18" t="str">
        <f>"&lt;" &amp; A3346 &amp; "&gt;" &amp; TEXT(B3346,"0.000000") &amp; "&lt;/" &amp; A3346 &amp; "&gt;"</f>
        <v>&lt;ColorR&gt;127.000000&lt;/ColorR&gt;</v>
      </c>
      <c r="F3346" s="6"/>
      <c r="G3346" s="6"/>
      <c r="H3346" s="6"/>
      <c r="I3346" s="6"/>
      <c r="J3346" s="6"/>
      <c r="K3346" s="6"/>
      <c r="L3346" s="6"/>
      <c r="M3346" s="6"/>
      <c r="N3346" s="6"/>
      <c r="O3346" s="6"/>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c r="BU3346" s="6"/>
      <c r="BV3346" s="6"/>
      <c r="BW3346" s="6"/>
      <c r="BX3346" s="6"/>
      <c r="BY3346" s="6"/>
      <c r="BZ3346" s="6"/>
      <c r="CA3346" s="6"/>
      <c r="CB3346" s="6"/>
      <c r="CC3346" s="6"/>
      <c r="CD3346" s="6"/>
      <c r="CE3346" s="6"/>
      <c r="CF3346" s="6"/>
      <c r="CG3346" s="6"/>
      <c r="CH3346" s="6"/>
      <c r="CI3346" s="6"/>
      <c r="CJ3346" s="6"/>
      <c r="CK3346" s="6"/>
      <c r="CL3346" s="6"/>
      <c r="CM3346" s="6"/>
      <c r="CN3346" s="6"/>
      <c r="CO3346" s="6"/>
      <c r="CP3346" s="6"/>
      <c r="CQ3346" s="6"/>
      <c r="CR3346" s="6"/>
      <c r="CS3346" s="6"/>
      <c r="CT3346" s="6"/>
      <c r="CU3346" s="6"/>
      <c r="CV3346" s="6"/>
      <c r="CW3346" s="6"/>
      <c r="CX3346" s="6"/>
      <c r="CY3346" s="6"/>
      <c r="CZ3346" s="6"/>
      <c r="DA3346" s="6"/>
      <c r="DB3346" s="6"/>
      <c r="DC3346" s="6"/>
      <c r="DD3346" s="6"/>
    </row>
    <row r="3347" spans="1:108" ht="12.75" hidden="1" customHeight="1" outlineLevel="4">
      <c r="A3347" s="104" t="s">
        <v>44</v>
      </c>
      <c r="B3347" s="105">
        <v>127</v>
      </c>
      <c r="C3347" s="12"/>
      <c r="D3347" s="18" t="str">
        <f>"&lt;" &amp; A3347 &amp; "&gt;" &amp; TEXT(B3347,"0.000000") &amp; "&lt;/" &amp; A3347 &amp; "&gt;"</f>
        <v>&lt;ColorG&gt;127.000000&lt;/ColorG&gt;</v>
      </c>
      <c r="F3347" s="6"/>
      <c r="G3347" s="6"/>
      <c r="H3347" s="6"/>
      <c r="I3347" s="6"/>
      <c r="J3347" s="6"/>
      <c r="K3347" s="6"/>
      <c r="L3347" s="6"/>
      <c r="M3347" s="6"/>
      <c r="N3347" s="6"/>
      <c r="O3347" s="6"/>
      <c r="P3347" s="6"/>
      <c r="Q3347" s="6"/>
      <c r="R3347" s="6"/>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c r="BU3347" s="6"/>
      <c r="BV3347" s="6"/>
      <c r="BW3347" s="6"/>
      <c r="BX3347" s="6"/>
      <c r="BY3347" s="6"/>
      <c r="BZ3347" s="6"/>
      <c r="CA3347" s="6"/>
      <c r="CB3347" s="6"/>
      <c r="CC3347" s="6"/>
      <c r="CD3347" s="6"/>
      <c r="CE3347" s="6"/>
      <c r="CF3347" s="6"/>
      <c r="CG3347" s="6"/>
      <c r="CH3347" s="6"/>
      <c r="CI3347" s="6"/>
      <c r="CJ3347" s="6"/>
      <c r="CK3347" s="6"/>
      <c r="CL3347" s="6"/>
      <c r="CM3347" s="6"/>
      <c r="CN3347" s="6"/>
      <c r="CO3347" s="6"/>
      <c r="CP3347" s="6"/>
      <c r="CQ3347" s="6"/>
      <c r="CR3347" s="6"/>
      <c r="CS3347" s="6"/>
      <c r="CT3347" s="6"/>
      <c r="CU3347" s="6"/>
      <c r="CV3347" s="6"/>
      <c r="CW3347" s="6"/>
      <c r="CX3347" s="6"/>
      <c r="CY3347" s="6"/>
      <c r="CZ3347" s="6"/>
      <c r="DA3347" s="6"/>
      <c r="DB3347" s="6"/>
      <c r="DC3347" s="6"/>
      <c r="DD3347" s="6"/>
    </row>
    <row r="3348" spans="1:108" ht="12.75" hidden="1" customHeight="1" outlineLevel="4">
      <c r="A3348" s="104" t="s">
        <v>45</v>
      </c>
      <c r="B3348" s="105">
        <v>127</v>
      </c>
      <c r="C3348" s="12"/>
      <c r="D3348" s="18" t="str">
        <f>"&lt;" &amp; A3348 &amp; "&gt;" &amp; TEXT(B3348,"0.000000") &amp; "&lt;/" &amp; A3348 &amp; "&gt;"</f>
        <v>&lt;ColorB&gt;127.000000&lt;/ColorB&gt;</v>
      </c>
      <c r="F3348" s="6"/>
      <c r="G3348" s="6"/>
      <c r="H3348" s="6"/>
      <c r="I3348" s="6"/>
      <c r="J3348" s="6"/>
      <c r="K3348" s="6"/>
      <c r="L3348" s="6"/>
      <c r="M3348" s="6"/>
      <c r="N3348" s="6"/>
      <c r="O3348" s="6"/>
      <c r="P3348" s="6"/>
      <c r="Q3348" s="6"/>
      <c r="R3348" s="6"/>
      <c r="S3348" s="6"/>
      <c r="T3348" s="6"/>
      <c r="U3348" s="6"/>
      <c r="V3348" s="6"/>
      <c r="W3348" s="6"/>
      <c r="X3348" s="6"/>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c r="BU3348" s="6"/>
      <c r="BV3348" s="6"/>
      <c r="BW3348" s="6"/>
      <c r="BX3348" s="6"/>
      <c r="BY3348" s="6"/>
      <c r="BZ3348" s="6"/>
      <c r="CA3348" s="6"/>
      <c r="CB3348" s="6"/>
      <c r="CC3348" s="6"/>
      <c r="CD3348" s="6"/>
      <c r="CE3348" s="6"/>
      <c r="CF3348" s="6"/>
      <c r="CG3348" s="6"/>
      <c r="CH3348" s="6"/>
      <c r="CI3348" s="6"/>
      <c r="CJ3348" s="6"/>
      <c r="CK3348" s="6"/>
      <c r="CL3348" s="6"/>
      <c r="CM3348" s="6"/>
      <c r="CN3348" s="6"/>
      <c r="CO3348" s="6"/>
      <c r="CP3348" s="6"/>
      <c r="CQ3348" s="6"/>
      <c r="CR3348" s="6"/>
      <c r="CS3348" s="6"/>
      <c r="CT3348" s="6"/>
      <c r="CU3348" s="6"/>
      <c r="CV3348" s="6"/>
      <c r="CW3348" s="6"/>
      <c r="CX3348" s="6"/>
      <c r="CY3348" s="6"/>
      <c r="CZ3348" s="6"/>
      <c r="DA3348" s="6"/>
      <c r="DB3348" s="6"/>
      <c r="DC3348" s="6"/>
      <c r="DD3348" s="6"/>
    </row>
    <row r="3349" spans="1:108" ht="12.75" hidden="1" customHeight="1" outlineLevel="4">
      <c r="A3349" s="104" t="s">
        <v>46</v>
      </c>
      <c r="B3349" s="105">
        <v>0</v>
      </c>
      <c r="C3349" s="12"/>
      <c r="D3349" s="18" t="str">
        <f t="shared" ref="D3349:D3358" si="197">"&lt;" &amp; A3349 &amp; "&gt;" &amp; TEXT(B3349,0) &amp; "&lt;/" &amp; A3349 &amp; "&gt;"</f>
        <v>&lt;Symmetry&gt;0&lt;/Symmetry&gt;</v>
      </c>
      <c r="F3349" s="6"/>
      <c r="G3349" s="6"/>
      <c r="H3349" s="6"/>
      <c r="I3349" s="6"/>
      <c r="J3349" s="6"/>
      <c r="K3349" s="6"/>
      <c r="L3349" s="6"/>
      <c r="M3349" s="6"/>
      <c r="N3349" s="6"/>
      <c r="O3349" s="6"/>
      <c r="P3349" s="6"/>
      <c r="Q3349" s="6"/>
      <c r="R3349" s="6"/>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c r="BU3349" s="6"/>
      <c r="BV3349" s="6"/>
      <c r="BW3349" s="6"/>
      <c r="BX3349" s="6"/>
      <c r="BY3349" s="6"/>
      <c r="BZ3349" s="6"/>
      <c r="CA3349" s="6"/>
      <c r="CB3349" s="6"/>
      <c r="CC3349" s="6"/>
      <c r="CD3349" s="6"/>
      <c r="CE3349" s="6"/>
      <c r="CF3349" s="6"/>
      <c r="CG3349" s="6"/>
      <c r="CH3349" s="6"/>
      <c r="CI3349" s="6"/>
      <c r="CJ3349" s="6"/>
      <c r="CK3349" s="6"/>
      <c r="CL3349" s="6"/>
      <c r="CM3349" s="6"/>
      <c r="CN3349" s="6"/>
      <c r="CO3349" s="6"/>
      <c r="CP3349" s="6"/>
      <c r="CQ3349" s="6"/>
      <c r="CR3349" s="6"/>
      <c r="CS3349" s="6"/>
      <c r="CT3349" s="6"/>
      <c r="CU3349" s="6"/>
      <c r="CV3349" s="6"/>
      <c r="CW3349" s="6"/>
      <c r="CX3349" s="6"/>
      <c r="CY3349" s="6"/>
      <c r="CZ3349" s="6"/>
      <c r="DA3349" s="6"/>
      <c r="DB3349" s="6"/>
      <c r="DC3349" s="6"/>
      <c r="DD3349" s="6"/>
    </row>
    <row r="3350" spans="1:108" ht="12.75" hidden="1" customHeight="1" outlineLevel="4">
      <c r="A3350" s="104" t="s">
        <v>47</v>
      </c>
      <c r="B3350" s="105">
        <v>0</v>
      </c>
      <c r="C3350" s="12"/>
      <c r="D3350" s="18" t="str">
        <f t="shared" si="197"/>
        <v>&lt;RelXFormFlag&gt;0&lt;/RelXFormFlag&gt;</v>
      </c>
      <c r="F3350" s="6"/>
      <c r="G3350" s="6"/>
      <c r="H3350" s="6"/>
      <c r="I3350" s="6"/>
      <c r="J3350" s="6"/>
      <c r="K3350" s="6"/>
      <c r="L3350" s="6"/>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c r="BU3350" s="6"/>
      <c r="BV3350" s="6"/>
      <c r="BW3350" s="6"/>
      <c r="BX3350" s="6"/>
      <c r="BY3350" s="6"/>
      <c r="BZ3350" s="6"/>
      <c r="CA3350" s="6"/>
      <c r="CB3350" s="6"/>
      <c r="CC3350" s="6"/>
      <c r="CD3350" s="6"/>
      <c r="CE3350" s="6"/>
      <c r="CF3350" s="6"/>
      <c r="CG3350" s="6"/>
      <c r="CH3350" s="6"/>
      <c r="CI3350" s="6"/>
      <c r="CJ3350" s="6"/>
      <c r="CK3350" s="6"/>
      <c r="CL3350" s="6"/>
      <c r="CM3350" s="6"/>
      <c r="CN3350" s="6"/>
      <c r="CO3350" s="6"/>
      <c r="CP3350" s="6"/>
      <c r="CQ3350" s="6"/>
      <c r="CR3350" s="6"/>
      <c r="CS3350" s="6"/>
      <c r="CT3350" s="6"/>
      <c r="CU3350" s="6"/>
      <c r="CV3350" s="6"/>
      <c r="CW3350" s="6"/>
      <c r="CX3350" s="6"/>
      <c r="CY3350" s="6"/>
      <c r="CZ3350" s="6"/>
      <c r="DA3350" s="6"/>
      <c r="DB3350" s="6"/>
      <c r="DC3350" s="6"/>
      <c r="DD3350" s="6"/>
    </row>
    <row r="3351" spans="1:108" ht="12.75" hidden="1" customHeight="1" outlineLevel="4">
      <c r="A3351" s="104" t="s">
        <v>48</v>
      </c>
      <c r="B3351" s="105">
        <v>0</v>
      </c>
      <c r="C3351" s="12"/>
      <c r="D3351" s="18" t="str">
        <f t="shared" si="197"/>
        <v>&lt;MaterialID&gt;0&lt;/MaterialID&gt;</v>
      </c>
      <c r="F3351" s="6"/>
      <c r="G3351" s="6"/>
      <c r="H3351" s="6"/>
      <c r="I3351" s="6"/>
      <c r="J3351" s="6"/>
      <c r="K3351" s="6"/>
      <c r="L3351" s="6"/>
      <c r="M3351" s="6"/>
      <c r="N3351" s="6"/>
      <c r="O3351" s="6"/>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c r="BU3351" s="6"/>
      <c r="BV3351" s="6"/>
      <c r="BW3351" s="6"/>
      <c r="BX3351" s="6"/>
      <c r="BY3351" s="6"/>
      <c r="BZ3351" s="6"/>
      <c r="CA3351" s="6"/>
      <c r="CB3351" s="6"/>
      <c r="CC3351" s="6"/>
      <c r="CD3351" s="6"/>
      <c r="CE3351" s="6"/>
      <c r="CF3351" s="6"/>
      <c r="CG3351" s="6"/>
      <c r="CH3351" s="6"/>
      <c r="CI3351" s="6"/>
      <c r="CJ3351" s="6"/>
      <c r="CK3351" s="6"/>
      <c r="CL3351" s="6"/>
      <c r="CM3351" s="6"/>
      <c r="CN3351" s="6"/>
      <c r="CO3351" s="6"/>
      <c r="CP3351" s="6"/>
      <c r="CQ3351" s="6"/>
      <c r="CR3351" s="6"/>
      <c r="CS3351" s="6"/>
      <c r="CT3351" s="6"/>
      <c r="CU3351" s="6"/>
      <c r="CV3351" s="6"/>
      <c r="CW3351" s="6"/>
      <c r="CX3351" s="6"/>
      <c r="CY3351" s="6"/>
      <c r="CZ3351" s="6"/>
      <c r="DA3351" s="6"/>
      <c r="DB3351" s="6"/>
      <c r="DC3351" s="6"/>
      <c r="DD3351" s="6"/>
    </row>
    <row r="3352" spans="1:108" ht="12.75" hidden="1" customHeight="1" outlineLevel="4">
      <c r="A3352" s="104" t="s">
        <v>49</v>
      </c>
      <c r="B3352" s="105">
        <v>1</v>
      </c>
      <c r="C3352" s="12"/>
      <c r="D3352" s="18" t="str">
        <f t="shared" si="197"/>
        <v>&lt;OutputFlag&gt;1&lt;/OutputFlag&gt;</v>
      </c>
      <c r="F3352" s="6"/>
      <c r="G3352" s="6"/>
      <c r="H3352" s="6"/>
      <c r="I3352" s="6"/>
      <c r="J3352" s="6"/>
      <c r="K3352" s="6"/>
      <c r="L3352" s="6"/>
      <c r="M3352" s="6"/>
      <c r="N3352" s="6"/>
      <c r="O3352" s="6"/>
      <c r="P3352" s="6"/>
      <c r="Q3352" s="6"/>
      <c r="R3352" s="6"/>
      <c r="S3352" s="6"/>
      <c r="T3352" s="6"/>
      <c r="U3352" s="6"/>
      <c r="V3352" s="6"/>
      <c r="W3352" s="6"/>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c r="BU3352" s="6"/>
      <c r="BV3352" s="6"/>
      <c r="BW3352" s="6"/>
      <c r="BX3352" s="6"/>
      <c r="BY3352" s="6"/>
      <c r="BZ3352" s="6"/>
      <c r="CA3352" s="6"/>
      <c r="CB3352" s="6"/>
      <c r="CC3352" s="6"/>
      <c r="CD3352" s="6"/>
      <c r="CE3352" s="6"/>
      <c r="CF3352" s="6"/>
      <c r="CG3352" s="6"/>
      <c r="CH3352" s="6"/>
      <c r="CI3352" s="6"/>
      <c r="CJ3352" s="6"/>
      <c r="CK3352" s="6"/>
      <c r="CL3352" s="6"/>
      <c r="CM3352" s="6"/>
      <c r="CN3352" s="6"/>
      <c r="CO3352" s="6"/>
      <c r="CP3352" s="6"/>
      <c r="CQ3352" s="6"/>
      <c r="CR3352" s="6"/>
      <c r="CS3352" s="6"/>
      <c r="CT3352" s="6"/>
      <c r="CU3352" s="6"/>
      <c r="CV3352" s="6"/>
      <c r="CW3352" s="6"/>
      <c r="CX3352" s="6"/>
      <c r="CY3352" s="6"/>
      <c r="CZ3352" s="6"/>
      <c r="DA3352" s="6"/>
      <c r="DB3352" s="6"/>
      <c r="DC3352" s="6"/>
      <c r="DD3352" s="6"/>
    </row>
    <row r="3353" spans="1:108" ht="12.75" hidden="1" customHeight="1" outlineLevel="4">
      <c r="A3353" s="104" t="s">
        <v>50</v>
      </c>
      <c r="B3353" s="105">
        <v>0</v>
      </c>
      <c r="C3353" s="12"/>
      <c r="D3353" s="18" t="str">
        <f t="shared" si="197"/>
        <v>&lt;OutputNameID&gt;0&lt;/OutputNameID&gt;</v>
      </c>
      <c r="F3353" s="6"/>
      <c r="G3353" s="6"/>
      <c r="H3353" s="6"/>
      <c r="I3353" s="6"/>
      <c r="J3353" s="6"/>
      <c r="K3353" s="6"/>
      <c r="L3353" s="6"/>
      <c r="M3353" s="6"/>
      <c r="N3353" s="6"/>
      <c r="O3353" s="6"/>
      <c r="P3353" s="6"/>
      <c r="Q3353" s="6"/>
      <c r="R3353" s="6"/>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c r="BU3353" s="6"/>
      <c r="BV3353" s="6"/>
      <c r="BW3353" s="6"/>
      <c r="BX3353" s="6"/>
      <c r="BY3353" s="6"/>
      <c r="BZ3353" s="6"/>
      <c r="CA3353" s="6"/>
      <c r="CB3353" s="6"/>
      <c r="CC3353" s="6"/>
      <c r="CD3353" s="6"/>
      <c r="CE3353" s="6"/>
      <c r="CF3353" s="6"/>
      <c r="CG3353" s="6"/>
      <c r="CH3353" s="6"/>
      <c r="CI3353" s="6"/>
      <c r="CJ3353" s="6"/>
      <c r="CK3353" s="6"/>
      <c r="CL3353" s="6"/>
      <c r="CM3353" s="6"/>
      <c r="CN3353" s="6"/>
      <c r="CO3353" s="6"/>
      <c r="CP3353" s="6"/>
      <c r="CQ3353" s="6"/>
      <c r="CR3353" s="6"/>
      <c r="CS3353" s="6"/>
      <c r="CT3353" s="6"/>
      <c r="CU3353" s="6"/>
      <c r="CV3353" s="6"/>
      <c r="CW3353" s="6"/>
      <c r="CX3353" s="6"/>
      <c r="CY3353" s="6"/>
      <c r="CZ3353" s="6"/>
      <c r="DA3353" s="6"/>
      <c r="DB3353" s="6"/>
      <c r="DC3353" s="6"/>
      <c r="DD3353" s="6"/>
    </row>
    <row r="3354" spans="1:108" ht="12.75" hidden="1" customHeight="1" outlineLevel="4">
      <c r="A3354" s="104" t="s">
        <v>51</v>
      </c>
      <c r="B3354" s="105">
        <v>1</v>
      </c>
      <c r="C3354" s="12"/>
      <c r="D3354" s="18" t="str">
        <f t="shared" si="197"/>
        <v>&lt;DisplayChildrenFlag&gt;1&lt;/DisplayChildrenFlag&gt;</v>
      </c>
      <c r="F3354" s="6"/>
      <c r="G3354" s="6"/>
      <c r="H3354" s="6"/>
      <c r="I3354" s="6"/>
      <c r="J3354" s="6"/>
      <c r="K3354" s="6"/>
      <c r="L3354" s="6"/>
      <c r="M3354" s="6"/>
      <c r="N3354" s="6"/>
      <c r="O3354" s="6"/>
      <c r="P3354" s="6"/>
      <c r="Q3354" s="6"/>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c r="BU3354" s="6"/>
      <c r="BV3354" s="6"/>
      <c r="BW3354" s="6"/>
      <c r="BX3354" s="6"/>
      <c r="BY3354" s="6"/>
      <c r="BZ3354" s="6"/>
      <c r="CA3354" s="6"/>
      <c r="CB3354" s="6"/>
      <c r="CC3354" s="6"/>
      <c r="CD3354" s="6"/>
      <c r="CE3354" s="6"/>
      <c r="CF3354" s="6"/>
      <c r="CG3354" s="6"/>
      <c r="CH3354" s="6"/>
      <c r="CI3354" s="6"/>
      <c r="CJ3354" s="6"/>
      <c r="CK3354" s="6"/>
      <c r="CL3354" s="6"/>
      <c r="CM3354" s="6"/>
      <c r="CN3354" s="6"/>
      <c r="CO3354" s="6"/>
      <c r="CP3354" s="6"/>
      <c r="CQ3354" s="6"/>
      <c r="CR3354" s="6"/>
      <c r="CS3354" s="6"/>
      <c r="CT3354" s="6"/>
      <c r="CU3354" s="6"/>
      <c r="CV3354" s="6"/>
      <c r="CW3354" s="6"/>
      <c r="CX3354" s="6"/>
      <c r="CY3354" s="6"/>
      <c r="CZ3354" s="6"/>
      <c r="DA3354" s="6"/>
      <c r="DB3354" s="6"/>
      <c r="DC3354" s="6"/>
      <c r="DD3354" s="6"/>
    </row>
    <row r="3355" spans="1:108" ht="12.75" hidden="1" customHeight="1" outlineLevel="4">
      <c r="A3355" s="104" t="s">
        <v>52</v>
      </c>
      <c r="B3355" s="105">
        <v>21</v>
      </c>
      <c r="C3355" s="12"/>
      <c r="D3355" s="18" t="str">
        <f t="shared" si="197"/>
        <v>&lt;NumPnts&gt;21&lt;/NumPnts&gt;</v>
      </c>
      <c r="F3355" s="6"/>
      <c r="G3355" s="6"/>
      <c r="H3355" s="6"/>
      <c r="I3355" s="6"/>
      <c r="J3355" s="6"/>
      <c r="K3355" s="6"/>
      <c r="L3355" s="6"/>
      <c r="M3355" s="6"/>
      <c r="N3355" s="6"/>
      <c r="O3355" s="6"/>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c r="BU3355" s="6"/>
      <c r="BV3355" s="6"/>
      <c r="BW3355" s="6"/>
      <c r="BX3355" s="6"/>
      <c r="BY3355" s="6"/>
      <c r="BZ3355" s="6"/>
      <c r="CA3355" s="6"/>
      <c r="CB3355" s="6"/>
      <c r="CC3355" s="6"/>
      <c r="CD3355" s="6"/>
      <c r="CE3355" s="6"/>
      <c r="CF3355" s="6"/>
      <c r="CG3355" s="6"/>
      <c r="CH3355" s="6"/>
      <c r="CI3355" s="6"/>
      <c r="CJ3355" s="6"/>
      <c r="CK3355" s="6"/>
      <c r="CL3355" s="6"/>
      <c r="CM3355" s="6"/>
      <c r="CN3355" s="6"/>
      <c r="CO3355" s="6"/>
      <c r="CP3355" s="6"/>
      <c r="CQ3355" s="6"/>
      <c r="CR3355" s="6"/>
      <c r="CS3355" s="6"/>
      <c r="CT3355" s="6"/>
      <c r="CU3355" s="6"/>
      <c r="CV3355" s="6"/>
      <c r="CW3355" s="6"/>
      <c r="CX3355" s="6"/>
      <c r="CY3355" s="6"/>
      <c r="CZ3355" s="6"/>
      <c r="DA3355" s="6"/>
      <c r="DB3355" s="6"/>
      <c r="DC3355" s="6"/>
      <c r="DD3355" s="6"/>
    </row>
    <row r="3356" spans="1:108" ht="12.75" hidden="1" customHeight="1" outlineLevel="4">
      <c r="A3356" s="104" t="s">
        <v>53</v>
      </c>
      <c r="B3356" s="105">
        <v>41</v>
      </c>
      <c r="C3356" s="12"/>
      <c r="D3356" s="18" t="str">
        <f t="shared" si="197"/>
        <v>&lt;NumXsecs&gt;41&lt;/NumXsecs&gt;</v>
      </c>
      <c r="F3356" s="6"/>
      <c r="G3356" s="6"/>
      <c r="H3356" s="6"/>
      <c r="I3356" s="6"/>
      <c r="J3356" s="6"/>
      <c r="K3356" s="6"/>
      <c r="L3356" s="6"/>
      <c r="M3356" s="6"/>
      <c r="N3356" s="6"/>
      <c r="O3356" s="6"/>
      <c r="P3356" s="6"/>
      <c r="Q3356" s="6"/>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c r="BU3356" s="6"/>
      <c r="BV3356" s="6"/>
      <c r="BW3356" s="6"/>
      <c r="BX3356" s="6"/>
      <c r="BY3356" s="6"/>
      <c r="BZ3356" s="6"/>
      <c r="CA3356" s="6"/>
      <c r="CB3356" s="6"/>
      <c r="CC3356" s="6"/>
      <c r="CD3356" s="6"/>
      <c r="CE3356" s="6"/>
      <c r="CF3356" s="6"/>
      <c r="CG3356" s="6"/>
      <c r="CH3356" s="6"/>
      <c r="CI3356" s="6"/>
      <c r="CJ3356" s="6"/>
      <c r="CK3356" s="6"/>
      <c r="CL3356" s="6"/>
      <c r="CM3356" s="6"/>
      <c r="CN3356" s="6"/>
      <c r="CO3356" s="6"/>
      <c r="CP3356" s="6"/>
      <c r="CQ3356" s="6"/>
      <c r="CR3356" s="6"/>
      <c r="CS3356" s="6"/>
      <c r="CT3356" s="6"/>
      <c r="CU3356" s="6"/>
      <c r="CV3356" s="6"/>
      <c r="CW3356" s="6"/>
      <c r="CX3356" s="6"/>
      <c r="CY3356" s="6"/>
      <c r="CZ3356" s="6"/>
      <c r="DA3356" s="6"/>
      <c r="DB3356" s="6"/>
      <c r="DC3356" s="6"/>
      <c r="DD3356" s="6"/>
    </row>
    <row r="3357" spans="1:108" ht="12.75" hidden="1" customHeight="1" outlineLevel="4">
      <c r="A3357" s="104" t="s">
        <v>54</v>
      </c>
      <c r="B3357" s="105">
        <v>0</v>
      </c>
      <c r="C3357" s="12"/>
      <c r="D3357" s="18" t="str">
        <f t="shared" si="197"/>
        <v>&lt;MassPrior&gt;0&lt;/MassPrior&gt;</v>
      </c>
      <c r="F3357" s="6"/>
      <c r="G3357" s="6"/>
      <c r="H3357" s="6"/>
      <c r="I3357" s="6"/>
      <c r="J3357" s="6"/>
      <c r="K3357" s="6"/>
      <c r="L3357" s="6"/>
      <c r="M3357" s="6"/>
      <c r="N3357" s="6"/>
      <c r="O3357" s="6"/>
      <c r="P3357" s="6"/>
      <c r="Q3357" s="6"/>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c r="BU3357" s="6"/>
      <c r="BV3357" s="6"/>
      <c r="BW3357" s="6"/>
      <c r="BX3357" s="6"/>
      <c r="BY3357" s="6"/>
      <c r="BZ3357" s="6"/>
      <c r="CA3357" s="6"/>
      <c r="CB3357" s="6"/>
      <c r="CC3357" s="6"/>
      <c r="CD3357" s="6"/>
      <c r="CE3357" s="6"/>
      <c r="CF3357" s="6"/>
      <c r="CG3357" s="6"/>
      <c r="CH3357" s="6"/>
      <c r="CI3357" s="6"/>
      <c r="CJ3357" s="6"/>
      <c r="CK3357" s="6"/>
      <c r="CL3357" s="6"/>
      <c r="CM3357" s="6"/>
      <c r="CN3357" s="6"/>
      <c r="CO3357" s="6"/>
      <c r="CP3357" s="6"/>
      <c r="CQ3357" s="6"/>
      <c r="CR3357" s="6"/>
      <c r="CS3357" s="6"/>
      <c r="CT3357" s="6"/>
      <c r="CU3357" s="6"/>
      <c r="CV3357" s="6"/>
      <c r="CW3357" s="6"/>
      <c r="CX3357" s="6"/>
      <c r="CY3357" s="6"/>
      <c r="CZ3357" s="6"/>
      <c r="DA3357" s="6"/>
      <c r="DB3357" s="6"/>
      <c r="DC3357" s="6"/>
      <c r="DD3357" s="6"/>
    </row>
    <row r="3358" spans="1:108" ht="12.75" hidden="1" customHeight="1" outlineLevel="4">
      <c r="A3358" s="104" t="s">
        <v>55</v>
      </c>
      <c r="B3358" s="105">
        <v>0</v>
      </c>
      <c r="C3358" s="12"/>
      <c r="D3358" s="18" t="str">
        <f t="shared" si="197"/>
        <v>&lt;ShellFlag&gt;0&lt;/ShellFlag&gt;</v>
      </c>
      <c r="F3358" s="6"/>
      <c r="G3358" s="6"/>
      <c r="H3358" s="6"/>
      <c r="I3358" s="6"/>
      <c r="J3358" s="6"/>
      <c r="K3358" s="6"/>
      <c r="L3358" s="6"/>
      <c r="M3358" s="6"/>
      <c r="N3358" s="6"/>
      <c r="O3358" s="6"/>
      <c r="P3358" s="6"/>
      <c r="Q3358" s="6"/>
      <c r="R3358" s="6"/>
      <c r="S3358" s="6"/>
      <c r="T3358" s="6"/>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c r="BU3358" s="6"/>
      <c r="BV3358" s="6"/>
      <c r="BW3358" s="6"/>
      <c r="BX3358" s="6"/>
      <c r="BY3358" s="6"/>
      <c r="BZ3358" s="6"/>
      <c r="CA3358" s="6"/>
      <c r="CB3358" s="6"/>
      <c r="CC3358" s="6"/>
      <c r="CD3358" s="6"/>
      <c r="CE3358" s="6"/>
      <c r="CF3358" s="6"/>
      <c r="CG3358" s="6"/>
      <c r="CH3358" s="6"/>
      <c r="CI3358" s="6"/>
      <c r="CJ3358" s="6"/>
      <c r="CK3358" s="6"/>
      <c r="CL3358" s="6"/>
      <c r="CM3358" s="6"/>
      <c r="CN3358" s="6"/>
      <c r="CO3358" s="6"/>
      <c r="CP3358" s="6"/>
      <c r="CQ3358" s="6"/>
      <c r="CR3358" s="6"/>
      <c r="CS3358" s="6"/>
      <c r="CT3358" s="6"/>
      <c r="CU3358" s="6"/>
      <c r="CV3358" s="6"/>
      <c r="CW3358" s="6"/>
      <c r="CX3358" s="6"/>
      <c r="CY3358" s="6"/>
      <c r="CZ3358" s="6"/>
      <c r="DA3358" s="6"/>
      <c r="DB3358" s="6"/>
      <c r="DC3358" s="6"/>
      <c r="DD3358" s="6"/>
    </row>
    <row r="3359" spans="1:108" ht="12.75" hidden="1" customHeight="1" outlineLevel="4">
      <c r="A3359" s="104" t="s">
        <v>56</v>
      </c>
      <c r="B3359" s="92">
        <f>pos_LG1.x</f>
        <v>14.889216158654019</v>
      </c>
      <c r="C3359" s="12"/>
      <c r="D3359" s="18" t="str">
        <f t="shared" ref="D3359:D3373" si="198">"&lt;" &amp; A3359 &amp; "&gt;" &amp; TEXT(B3359,"0.000000") &amp; "&lt;/" &amp; A3359 &amp; "&gt;"</f>
        <v>&lt;Tran_X&gt;14.889216&lt;/Tran_X&gt;</v>
      </c>
      <c r="F3359" s="6"/>
      <c r="G3359" s="6"/>
      <c r="H3359" s="6"/>
      <c r="I3359" s="6"/>
      <c r="J3359" s="6"/>
      <c r="K3359" s="6"/>
      <c r="L3359" s="6"/>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c r="BU3359" s="6"/>
      <c r="BV3359" s="6"/>
      <c r="BW3359" s="6"/>
      <c r="BX3359" s="6"/>
      <c r="BY3359" s="6"/>
      <c r="BZ3359" s="6"/>
      <c r="CA3359" s="6"/>
      <c r="CB3359" s="6"/>
      <c r="CC3359" s="6"/>
      <c r="CD3359" s="6"/>
      <c r="CE3359" s="6"/>
      <c r="CF3359" s="6"/>
      <c r="CG3359" s="6"/>
      <c r="CH3359" s="6"/>
      <c r="CI3359" s="6"/>
      <c r="CJ3359" s="6"/>
      <c r="CK3359" s="6"/>
      <c r="CL3359" s="6"/>
      <c r="CM3359" s="6"/>
      <c r="CN3359" s="6"/>
      <c r="CO3359" s="6"/>
      <c r="CP3359" s="6"/>
      <c r="CQ3359" s="6"/>
      <c r="CR3359" s="6"/>
      <c r="CS3359" s="6"/>
      <c r="CT3359" s="6"/>
      <c r="CU3359" s="6"/>
      <c r="CV3359" s="6"/>
      <c r="CW3359" s="6"/>
      <c r="CX3359" s="6"/>
      <c r="CY3359" s="6"/>
      <c r="CZ3359" s="6"/>
      <c r="DA3359" s="6"/>
      <c r="DB3359" s="6"/>
      <c r="DC3359" s="6"/>
      <c r="DD3359" s="6"/>
    </row>
    <row r="3360" spans="1:108" ht="12.75" hidden="1" customHeight="1" outlineLevel="4">
      <c r="A3360" s="104" t="s">
        <v>57</v>
      </c>
      <c r="B3360" s="92">
        <f>pos_LG1.y</f>
        <v>3.6173825159651627</v>
      </c>
      <c r="C3360" s="12"/>
      <c r="D3360" s="18" t="str">
        <f t="shared" si="198"/>
        <v>&lt;Tran_Y&gt;3.617383&lt;/Tran_Y&gt;</v>
      </c>
      <c r="F3360" s="6"/>
      <c r="G3360" s="6"/>
      <c r="H3360" s="6"/>
      <c r="I3360" s="6"/>
      <c r="J3360" s="6"/>
      <c r="K3360" s="6"/>
      <c r="L3360" s="6"/>
      <c r="M3360" s="6"/>
      <c r="N3360" s="6"/>
      <c r="O3360" s="6"/>
      <c r="P3360" s="6"/>
      <c r="Q3360" s="6"/>
      <c r="R3360" s="6"/>
      <c r="S3360" s="6"/>
      <c r="T3360" s="6"/>
      <c r="U3360" s="6"/>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c r="BU3360" s="6"/>
      <c r="BV3360" s="6"/>
      <c r="BW3360" s="6"/>
      <c r="BX3360" s="6"/>
      <c r="BY3360" s="6"/>
      <c r="BZ3360" s="6"/>
      <c r="CA3360" s="6"/>
      <c r="CB3360" s="6"/>
      <c r="CC3360" s="6"/>
      <c r="CD3360" s="6"/>
      <c r="CE3360" s="6"/>
      <c r="CF3360" s="6"/>
      <c r="CG3360" s="6"/>
      <c r="CH3360" s="6"/>
      <c r="CI3360" s="6"/>
      <c r="CJ3360" s="6"/>
      <c r="CK3360" s="6"/>
      <c r="CL3360" s="6"/>
      <c r="CM3360" s="6"/>
      <c r="CN3360" s="6"/>
      <c r="CO3360" s="6"/>
      <c r="CP3360" s="6"/>
      <c r="CQ3360" s="6"/>
      <c r="CR3360" s="6"/>
      <c r="CS3360" s="6"/>
      <c r="CT3360" s="6"/>
      <c r="CU3360" s="6"/>
      <c r="CV3360" s="6"/>
      <c r="CW3360" s="6"/>
      <c r="CX3360" s="6"/>
      <c r="CY3360" s="6"/>
      <c r="CZ3360" s="6"/>
      <c r="DA3360" s="6"/>
      <c r="DB3360" s="6"/>
      <c r="DC3360" s="6"/>
      <c r="DD3360" s="6"/>
    </row>
    <row r="3361" spans="1:108" ht="12.75" hidden="1" customHeight="1" outlineLevel="4">
      <c r="A3361" s="104" t="s">
        <v>58</v>
      </c>
      <c r="B3361" s="92">
        <f>pos_LG1.z</f>
        <v>-4.125</v>
      </c>
      <c r="C3361" s="12"/>
      <c r="D3361" s="18" t="str">
        <f t="shared" si="198"/>
        <v>&lt;Tran_Z&gt;-4.125000&lt;/Tran_Z&gt;</v>
      </c>
      <c r="F3361" s="6"/>
      <c r="G3361" s="6"/>
      <c r="H3361" s="6"/>
      <c r="I3361" s="6"/>
      <c r="J3361" s="6"/>
      <c r="K3361" s="6"/>
      <c r="L3361" s="6"/>
      <c r="M3361" s="6"/>
      <c r="N3361" s="6"/>
      <c r="O3361" s="6"/>
      <c r="P3361" s="6"/>
      <c r="Q3361" s="6"/>
      <c r="R3361" s="6"/>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c r="BU3361" s="6"/>
      <c r="BV3361" s="6"/>
      <c r="BW3361" s="6"/>
      <c r="BX3361" s="6"/>
      <c r="BY3361" s="6"/>
      <c r="BZ3361" s="6"/>
      <c r="CA3361" s="6"/>
      <c r="CB3361" s="6"/>
      <c r="CC3361" s="6"/>
      <c r="CD3361" s="6"/>
      <c r="CE3361" s="6"/>
      <c r="CF3361" s="6"/>
      <c r="CG3361" s="6"/>
      <c r="CH3361" s="6"/>
      <c r="CI3361" s="6"/>
      <c r="CJ3361" s="6"/>
      <c r="CK3361" s="6"/>
      <c r="CL3361" s="6"/>
      <c r="CM3361" s="6"/>
      <c r="CN3361" s="6"/>
      <c r="CO3361" s="6"/>
      <c r="CP3361" s="6"/>
      <c r="CQ3361" s="6"/>
      <c r="CR3361" s="6"/>
      <c r="CS3361" s="6"/>
      <c r="CT3361" s="6"/>
      <c r="CU3361" s="6"/>
      <c r="CV3361" s="6"/>
      <c r="CW3361" s="6"/>
      <c r="CX3361" s="6"/>
      <c r="CY3361" s="6"/>
      <c r="CZ3361" s="6"/>
      <c r="DA3361" s="6"/>
      <c r="DB3361" s="6"/>
      <c r="DC3361" s="6"/>
      <c r="DD3361" s="6"/>
    </row>
    <row r="3362" spans="1:108" ht="12.75" hidden="1" customHeight="1" outlineLevel="4">
      <c r="A3362" s="104" t="s">
        <v>59</v>
      </c>
      <c r="B3362" s="105">
        <v>0</v>
      </c>
      <c r="C3362" s="12"/>
      <c r="D3362" s="18" t="str">
        <f t="shared" si="198"/>
        <v>&lt;TranRel_X&gt;0.000000&lt;/TranRel_X&gt;</v>
      </c>
      <c r="F3362" s="6"/>
      <c r="G3362" s="6"/>
      <c r="H3362" s="6"/>
      <c r="I3362" s="6"/>
      <c r="J3362" s="6"/>
      <c r="K3362" s="6"/>
      <c r="L3362" s="6"/>
      <c r="M3362" s="6"/>
      <c r="N3362" s="6"/>
      <c r="O3362" s="6"/>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c r="BU3362" s="6"/>
      <c r="BV3362" s="6"/>
      <c r="BW3362" s="6"/>
      <c r="BX3362" s="6"/>
      <c r="BY3362" s="6"/>
      <c r="BZ3362" s="6"/>
      <c r="CA3362" s="6"/>
      <c r="CB3362" s="6"/>
      <c r="CC3362" s="6"/>
      <c r="CD3362" s="6"/>
      <c r="CE3362" s="6"/>
      <c r="CF3362" s="6"/>
      <c r="CG3362" s="6"/>
      <c r="CH3362" s="6"/>
      <c r="CI3362" s="6"/>
      <c r="CJ3362" s="6"/>
      <c r="CK3362" s="6"/>
      <c r="CL3362" s="6"/>
      <c r="CM3362" s="6"/>
      <c r="CN3362" s="6"/>
      <c r="CO3362" s="6"/>
      <c r="CP3362" s="6"/>
      <c r="CQ3362" s="6"/>
      <c r="CR3362" s="6"/>
      <c r="CS3362" s="6"/>
      <c r="CT3362" s="6"/>
      <c r="CU3362" s="6"/>
      <c r="CV3362" s="6"/>
      <c r="CW3362" s="6"/>
      <c r="CX3362" s="6"/>
      <c r="CY3362" s="6"/>
      <c r="CZ3362" s="6"/>
      <c r="DA3362" s="6"/>
      <c r="DB3362" s="6"/>
      <c r="DC3362" s="6"/>
      <c r="DD3362" s="6"/>
    </row>
    <row r="3363" spans="1:108" ht="12.75" hidden="1" customHeight="1" outlineLevel="4">
      <c r="A3363" s="104" t="s">
        <v>60</v>
      </c>
      <c r="B3363" s="105">
        <v>0</v>
      </c>
      <c r="C3363" s="12"/>
      <c r="D3363" s="18" t="str">
        <f t="shared" si="198"/>
        <v>&lt;TranRel_Y&gt;0.000000&lt;/TranRel_Y&gt;</v>
      </c>
      <c r="F3363" s="6"/>
      <c r="G3363" s="6"/>
      <c r="H3363" s="6"/>
      <c r="I3363" s="6"/>
      <c r="J3363" s="6"/>
      <c r="K3363" s="6"/>
      <c r="L3363" s="6"/>
      <c r="M3363" s="6"/>
      <c r="N3363" s="6"/>
      <c r="O3363" s="6"/>
      <c r="P3363" s="6"/>
      <c r="Q3363" s="6"/>
      <c r="R3363" s="6"/>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c r="BU3363" s="6"/>
      <c r="BV3363" s="6"/>
      <c r="BW3363" s="6"/>
      <c r="BX3363" s="6"/>
      <c r="BY3363" s="6"/>
      <c r="BZ3363" s="6"/>
      <c r="CA3363" s="6"/>
      <c r="CB3363" s="6"/>
      <c r="CC3363" s="6"/>
      <c r="CD3363" s="6"/>
      <c r="CE3363" s="6"/>
      <c r="CF3363" s="6"/>
      <c r="CG3363" s="6"/>
      <c r="CH3363" s="6"/>
      <c r="CI3363" s="6"/>
      <c r="CJ3363" s="6"/>
      <c r="CK3363" s="6"/>
      <c r="CL3363" s="6"/>
      <c r="CM3363" s="6"/>
      <c r="CN3363" s="6"/>
      <c r="CO3363" s="6"/>
      <c r="CP3363" s="6"/>
      <c r="CQ3363" s="6"/>
      <c r="CR3363" s="6"/>
      <c r="CS3363" s="6"/>
      <c r="CT3363" s="6"/>
      <c r="CU3363" s="6"/>
      <c r="CV3363" s="6"/>
      <c r="CW3363" s="6"/>
      <c r="CX3363" s="6"/>
      <c r="CY3363" s="6"/>
      <c r="CZ3363" s="6"/>
      <c r="DA3363" s="6"/>
      <c r="DB3363" s="6"/>
      <c r="DC3363" s="6"/>
      <c r="DD3363" s="6"/>
    </row>
    <row r="3364" spans="1:108" ht="12.75" hidden="1" customHeight="1" outlineLevel="4">
      <c r="A3364" s="104" t="s">
        <v>61</v>
      </c>
      <c r="B3364" s="105">
        <v>0</v>
      </c>
      <c r="C3364" s="12"/>
      <c r="D3364" s="18" t="str">
        <f t="shared" si="198"/>
        <v>&lt;TranRel_Z&gt;0.000000&lt;/TranRel_Z&gt;</v>
      </c>
      <c r="F3364" s="6"/>
      <c r="G3364" s="6"/>
      <c r="H3364" s="6"/>
      <c r="I3364" s="6"/>
      <c r="J3364" s="6"/>
      <c r="K3364" s="6"/>
      <c r="L3364" s="6"/>
      <c r="M3364" s="6"/>
      <c r="N3364" s="6"/>
      <c r="O3364" s="6"/>
      <c r="P3364" s="6"/>
      <c r="Q3364" s="6"/>
      <c r="R3364" s="6"/>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c r="BU3364" s="6"/>
      <c r="BV3364" s="6"/>
      <c r="BW3364" s="6"/>
      <c r="BX3364" s="6"/>
      <c r="BY3364" s="6"/>
      <c r="BZ3364" s="6"/>
      <c r="CA3364" s="6"/>
      <c r="CB3364" s="6"/>
      <c r="CC3364" s="6"/>
      <c r="CD3364" s="6"/>
      <c r="CE3364" s="6"/>
      <c r="CF3364" s="6"/>
      <c r="CG3364" s="6"/>
      <c r="CH3364" s="6"/>
      <c r="CI3364" s="6"/>
      <c r="CJ3364" s="6"/>
      <c r="CK3364" s="6"/>
      <c r="CL3364" s="6"/>
      <c r="CM3364" s="6"/>
      <c r="CN3364" s="6"/>
      <c r="CO3364" s="6"/>
      <c r="CP3364" s="6"/>
      <c r="CQ3364" s="6"/>
      <c r="CR3364" s="6"/>
      <c r="CS3364" s="6"/>
      <c r="CT3364" s="6"/>
      <c r="CU3364" s="6"/>
      <c r="CV3364" s="6"/>
      <c r="CW3364" s="6"/>
      <c r="CX3364" s="6"/>
      <c r="CY3364" s="6"/>
      <c r="CZ3364" s="6"/>
      <c r="DA3364" s="6"/>
      <c r="DB3364" s="6"/>
      <c r="DC3364" s="6"/>
      <c r="DD3364" s="6"/>
    </row>
    <row r="3365" spans="1:108" ht="12.75" hidden="1" customHeight="1" outlineLevel="4">
      <c r="A3365" s="104" t="s">
        <v>62</v>
      </c>
      <c r="B3365" s="105">
        <v>0</v>
      </c>
      <c r="C3365" s="12"/>
      <c r="D3365" s="18" t="str">
        <f t="shared" si="198"/>
        <v>&lt;Rot_X&gt;0.000000&lt;/Rot_X&gt;</v>
      </c>
      <c r="F3365" s="6"/>
      <c r="G3365" s="6"/>
      <c r="H3365" s="6"/>
      <c r="I3365" s="6"/>
      <c r="J3365" s="6"/>
      <c r="K3365" s="6"/>
      <c r="L3365" s="6"/>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c r="BU3365" s="6"/>
      <c r="BV3365" s="6"/>
      <c r="BW3365" s="6"/>
      <c r="BX3365" s="6"/>
      <c r="BY3365" s="6"/>
      <c r="BZ3365" s="6"/>
      <c r="CA3365" s="6"/>
      <c r="CB3365" s="6"/>
      <c r="CC3365" s="6"/>
      <c r="CD3365" s="6"/>
      <c r="CE3365" s="6"/>
      <c r="CF3365" s="6"/>
      <c r="CG3365" s="6"/>
      <c r="CH3365" s="6"/>
      <c r="CI3365" s="6"/>
      <c r="CJ3365" s="6"/>
      <c r="CK3365" s="6"/>
      <c r="CL3365" s="6"/>
      <c r="CM3365" s="6"/>
      <c r="CN3365" s="6"/>
      <c r="CO3365" s="6"/>
      <c r="CP3365" s="6"/>
      <c r="CQ3365" s="6"/>
      <c r="CR3365" s="6"/>
      <c r="CS3365" s="6"/>
      <c r="CT3365" s="6"/>
      <c r="CU3365" s="6"/>
      <c r="CV3365" s="6"/>
      <c r="CW3365" s="6"/>
      <c r="CX3365" s="6"/>
      <c r="CY3365" s="6"/>
      <c r="CZ3365" s="6"/>
      <c r="DA3365" s="6"/>
      <c r="DB3365" s="6"/>
      <c r="DC3365" s="6"/>
      <c r="DD3365" s="6"/>
    </row>
    <row r="3366" spans="1:108" ht="12.75" hidden="1" customHeight="1" outlineLevel="4">
      <c r="A3366" s="104" t="s">
        <v>63</v>
      </c>
      <c r="B3366" s="105">
        <v>0</v>
      </c>
      <c r="C3366" s="12"/>
      <c r="D3366" s="18" t="str">
        <f t="shared" si="198"/>
        <v>&lt;Rot_Y&gt;0.000000&lt;/Rot_Y&gt;</v>
      </c>
      <c r="F3366" s="6"/>
      <c r="G3366" s="6"/>
      <c r="H3366" s="6"/>
      <c r="I3366" s="6"/>
      <c r="J3366" s="6"/>
      <c r="K3366" s="6"/>
      <c r="L3366" s="6"/>
      <c r="M3366" s="6"/>
      <c r="N3366" s="6"/>
      <c r="O3366" s="6"/>
      <c r="P3366" s="6"/>
      <c r="Q3366" s="6"/>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c r="BU3366" s="6"/>
      <c r="BV3366" s="6"/>
      <c r="BW3366" s="6"/>
      <c r="BX3366" s="6"/>
      <c r="BY3366" s="6"/>
      <c r="BZ3366" s="6"/>
      <c r="CA3366" s="6"/>
      <c r="CB3366" s="6"/>
      <c r="CC3366" s="6"/>
      <c r="CD3366" s="6"/>
      <c r="CE3366" s="6"/>
      <c r="CF3366" s="6"/>
      <c r="CG3366" s="6"/>
      <c r="CH3366" s="6"/>
      <c r="CI3366" s="6"/>
      <c r="CJ3366" s="6"/>
      <c r="CK3366" s="6"/>
      <c r="CL3366" s="6"/>
      <c r="CM3366" s="6"/>
      <c r="CN3366" s="6"/>
      <c r="CO3366" s="6"/>
      <c r="CP3366" s="6"/>
      <c r="CQ3366" s="6"/>
      <c r="CR3366" s="6"/>
      <c r="CS3366" s="6"/>
      <c r="CT3366" s="6"/>
      <c r="CU3366" s="6"/>
      <c r="CV3366" s="6"/>
      <c r="CW3366" s="6"/>
      <c r="CX3366" s="6"/>
      <c r="CY3366" s="6"/>
      <c r="CZ3366" s="6"/>
      <c r="DA3366" s="6"/>
      <c r="DB3366" s="6"/>
      <c r="DC3366" s="6"/>
      <c r="DD3366" s="6"/>
    </row>
    <row r="3367" spans="1:108" ht="12.75" hidden="1" customHeight="1" outlineLevel="4">
      <c r="A3367" s="104" t="s">
        <v>64</v>
      </c>
      <c r="B3367" s="105">
        <v>90</v>
      </c>
      <c r="C3367" s="12"/>
      <c r="D3367" s="18" t="str">
        <f t="shared" si="198"/>
        <v>&lt;Rot_Z&gt;90.000000&lt;/Rot_Z&gt;</v>
      </c>
      <c r="F3367" s="6"/>
      <c r="G3367" s="6"/>
      <c r="H3367" s="6"/>
      <c r="I3367" s="6"/>
      <c r="J3367" s="6"/>
      <c r="K3367" s="6"/>
      <c r="L3367" s="6"/>
      <c r="M3367" s="6"/>
      <c r="N3367" s="6"/>
      <c r="O3367" s="6"/>
      <c r="P3367" s="6"/>
      <c r="Q3367" s="6"/>
      <c r="R3367" s="6"/>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c r="BU3367" s="6"/>
      <c r="BV3367" s="6"/>
      <c r="BW3367" s="6"/>
      <c r="BX3367" s="6"/>
      <c r="BY3367" s="6"/>
      <c r="BZ3367" s="6"/>
      <c r="CA3367" s="6"/>
      <c r="CB3367" s="6"/>
      <c r="CC3367" s="6"/>
      <c r="CD3367" s="6"/>
      <c r="CE3367" s="6"/>
      <c r="CF3367" s="6"/>
      <c r="CG3367" s="6"/>
      <c r="CH3367" s="6"/>
      <c r="CI3367" s="6"/>
      <c r="CJ3367" s="6"/>
      <c r="CK3367" s="6"/>
      <c r="CL3367" s="6"/>
      <c r="CM3367" s="6"/>
      <c r="CN3367" s="6"/>
      <c r="CO3367" s="6"/>
      <c r="CP3367" s="6"/>
      <c r="CQ3367" s="6"/>
      <c r="CR3367" s="6"/>
      <c r="CS3367" s="6"/>
      <c r="CT3367" s="6"/>
      <c r="CU3367" s="6"/>
      <c r="CV3367" s="6"/>
      <c r="CW3367" s="6"/>
      <c r="CX3367" s="6"/>
      <c r="CY3367" s="6"/>
      <c r="CZ3367" s="6"/>
      <c r="DA3367" s="6"/>
      <c r="DB3367" s="6"/>
      <c r="DC3367" s="6"/>
      <c r="DD3367" s="6"/>
    </row>
    <row r="3368" spans="1:108" ht="12.75" hidden="1" customHeight="1" outlineLevel="4">
      <c r="A3368" s="104" t="s">
        <v>65</v>
      </c>
      <c r="B3368" s="105">
        <v>0</v>
      </c>
      <c r="C3368" s="12"/>
      <c r="D3368" s="18" t="str">
        <f t="shared" si="198"/>
        <v>&lt;RotRel_X&gt;0.000000&lt;/RotRel_X&gt;</v>
      </c>
      <c r="F3368" s="6"/>
      <c r="G3368" s="6"/>
      <c r="H3368" s="6"/>
      <c r="I3368" s="6"/>
      <c r="J3368" s="6"/>
      <c r="K3368" s="6"/>
      <c r="L3368" s="6"/>
      <c r="M3368" s="6"/>
      <c r="N3368" s="6"/>
      <c r="O3368" s="6"/>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c r="BU3368" s="6"/>
      <c r="BV3368" s="6"/>
      <c r="BW3368" s="6"/>
      <c r="BX3368" s="6"/>
      <c r="BY3368" s="6"/>
      <c r="BZ3368" s="6"/>
      <c r="CA3368" s="6"/>
      <c r="CB3368" s="6"/>
      <c r="CC3368" s="6"/>
      <c r="CD3368" s="6"/>
      <c r="CE3368" s="6"/>
      <c r="CF3368" s="6"/>
      <c r="CG3368" s="6"/>
      <c r="CH3368" s="6"/>
      <c r="CI3368" s="6"/>
      <c r="CJ3368" s="6"/>
      <c r="CK3368" s="6"/>
      <c r="CL3368" s="6"/>
      <c r="CM3368" s="6"/>
      <c r="CN3368" s="6"/>
      <c r="CO3368" s="6"/>
      <c r="CP3368" s="6"/>
      <c r="CQ3368" s="6"/>
      <c r="CR3368" s="6"/>
      <c r="CS3368" s="6"/>
      <c r="CT3368" s="6"/>
      <c r="CU3368" s="6"/>
      <c r="CV3368" s="6"/>
      <c r="CW3368" s="6"/>
      <c r="CX3368" s="6"/>
      <c r="CY3368" s="6"/>
      <c r="CZ3368" s="6"/>
      <c r="DA3368" s="6"/>
      <c r="DB3368" s="6"/>
      <c r="DC3368" s="6"/>
      <c r="DD3368" s="6"/>
    </row>
    <row r="3369" spans="1:108" ht="12.75" hidden="1" customHeight="1" outlineLevel="4">
      <c r="A3369" s="104" t="s">
        <v>66</v>
      </c>
      <c r="B3369" s="105">
        <v>0</v>
      </c>
      <c r="C3369" s="12"/>
      <c r="D3369" s="18" t="str">
        <f t="shared" si="198"/>
        <v>&lt;RotRel_Y&gt;0.000000&lt;/RotRel_Y&gt;</v>
      </c>
      <c r="F3369" s="6"/>
      <c r="G3369" s="6"/>
      <c r="H3369" s="6"/>
      <c r="I3369" s="6"/>
      <c r="J3369" s="6"/>
      <c r="K3369" s="6"/>
      <c r="L3369" s="6"/>
      <c r="M3369" s="6"/>
      <c r="N3369" s="6"/>
      <c r="O3369" s="6"/>
      <c r="P3369" s="6"/>
      <c r="Q3369" s="6"/>
      <c r="R3369" s="6"/>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c r="BU3369" s="6"/>
      <c r="BV3369" s="6"/>
      <c r="BW3369" s="6"/>
      <c r="BX3369" s="6"/>
      <c r="BY3369" s="6"/>
      <c r="BZ3369" s="6"/>
      <c r="CA3369" s="6"/>
      <c r="CB3369" s="6"/>
      <c r="CC3369" s="6"/>
      <c r="CD3369" s="6"/>
      <c r="CE3369" s="6"/>
      <c r="CF3369" s="6"/>
      <c r="CG3369" s="6"/>
      <c r="CH3369" s="6"/>
      <c r="CI3369" s="6"/>
      <c r="CJ3369" s="6"/>
      <c r="CK3369" s="6"/>
      <c r="CL3369" s="6"/>
      <c r="CM3369" s="6"/>
      <c r="CN3369" s="6"/>
      <c r="CO3369" s="6"/>
      <c r="CP3369" s="6"/>
      <c r="CQ3369" s="6"/>
      <c r="CR3369" s="6"/>
      <c r="CS3369" s="6"/>
      <c r="CT3369" s="6"/>
      <c r="CU3369" s="6"/>
      <c r="CV3369" s="6"/>
      <c r="CW3369" s="6"/>
      <c r="CX3369" s="6"/>
      <c r="CY3369" s="6"/>
      <c r="CZ3369" s="6"/>
      <c r="DA3369" s="6"/>
      <c r="DB3369" s="6"/>
      <c r="DC3369" s="6"/>
      <c r="DD3369" s="6"/>
    </row>
    <row r="3370" spans="1:108" ht="12.75" hidden="1" customHeight="1" outlineLevel="4">
      <c r="A3370" s="104" t="s">
        <v>67</v>
      </c>
      <c r="B3370" s="105">
        <v>0</v>
      </c>
      <c r="C3370" s="12"/>
      <c r="D3370" s="18" t="str">
        <f t="shared" si="198"/>
        <v>&lt;RotRel_Z&gt;0.000000&lt;/RotRel_Z&gt;</v>
      </c>
      <c r="F3370" s="6"/>
      <c r="G3370" s="6"/>
      <c r="H3370" s="6"/>
      <c r="I3370" s="6"/>
      <c r="J3370" s="6"/>
      <c r="K3370" s="6"/>
      <c r="L3370" s="6"/>
      <c r="M3370" s="6"/>
      <c r="N3370" s="6"/>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c r="BU3370" s="6"/>
      <c r="BV3370" s="6"/>
      <c r="BW3370" s="6"/>
      <c r="BX3370" s="6"/>
      <c r="BY3370" s="6"/>
      <c r="BZ3370" s="6"/>
      <c r="CA3370" s="6"/>
      <c r="CB3370" s="6"/>
      <c r="CC3370" s="6"/>
      <c r="CD3370" s="6"/>
      <c r="CE3370" s="6"/>
      <c r="CF3370" s="6"/>
      <c r="CG3370" s="6"/>
      <c r="CH3370" s="6"/>
      <c r="CI3370" s="6"/>
      <c r="CJ3370" s="6"/>
      <c r="CK3370" s="6"/>
      <c r="CL3370" s="6"/>
      <c r="CM3370" s="6"/>
      <c r="CN3370" s="6"/>
      <c r="CO3370" s="6"/>
      <c r="CP3370" s="6"/>
      <c r="CQ3370" s="6"/>
      <c r="CR3370" s="6"/>
      <c r="CS3370" s="6"/>
      <c r="CT3370" s="6"/>
      <c r="CU3370" s="6"/>
      <c r="CV3370" s="6"/>
      <c r="CW3370" s="6"/>
      <c r="CX3370" s="6"/>
      <c r="CY3370" s="6"/>
      <c r="CZ3370" s="6"/>
      <c r="DA3370" s="6"/>
      <c r="DB3370" s="6"/>
      <c r="DC3370" s="6"/>
      <c r="DD3370" s="6"/>
    </row>
    <row r="3371" spans="1:108" ht="12.75" hidden="1" customHeight="1" outlineLevel="4">
      <c r="A3371" s="104" t="s">
        <v>68</v>
      </c>
      <c r="B3371" s="105">
        <v>0</v>
      </c>
      <c r="C3371" s="12"/>
      <c r="D3371" s="18" t="str">
        <f t="shared" si="198"/>
        <v>&lt;Origin&gt;0.000000&lt;/Origin&gt;</v>
      </c>
      <c r="F3371" s="6"/>
      <c r="G3371" s="6"/>
      <c r="H3371" s="6"/>
      <c r="I3371" s="6"/>
      <c r="J3371" s="6"/>
      <c r="K3371" s="6"/>
      <c r="L3371" s="6"/>
      <c r="M3371" s="6"/>
      <c r="N3371" s="6"/>
      <c r="O3371" s="6"/>
      <c r="P3371" s="6"/>
      <c r="Q3371" s="6"/>
      <c r="R3371" s="6"/>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c r="BU3371" s="6"/>
      <c r="BV3371" s="6"/>
      <c r="BW3371" s="6"/>
      <c r="BX3371" s="6"/>
      <c r="BY3371" s="6"/>
      <c r="BZ3371" s="6"/>
      <c r="CA3371" s="6"/>
      <c r="CB3371" s="6"/>
      <c r="CC3371" s="6"/>
      <c r="CD3371" s="6"/>
      <c r="CE3371" s="6"/>
      <c r="CF3371" s="6"/>
      <c r="CG3371" s="6"/>
      <c r="CH3371" s="6"/>
      <c r="CI3371" s="6"/>
      <c r="CJ3371" s="6"/>
      <c r="CK3371" s="6"/>
      <c r="CL3371" s="6"/>
      <c r="CM3371" s="6"/>
      <c r="CN3371" s="6"/>
      <c r="CO3371" s="6"/>
      <c r="CP3371" s="6"/>
      <c r="CQ3371" s="6"/>
      <c r="CR3371" s="6"/>
      <c r="CS3371" s="6"/>
      <c r="CT3371" s="6"/>
      <c r="CU3371" s="6"/>
      <c r="CV3371" s="6"/>
      <c r="CW3371" s="6"/>
      <c r="CX3371" s="6"/>
      <c r="CY3371" s="6"/>
      <c r="CZ3371" s="6"/>
      <c r="DA3371" s="6"/>
      <c r="DB3371" s="6"/>
      <c r="DC3371" s="6"/>
      <c r="DD3371" s="6"/>
    </row>
    <row r="3372" spans="1:108" ht="12.75" hidden="1" customHeight="1" outlineLevel="4">
      <c r="A3372" s="104" t="s">
        <v>69</v>
      </c>
      <c r="B3372" s="105">
        <v>1</v>
      </c>
      <c r="C3372" s="12"/>
      <c r="D3372" s="18" t="str">
        <f t="shared" si="198"/>
        <v>&lt;Density&gt;1.000000&lt;/Density&gt;</v>
      </c>
      <c r="F3372" s="6"/>
      <c r="G3372" s="6"/>
      <c r="H3372" s="6"/>
      <c r="I3372" s="6"/>
      <c r="J3372" s="6"/>
      <c r="K3372" s="6"/>
      <c r="L3372" s="6"/>
      <c r="M3372" s="6"/>
      <c r="N3372" s="6"/>
      <c r="O3372" s="6"/>
      <c r="P3372" s="6"/>
      <c r="Q3372" s="6"/>
      <c r="R3372" s="6"/>
      <c r="S3372" s="6"/>
      <c r="T3372" s="6"/>
      <c r="U3372" s="6"/>
      <c r="V3372" s="6"/>
      <c r="W3372" s="6"/>
      <c r="X3372" s="6"/>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c r="BU3372" s="6"/>
      <c r="BV3372" s="6"/>
      <c r="BW3372" s="6"/>
      <c r="BX3372" s="6"/>
      <c r="BY3372" s="6"/>
      <c r="BZ3372" s="6"/>
      <c r="CA3372" s="6"/>
      <c r="CB3372" s="6"/>
      <c r="CC3372" s="6"/>
      <c r="CD3372" s="6"/>
      <c r="CE3372" s="6"/>
      <c r="CF3372" s="6"/>
      <c r="CG3372" s="6"/>
      <c r="CH3372" s="6"/>
      <c r="CI3372" s="6"/>
      <c r="CJ3372" s="6"/>
      <c r="CK3372" s="6"/>
      <c r="CL3372" s="6"/>
      <c r="CM3372" s="6"/>
      <c r="CN3372" s="6"/>
      <c r="CO3372" s="6"/>
      <c r="CP3372" s="6"/>
      <c r="CQ3372" s="6"/>
      <c r="CR3372" s="6"/>
      <c r="CS3372" s="6"/>
      <c r="CT3372" s="6"/>
      <c r="CU3372" s="6"/>
      <c r="CV3372" s="6"/>
      <c r="CW3372" s="6"/>
      <c r="CX3372" s="6"/>
      <c r="CY3372" s="6"/>
      <c r="CZ3372" s="6"/>
      <c r="DA3372" s="6"/>
      <c r="DB3372" s="6"/>
      <c r="DC3372" s="6"/>
      <c r="DD3372" s="6"/>
    </row>
    <row r="3373" spans="1:108" ht="12.75" hidden="1" customHeight="1" outlineLevel="4">
      <c r="A3373" s="104" t="s">
        <v>70</v>
      </c>
      <c r="B3373" s="105">
        <v>1</v>
      </c>
      <c r="C3373" s="12"/>
      <c r="D3373" s="18" t="str">
        <f t="shared" si="198"/>
        <v>&lt;ShellMassArea&gt;1.000000&lt;/ShellMassArea&gt;</v>
      </c>
      <c r="F3373" s="6"/>
      <c r="G3373" s="6"/>
      <c r="H3373" s="6"/>
      <c r="I3373" s="6"/>
      <c r="J3373" s="6"/>
      <c r="K3373" s="6"/>
      <c r="L3373" s="6"/>
      <c r="M3373" s="6"/>
      <c r="N3373" s="6"/>
      <c r="O3373" s="6"/>
      <c r="P3373" s="6"/>
      <c r="Q3373" s="6"/>
      <c r="R3373" s="6"/>
      <c r="S3373" s="6"/>
      <c r="T3373" s="6"/>
      <c r="U3373" s="6"/>
      <c r="V3373" s="6"/>
      <c r="W3373" s="6"/>
      <c r="X3373" s="6"/>
      <c r="Y3373" s="6"/>
      <c r="Z3373" s="6"/>
      <c r="AA3373" s="6"/>
      <c r="AB3373" s="6"/>
      <c r="AC3373" s="6"/>
      <c r="AD3373" s="6"/>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c r="BU3373" s="6"/>
      <c r="BV3373" s="6"/>
      <c r="BW3373" s="6"/>
      <c r="BX3373" s="6"/>
      <c r="BY3373" s="6"/>
      <c r="BZ3373" s="6"/>
      <c r="CA3373" s="6"/>
      <c r="CB3373" s="6"/>
      <c r="CC3373" s="6"/>
      <c r="CD3373" s="6"/>
      <c r="CE3373" s="6"/>
      <c r="CF3373" s="6"/>
      <c r="CG3373" s="6"/>
      <c r="CH3373" s="6"/>
      <c r="CI3373" s="6"/>
      <c r="CJ3373" s="6"/>
      <c r="CK3373" s="6"/>
      <c r="CL3373" s="6"/>
      <c r="CM3373" s="6"/>
      <c r="CN3373" s="6"/>
      <c r="CO3373" s="6"/>
      <c r="CP3373" s="6"/>
      <c r="CQ3373" s="6"/>
      <c r="CR3373" s="6"/>
      <c r="CS3373" s="6"/>
      <c r="CT3373" s="6"/>
      <c r="CU3373" s="6"/>
      <c r="CV3373" s="6"/>
      <c r="CW3373" s="6"/>
      <c r="CX3373" s="6"/>
      <c r="CY3373" s="6"/>
      <c r="CZ3373" s="6"/>
      <c r="DA3373" s="6"/>
      <c r="DB3373" s="6"/>
      <c r="DC3373" s="6"/>
      <c r="DD3373" s="6"/>
    </row>
    <row r="3374" spans="1:108" ht="12.75" hidden="1" customHeight="1" outlineLevel="4">
      <c r="A3374" s="104" t="s">
        <v>71</v>
      </c>
      <c r="B3374" s="105">
        <v>0</v>
      </c>
      <c r="C3374" s="12"/>
      <c r="D3374" s="18" t="str">
        <f>"&lt;" &amp; A3374 &amp; "&gt;" &amp; TEXT(B3374,0) &amp; "&lt;/" &amp; A3374 &amp; "&gt;"</f>
        <v>&lt;RefFlag&gt;0&lt;/RefFlag&gt;</v>
      </c>
      <c r="F3374" s="6"/>
      <c r="G3374" s="6"/>
      <c r="H3374" s="6"/>
      <c r="I3374" s="6"/>
      <c r="J3374" s="6"/>
      <c r="K3374" s="6"/>
      <c r="L3374" s="6"/>
      <c r="M3374" s="6"/>
      <c r="N3374" s="6"/>
      <c r="O3374" s="6"/>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c r="BU3374" s="6"/>
      <c r="BV3374" s="6"/>
      <c r="BW3374" s="6"/>
      <c r="BX3374" s="6"/>
      <c r="BY3374" s="6"/>
      <c r="BZ3374" s="6"/>
      <c r="CA3374" s="6"/>
      <c r="CB3374" s="6"/>
      <c r="CC3374" s="6"/>
      <c r="CD3374" s="6"/>
      <c r="CE3374" s="6"/>
      <c r="CF3374" s="6"/>
      <c r="CG3374" s="6"/>
      <c r="CH3374" s="6"/>
      <c r="CI3374" s="6"/>
      <c r="CJ3374" s="6"/>
      <c r="CK3374" s="6"/>
      <c r="CL3374" s="6"/>
      <c r="CM3374" s="6"/>
      <c r="CN3374" s="6"/>
      <c r="CO3374" s="6"/>
      <c r="CP3374" s="6"/>
      <c r="CQ3374" s="6"/>
      <c r="CR3374" s="6"/>
      <c r="CS3374" s="6"/>
      <c r="CT3374" s="6"/>
      <c r="CU3374" s="6"/>
      <c r="CV3374" s="6"/>
      <c r="CW3374" s="6"/>
      <c r="CX3374" s="6"/>
      <c r="CY3374" s="6"/>
      <c r="CZ3374" s="6"/>
      <c r="DA3374" s="6"/>
      <c r="DB3374" s="6"/>
      <c r="DC3374" s="6"/>
      <c r="DD3374" s="6"/>
    </row>
    <row r="3375" spans="1:108" ht="12.75" hidden="1" customHeight="1" outlineLevel="4">
      <c r="A3375" s="104" t="s">
        <v>72</v>
      </c>
      <c r="B3375" s="105">
        <v>100</v>
      </c>
      <c r="C3375" s="12"/>
      <c r="D3375" s="18" t="str">
        <f>"&lt;" &amp; A3375 &amp; "&gt;" &amp; TEXT(B3375,"0.000000") &amp; "&lt;/" &amp; A3375 &amp; "&gt;"</f>
        <v>&lt;RefArea&gt;100.000000&lt;/RefArea&gt;</v>
      </c>
      <c r="F3375" s="6"/>
      <c r="G3375" s="6"/>
      <c r="H3375" s="6"/>
      <c r="I3375" s="6"/>
      <c r="J3375" s="6"/>
      <c r="K3375" s="6"/>
      <c r="L3375" s="6"/>
      <c r="M3375" s="6"/>
      <c r="N3375" s="6"/>
      <c r="O3375" s="6"/>
      <c r="P3375" s="6"/>
      <c r="Q3375" s="6"/>
      <c r="R3375" s="6"/>
      <c r="S3375" s="6"/>
      <c r="T3375" s="6"/>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c r="BU3375" s="6"/>
      <c r="BV3375" s="6"/>
      <c r="BW3375" s="6"/>
      <c r="BX3375" s="6"/>
      <c r="BY3375" s="6"/>
      <c r="BZ3375" s="6"/>
      <c r="CA3375" s="6"/>
      <c r="CB3375" s="6"/>
      <c r="CC3375" s="6"/>
      <c r="CD3375" s="6"/>
      <c r="CE3375" s="6"/>
      <c r="CF3375" s="6"/>
      <c r="CG3375" s="6"/>
      <c r="CH3375" s="6"/>
      <c r="CI3375" s="6"/>
      <c r="CJ3375" s="6"/>
      <c r="CK3375" s="6"/>
      <c r="CL3375" s="6"/>
      <c r="CM3375" s="6"/>
      <c r="CN3375" s="6"/>
      <c r="CO3375" s="6"/>
      <c r="CP3375" s="6"/>
      <c r="CQ3375" s="6"/>
      <c r="CR3375" s="6"/>
      <c r="CS3375" s="6"/>
      <c r="CT3375" s="6"/>
      <c r="CU3375" s="6"/>
      <c r="CV3375" s="6"/>
      <c r="CW3375" s="6"/>
      <c r="CX3375" s="6"/>
      <c r="CY3375" s="6"/>
      <c r="CZ3375" s="6"/>
      <c r="DA3375" s="6"/>
      <c r="DB3375" s="6"/>
      <c r="DC3375" s="6"/>
      <c r="DD3375" s="6"/>
    </row>
    <row r="3376" spans="1:108" ht="12.75" hidden="1" customHeight="1" outlineLevel="4">
      <c r="A3376" s="104" t="s">
        <v>73</v>
      </c>
      <c r="B3376" s="105">
        <v>10</v>
      </c>
      <c r="C3376" s="12"/>
      <c r="D3376" s="18" t="str">
        <f>"&lt;" &amp; A3376 &amp; "&gt;" &amp; TEXT(B3376,"0.000000") &amp; "&lt;/" &amp; A3376 &amp; "&gt;"</f>
        <v>&lt;RefSpan&gt;10.000000&lt;/RefSpan&gt;</v>
      </c>
      <c r="F3376" s="6"/>
      <c r="G3376" s="6"/>
      <c r="H3376" s="6"/>
      <c r="I3376" s="6"/>
      <c r="J3376" s="6"/>
      <c r="K3376" s="6"/>
      <c r="L3376" s="6"/>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c r="BU3376" s="6"/>
      <c r="BV3376" s="6"/>
      <c r="BW3376" s="6"/>
      <c r="BX3376" s="6"/>
      <c r="BY3376" s="6"/>
      <c r="BZ3376" s="6"/>
      <c r="CA3376" s="6"/>
      <c r="CB3376" s="6"/>
      <c r="CC3376" s="6"/>
      <c r="CD3376" s="6"/>
      <c r="CE3376" s="6"/>
      <c r="CF3376" s="6"/>
      <c r="CG3376" s="6"/>
      <c r="CH3376" s="6"/>
      <c r="CI3376" s="6"/>
      <c r="CJ3376" s="6"/>
      <c r="CK3376" s="6"/>
      <c r="CL3376" s="6"/>
      <c r="CM3376" s="6"/>
      <c r="CN3376" s="6"/>
      <c r="CO3376" s="6"/>
      <c r="CP3376" s="6"/>
      <c r="CQ3376" s="6"/>
      <c r="CR3376" s="6"/>
      <c r="CS3376" s="6"/>
      <c r="CT3376" s="6"/>
      <c r="CU3376" s="6"/>
      <c r="CV3376" s="6"/>
      <c r="CW3376" s="6"/>
      <c r="CX3376" s="6"/>
      <c r="CY3376" s="6"/>
      <c r="CZ3376" s="6"/>
      <c r="DA3376" s="6"/>
      <c r="DB3376" s="6"/>
      <c r="DC3376" s="6"/>
      <c r="DD3376" s="6"/>
    </row>
    <row r="3377" spans="1:108" ht="12.75" hidden="1" customHeight="1" outlineLevel="4">
      <c r="A3377" s="104" t="s">
        <v>74</v>
      </c>
      <c r="B3377" s="105">
        <v>1</v>
      </c>
      <c r="C3377" s="12"/>
      <c r="D3377" s="18" t="str">
        <f>"&lt;" &amp; A3377 &amp; "&gt;" &amp; TEXT(B3377,"0.000000") &amp; "&lt;/" &amp; A3377 &amp; "&gt;"</f>
        <v>&lt;RefCbar&gt;1.000000&lt;/RefCbar&gt;</v>
      </c>
      <c r="F3377" s="6"/>
      <c r="G3377" s="6"/>
      <c r="H3377" s="6"/>
      <c r="I3377" s="6"/>
      <c r="J3377" s="6"/>
      <c r="K3377" s="6"/>
      <c r="L3377" s="6"/>
      <c r="M3377" s="6"/>
      <c r="N3377" s="6"/>
      <c r="O3377" s="6"/>
      <c r="P3377" s="6"/>
      <c r="Q3377" s="6"/>
      <c r="R3377" s="6"/>
      <c r="S3377" s="6"/>
      <c r="T3377" s="6"/>
      <c r="U3377" s="6"/>
      <c r="V3377" s="6"/>
      <c r="W3377" s="6"/>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c r="BU3377" s="6"/>
      <c r="BV3377" s="6"/>
      <c r="BW3377" s="6"/>
      <c r="BX3377" s="6"/>
      <c r="BY3377" s="6"/>
      <c r="BZ3377" s="6"/>
      <c r="CA3377" s="6"/>
      <c r="CB3377" s="6"/>
      <c r="CC3377" s="6"/>
      <c r="CD3377" s="6"/>
      <c r="CE3377" s="6"/>
      <c r="CF3377" s="6"/>
      <c r="CG3377" s="6"/>
      <c r="CH3377" s="6"/>
      <c r="CI3377" s="6"/>
      <c r="CJ3377" s="6"/>
      <c r="CK3377" s="6"/>
      <c r="CL3377" s="6"/>
      <c r="CM3377" s="6"/>
      <c r="CN3377" s="6"/>
      <c r="CO3377" s="6"/>
      <c r="CP3377" s="6"/>
      <c r="CQ3377" s="6"/>
      <c r="CR3377" s="6"/>
      <c r="CS3377" s="6"/>
      <c r="CT3377" s="6"/>
      <c r="CU3377" s="6"/>
      <c r="CV3377" s="6"/>
      <c r="CW3377" s="6"/>
      <c r="CX3377" s="6"/>
      <c r="CY3377" s="6"/>
      <c r="CZ3377" s="6"/>
      <c r="DA3377" s="6"/>
      <c r="DB3377" s="6"/>
      <c r="DC3377" s="6"/>
      <c r="DD3377" s="6"/>
    </row>
    <row r="3378" spans="1:108" ht="12.75" hidden="1" customHeight="1" outlineLevel="4">
      <c r="A3378" s="104" t="s">
        <v>75</v>
      </c>
      <c r="B3378" s="105">
        <v>1</v>
      </c>
      <c r="C3378" s="12"/>
      <c r="D3378" s="18" t="str">
        <f>"&lt;" &amp; A3378 &amp; "&gt;" &amp; TEXT(B3378,0) &amp; "&lt;/" &amp; A3378 &amp; "&gt;"</f>
        <v>&lt;AutoRefAreaFlag&gt;1&lt;/AutoRefAreaFlag&gt;</v>
      </c>
      <c r="F3378" s="6"/>
      <c r="G3378" s="6"/>
      <c r="H3378" s="6"/>
      <c r="I3378" s="6"/>
      <c r="J3378" s="6"/>
      <c r="K3378" s="6"/>
      <c r="L3378" s="6"/>
      <c r="M3378" s="6"/>
      <c r="N3378" s="6"/>
      <c r="O3378" s="6"/>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c r="BU3378" s="6"/>
      <c r="BV3378" s="6"/>
      <c r="BW3378" s="6"/>
      <c r="BX3378" s="6"/>
      <c r="BY3378" s="6"/>
      <c r="BZ3378" s="6"/>
      <c r="CA3378" s="6"/>
      <c r="CB3378" s="6"/>
      <c r="CC3378" s="6"/>
      <c r="CD3378" s="6"/>
      <c r="CE3378" s="6"/>
      <c r="CF3378" s="6"/>
      <c r="CG3378" s="6"/>
      <c r="CH3378" s="6"/>
      <c r="CI3378" s="6"/>
      <c r="CJ3378" s="6"/>
      <c r="CK3378" s="6"/>
      <c r="CL3378" s="6"/>
      <c r="CM3378" s="6"/>
      <c r="CN3378" s="6"/>
      <c r="CO3378" s="6"/>
      <c r="CP3378" s="6"/>
      <c r="CQ3378" s="6"/>
      <c r="CR3378" s="6"/>
      <c r="CS3378" s="6"/>
      <c r="CT3378" s="6"/>
      <c r="CU3378" s="6"/>
      <c r="CV3378" s="6"/>
      <c r="CW3378" s="6"/>
      <c r="CX3378" s="6"/>
      <c r="CY3378" s="6"/>
      <c r="CZ3378" s="6"/>
      <c r="DA3378" s="6"/>
      <c r="DB3378" s="6"/>
      <c r="DC3378" s="6"/>
      <c r="DD3378" s="6"/>
    </row>
    <row r="3379" spans="1:108" ht="12.75" hidden="1" customHeight="1" outlineLevel="4">
      <c r="A3379" s="104" t="s">
        <v>76</v>
      </c>
      <c r="B3379" s="105">
        <v>1</v>
      </c>
      <c r="C3379" s="12"/>
      <c r="D3379" s="18" t="str">
        <f>"&lt;" &amp; A3379 &amp; "&gt;" &amp; TEXT(B3379,0) &amp; "&lt;/" &amp; A3379 &amp; "&gt;"</f>
        <v>&lt;AutoRefSpanFlag&gt;1&lt;/AutoRefSpanFlag&gt;</v>
      </c>
      <c r="F3379" s="6"/>
      <c r="G3379" s="6"/>
      <c r="H3379" s="6"/>
      <c r="I3379" s="6"/>
      <c r="J3379" s="6"/>
      <c r="K3379" s="6"/>
      <c r="L3379" s="6"/>
      <c r="M3379" s="6"/>
      <c r="N3379" s="6"/>
      <c r="O3379" s="6"/>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c r="BU3379" s="6"/>
      <c r="BV3379" s="6"/>
      <c r="BW3379" s="6"/>
      <c r="BX3379" s="6"/>
      <c r="BY3379" s="6"/>
      <c r="BZ3379" s="6"/>
      <c r="CA3379" s="6"/>
      <c r="CB3379" s="6"/>
      <c r="CC3379" s="6"/>
      <c r="CD3379" s="6"/>
      <c r="CE3379" s="6"/>
      <c r="CF3379" s="6"/>
      <c r="CG3379" s="6"/>
      <c r="CH3379" s="6"/>
      <c r="CI3379" s="6"/>
      <c r="CJ3379" s="6"/>
      <c r="CK3379" s="6"/>
      <c r="CL3379" s="6"/>
      <c r="CM3379" s="6"/>
      <c r="CN3379" s="6"/>
      <c r="CO3379" s="6"/>
      <c r="CP3379" s="6"/>
      <c r="CQ3379" s="6"/>
      <c r="CR3379" s="6"/>
      <c r="CS3379" s="6"/>
      <c r="CT3379" s="6"/>
      <c r="CU3379" s="6"/>
      <c r="CV3379" s="6"/>
      <c r="CW3379" s="6"/>
      <c r="CX3379" s="6"/>
      <c r="CY3379" s="6"/>
      <c r="CZ3379" s="6"/>
      <c r="DA3379" s="6"/>
      <c r="DB3379" s="6"/>
      <c r="DC3379" s="6"/>
      <c r="DD3379" s="6"/>
    </row>
    <row r="3380" spans="1:108" ht="12.75" hidden="1" customHeight="1" outlineLevel="4">
      <c r="A3380" s="104" t="s">
        <v>77</v>
      </c>
      <c r="B3380" s="105">
        <v>1</v>
      </c>
      <c r="C3380" s="12"/>
      <c r="D3380" s="18" t="str">
        <f>"&lt;" &amp; A3380 &amp; "&gt;" &amp; TEXT(B3380,0) &amp; "&lt;/" &amp; A3380 &amp; "&gt;"</f>
        <v>&lt;AutoRefCbarFlag&gt;1&lt;/AutoRefCbarFlag&gt;</v>
      </c>
      <c r="F3380" s="6"/>
      <c r="G3380" s="6"/>
      <c r="H3380" s="6"/>
      <c r="I3380" s="6"/>
      <c r="J3380" s="6"/>
      <c r="K3380" s="6"/>
      <c r="L3380" s="6"/>
      <c r="M3380" s="6"/>
      <c r="N3380" s="6"/>
      <c r="O3380" s="6"/>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c r="BU3380" s="6"/>
      <c r="BV3380" s="6"/>
      <c r="BW3380" s="6"/>
      <c r="BX3380" s="6"/>
      <c r="BY3380" s="6"/>
      <c r="BZ3380" s="6"/>
      <c r="CA3380" s="6"/>
      <c r="CB3380" s="6"/>
      <c r="CC3380" s="6"/>
      <c r="CD3380" s="6"/>
      <c r="CE3380" s="6"/>
      <c r="CF3380" s="6"/>
      <c r="CG3380" s="6"/>
      <c r="CH3380" s="6"/>
      <c r="CI3380" s="6"/>
      <c r="CJ3380" s="6"/>
      <c r="CK3380" s="6"/>
      <c r="CL3380" s="6"/>
      <c r="CM3380" s="6"/>
      <c r="CN3380" s="6"/>
      <c r="CO3380" s="6"/>
      <c r="CP3380" s="6"/>
      <c r="CQ3380" s="6"/>
      <c r="CR3380" s="6"/>
      <c r="CS3380" s="6"/>
      <c r="CT3380" s="6"/>
      <c r="CU3380" s="6"/>
      <c r="CV3380" s="6"/>
      <c r="CW3380" s="6"/>
      <c r="CX3380" s="6"/>
      <c r="CY3380" s="6"/>
      <c r="CZ3380" s="6"/>
      <c r="DA3380" s="6"/>
      <c r="DB3380" s="6"/>
      <c r="DC3380" s="6"/>
      <c r="DD3380" s="6"/>
    </row>
    <row r="3381" spans="1:108" ht="12.75" hidden="1" customHeight="1" outlineLevel="4">
      <c r="A3381" s="104" t="s">
        <v>78</v>
      </c>
      <c r="B3381" s="105">
        <v>0</v>
      </c>
      <c r="C3381" s="12"/>
      <c r="D3381" s="18" t="str">
        <f>"&lt;" &amp; A3381 &amp; "&gt;" &amp; TEXT(B3381,"0.000000") &amp; "&lt;/" &amp; A3381 &amp; "&gt;"</f>
        <v>&lt;AeroCenter_X&gt;0.000000&lt;/AeroCenter_X&gt;</v>
      </c>
      <c r="F3381" s="6"/>
      <c r="G3381" s="6"/>
      <c r="H3381" s="6"/>
      <c r="I3381" s="6"/>
      <c r="J3381" s="6"/>
      <c r="K3381" s="6"/>
      <c r="L3381" s="6"/>
      <c r="M3381" s="6"/>
      <c r="N3381" s="6"/>
      <c r="O3381" s="6"/>
      <c r="P3381" s="6"/>
      <c r="Q3381" s="6"/>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c r="BU3381" s="6"/>
      <c r="BV3381" s="6"/>
      <c r="BW3381" s="6"/>
      <c r="BX3381" s="6"/>
      <c r="BY3381" s="6"/>
      <c r="BZ3381" s="6"/>
      <c r="CA3381" s="6"/>
      <c r="CB3381" s="6"/>
      <c r="CC3381" s="6"/>
      <c r="CD3381" s="6"/>
      <c r="CE3381" s="6"/>
      <c r="CF3381" s="6"/>
      <c r="CG3381" s="6"/>
      <c r="CH3381" s="6"/>
      <c r="CI3381" s="6"/>
      <c r="CJ3381" s="6"/>
      <c r="CK3381" s="6"/>
      <c r="CL3381" s="6"/>
      <c r="CM3381" s="6"/>
      <c r="CN3381" s="6"/>
      <c r="CO3381" s="6"/>
      <c r="CP3381" s="6"/>
      <c r="CQ3381" s="6"/>
      <c r="CR3381" s="6"/>
      <c r="CS3381" s="6"/>
      <c r="CT3381" s="6"/>
      <c r="CU3381" s="6"/>
      <c r="CV3381" s="6"/>
      <c r="CW3381" s="6"/>
      <c r="CX3381" s="6"/>
      <c r="CY3381" s="6"/>
      <c r="CZ3381" s="6"/>
      <c r="DA3381" s="6"/>
      <c r="DB3381" s="6"/>
      <c r="DC3381" s="6"/>
      <c r="DD3381" s="6"/>
    </row>
    <row r="3382" spans="1:108" ht="12.75" hidden="1" customHeight="1" outlineLevel="4">
      <c r="A3382" s="104" t="s">
        <v>79</v>
      </c>
      <c r="B3382" s="105">
        <v>0</v>
      </c>
      <c r="C3382" s="12"/>
      <c r="D3382" s="18" t="str">
        <f>"&lt;" &amp; A3382 &amp; "&gt;" &amp; TEXT(B3382,"0.000000") &amp; "&lt;/" &amp; A3382 &amp; "&gt;"</f>
        <v>&lt;AeroCenter_Y&gt;0.000000&lt;/AeroCenter_Y&gt;</v>
      </c>
      <c r="F3382" s="6"/>
      <c r="G3382" s="6"/>
      <c r="H3382" s="6"/>
      <c r="I3382" s="6"/>
      <c r="J3382" s="6"/>
      <c r="K3382" s="6"/>
      <c r="L3382" s="6"/>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c r="BU3382" s="6"/>
      <c r="BV3382" s="6"/>
      <c r="BW3382" s="6"/>
      <c r="BX3382" s="6"/>
      <c r="BY3382" s="6"/>
      <c r="BZ3382" s="6"/>
      <c r="CA3382" s="6"/>
      <c r="CB3382" s="6"/>
      <c r="CC3382" s="6"/>
      <c r="CD3382" s="6"/>
      <c r="CE3382" s="6"/>
      <c r="CF3382" s="6"/>
      <c r="CG3382" s="6"/>
      <c r="CH3382" s="6"/>
      <c r="CI3382" s="6"/>
      <c r="CJ3382" s="6"/>
      <c r="CK3382" s="6"/>
      <c r="CL3382" s="6"/>
      <c r="CM3382" s="6"/>
      <c r="CN3382" s="6"/>
      <c r="CO3382" s="6"/>
      <c r="CP3382" s="6"/>
      <c r="CQ3382" s="6"/>
      <c r="CR3382" s="6"/>
      <c r="CS3382" s="6"/>
      <c r="CT3382" s="6"/>
      <c r="CU3382" s="6"/>
      <c r="CV3382" s="6"/>
      <c r="CW3382" s="6"/>
      <c r="CX3382" s="6"/>
      <c r="CY3382" s="6"/>
      <c r="CZ3382" s="6"/>
      <c r="DA3382" s="6"/>
      <c r="DB3382" s="6"/>
      <c r="DC3382" s="6"/>
      <c r="DD3382" s="6"/>
    </row>
    <row r="3383" spans="1:108" ht="12.75" hidden="1" customHeight="1" outlineLevel="4">
      <c r="A3383" s="104" t="s">
        <v>80</v>
      </c>
      <c r="B3383" s="105">
        <v>0</v>
      </c>
      <c r="C3383" s="12"/>
      <c r="D3383" s="18" t="str">
        <f>"&lt;" &amp; A3383 &amp; "&gt;" &amp; TEXT(B3383,"0.000000") &amp; "&lt;/" &amp; A3383 &amp; "&gt;"</f>
        <v>&lt;AeroCenter_Z&gt;0.000000&lt;/AeroCenter_Z&gt;</v>
      </c>
      <c r="F3383" s="6"/>
      <c r="G3383" s="6"/>
      <c r="H3383" s="6"/>
      <c r="I3383" s="6"/>
      <c r="J3383" s="6"/>
      <c r="K3383" s="6"/>
      <c r="L3383" s="6"/>
      <c r="M3383" s="6"/>
      <c r="N3383" s="6"/>
      <c r="O3383" s="6"/>
      <c r="P3383" s="6"/>
      <c r="Q3383" s="6"/>
      <c r="R3383" s="6"/>
      <c r="S3383" s="6"/>
      <c r="T3383" s="6"/>
      <c r="U3383" s="6"/>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c r="BU3383" s="6"/>
      <c r="BV3383" s="6"/>
      <c r="BW3383" s="6"/>
      <c r="BX3383" s="6"/>
      <c r="BY3383" s="6"/>
      <c r="BZ3383" s="6"/>
      <c r="CA3383" s="6"/>
      <c r="CB3383" s="6"/>
      <c r="CC3383" s="6"/>
      <c r="CD3383" s="6"/>
      <c r="CE3383" s="6"/>
      <c r="CF3383" s="6"/>
      <c r="CG3383" s="6"/>
      <c r="CH3383" s="6"/>
      <c r="CI3383" s="6"/>
      <c r="CJ3383" s="6"/>
      <c r="CK3383" s="6"/>
      <c r="CL3383" s="6"/>
      <c r="CM3383" s="6"/>
      <c r="CN3383" s="6"/>
      <c r="CO3383" s="6"/>
      <c r="CP3383" s="6"/>
      <c r="CQ3383" s="6"/>
      <c r="CR3383" s="6"/>
      <c r="CS3383" s="6"/>
      <c r="CT3383" s="6"/>
      <c r="CU3383" s="6"/>
      <c r="CV3383" s="6"/>
      <c r="CW3383" s="6"/>
      <c r="CX3383" s="6"/>
      <c r="CY3383" s="6"/>
      <c r="CZ3383" s="6"/>
      <c r="DA3383" s="6"/>
      <c r="DB3383" s="6"/>
      <c r="DC3383" s="6"/>
      <c r="DD3383" s="6"/>
    </row>
    <row r="3384" spans="1:108" ht="12.75" hidden="1" customHeight="1" outlineLevel="4">
      <c r="A3384" s="104" t="s">
        <v>81</v>
      </c>
      <c r="B3384" s="105">
        <v>1</v>
      </c>
      <c r="C3384" s="12"/>
      <c r="D3384" s="18" t="str">
        <f>"&lt;" &amp; A3384 &amp; "&gt;" &amp; TEXT(B3384,0) &amp; "&lt;/" &amp; A3384 &amp; "&gt;"</f>
        <v>&lt;AutoAeroCenterFlag&gt;1&lt;/AutoAeroCenterFlag&gt;</v>
      </c>
      <c r="F3384" s="6"/>
      <c r="G3384" s="6"/>
      <c r="H3384" s="6"/>
      <c r="I3384" s="6"/>
      <c r="J3384" s="6"/>
      <c r="K3384" s="6"/>
      <c r="L3384" s="6"/>
      <c r="M3384" s="6"/>
      <c r="N3384" s="6"/>
      <c r="O3384" s="6"/>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c r="BU3384" s="6"/>
      <c r="BV3384" s="6"/>
      <c r="BW3384" s="6"/>
      <c r="BX3384" s="6"/>
      <c r="BY3384" s="6"/>
      <c r="BZ3384" s="6"/>
      <c r="CA3384" s="6"/>
      <c r="CB3384" s="6"/>
      <c r="CC3384" s="6"/>
      <c r="CD3384" s="6"/>
      <c r="CE3384" s="6"/>
      <c r="CF3384" s="6"/>
      <c r="CG3384" s="6"/>
      <c r="CH3384" s="6"/>
      <c r="CI3384" s="6"/>
      <c r="CJ3384" s="6"/>
      <c r="CK3384" s="6"/>
      <c r="CL3384" s="6"/>
      <c r="CM3384" s="6"/>
      <c r="CN3384" s="6"/>
      <c r="CO3384" s="6"/>
      <c r="CP3384" s="6"/>
      <c r="CQ3384" s="6"/>
      <c r="CR3384" s="6"/>
      <c r="CS3384" s="6"/>
      <c r="CT3384" s="6"/>
      <c r="CU3384" s="6"/>
      <c r="CV3384" s="6"/>
      <c r="CW3384" s="6"/>
      <c r="CX3384" s="6"/>
      <c r="CY3384" s="6"/>
      <c r="CZ3384" s="6"/>
      <c r="DA3384" s="6"/>
      <c r="DB3384" s="6"/>
      <c r="DC3384" s="6"/>
      <c r="DD3384" s="6"/>
    </row>
    <row r="3385" spans="1:108" ht="12.75" hidden="1" customHeight="1" outlineLevel="4">
      <c r="A3385" s="104" t="s">
        <v>82</v>
      </c>
      <c r="B3385" s="105">
        <v>0</v>
      </c>
      <c r="C3385" s="12"/>
      <c r="D3385" s="18" t="str">
        <f>"&lt;" &amp; A3385 &amp; "&gt;" &amp; TEXT(B3385,0) &amp; "&lt;/" &amp; A3385 &amp; "&gt;"</f>
        <v>&lt;WakeActiveFlag&gt;0&lt;/WakeActiveFlag&gt;</v>
      </c>
      <c r="F3385" s="6"/>
      <c r="G3385" s="6"/>
      <c r="H3385" s="6"/>
      <c r="I3385" s="6"/>
      <c r="J3385" s="6"/>
      <c r="K3385" s="6"/>
      <c r="L3385" s="6"/>
      <c r="M3385" s="6"/>
      <c r="N3385" s="6"/>
      <c r="O3385" s="6"/>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c r="BU3385" s="6"/>
      <c r="BV3385" s="6"/>
      <c r="BW3385" s="6"/>
      <c r="BX3385" s="6"/>
      <c r="BY3385" s="6"/>
      <c r="BZ3385" s="6"/>
      <c r="CA3385" s="6"/>
      <c r="CB3385" s="6"/>
      <c r="CC3385" s="6"/>
      <c r="CD3385" s="6"/>
      <c r="CE3385" s="6"/>
      <c r="CF3385" s="6"/>
      <c r="CG3385" s="6"/>
      <c r="CH3385" s="6"/>
      <c r="CI3385" s="6"/>
      <c r="CJ3385" s="6"/>
      <c r="CK3385" s="6"/>
      <c r="CL3385" s="6"/>
      <c r="CM3385" s="6"/>
      <c r="CN3385" s="6"/>
      <c r="CO3385" s="6"/>
      <c r="CP3385" s="6"/>
      <c r="CQ3385" s="6"/>
      <c r="CR3385" s="6"/>
      <c r="CS3385" s="6"/>
      <c r="CT3385" s="6"/>
      <c r="CU3385" s="6"/>
      <c r="CV3385" s="6"/>
      <c r="CW3385" s="6"/>
      <c r="CX3385" s="6"/>
      <c r="CY3385" s="6"/>
      <c r="CZ3385" s="6"/>
      <c r="DA3385" s="6"/>
      <c r="DB3385" s="6"/>
      <c r="DC3385" s="6"/>
      <c r="DD3385" s="6"/>
    </row>
    <row r="3386" spans="1:108" ht="12.75" hidden="1" customHeight="1" outlineLevel="4">
      <c r="A3386" s="104" t="s">
        <v>83</v>
      </c>
      <c r="B3386" s="105">
        <v>0</v>
      </c>
      <c r="C3386" s="12"/>
      <c r="D3386" s="18" t="str">
        <f>"&lt;" &amp; A3386 &amp; "&gt;" &amp; TEXT(B3386,0) &amp; "&lt;/" &amp; A3386 &amp; "&gt;"</f>
        <v>&lt;PosAttachFlag&gt;0&lt;/PosAttachFlag&gt;</v>
      </c>
      <c r="F3386" s="6"/>
      <c r="G3386" s="6"/>
      <c r="H3386" s="6"/>
      <c r="I3386" s="6"/>
      <c r="J3386" s="6"/>
      <c r="K3386" s="6"/>
      <c r="L3386" s="6"/>
      <c r="M3386" s="6"/>
      <c r="N3386" s="6"/>
      <c r="O3386" s="6"/>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c r="BU3386" s="6"/>
      <c r="BV3386" s="6"/>
      <c r="BW3386" s="6"/>
      <c r="BX3386" s="6"/>
      <c r="BY3386" s="6"/>
      <c r="BZ3386" s="6"/>
      <c r="CA3386" s="6"/>
      <c r="CB3386" s="6"/>
      <c r="CC3386" s="6"/>
      <c r="CD3386" s="6"/>
      <c r="CE3386" s="6"/>
      <c r="CF3386" s="6"/>
      <c r="CG3386" s="6"/>
      <c r="CH3386" s="6"/>
      <c r="CI3386" s="6"/>
      <c r="CJ3386" s="6"/>
      <c r="CK3386" s="6"/>
      <c r="CL3386" s="6"/>
      <c r="CM3386" s="6"/>
      <c r="CN3386" s="6"/>
      <c r="CO3386" s="6"/>
      <c r="CP3386" s="6"/>
      <c r="CQ3386" s="6"/>
      <c r="CR3386" s="6"/>
      <c r="CS3386" s="6"/>
      <c r="CT3386" s="6"/>
      <c r="CU3386" s="6"/>
      <c r="CV3386" s="6"/>
      <c r="CW3386" s="6"/>
      <c r="CX3386" s="6"/>
      <c r="CY3386" s="6"/>
      <c r="CZ3386" s="6"/>
      <c r="DA3386" s="6"/>
      <c r="DB3386" s="6"/>
      <c r="DC3386" s="6"/>
      <c r="DD3386" s="6"/>
    </row>
    <row r="3387" spans="1:108" ht="12.75" hidden="1" customHeight="1" outlineLevel="4">
      <c r="A3387" s="104" t="s">
        <v>84</v>
      </c>
      <c r="B3387" s="105">
        <v>0</v>
      </c>
      <c r="C3387" s="12"/>
      <c r="D3387" s="18" t="str">
        <f>"&lt;" &amp; A3387 &amp; "&gt;" &amp; TEXT(B3387,"0.000000") &amp; "&lt;/" &amp; A3387 &amp; "&gt;"</f>
        <v>&lt;U_Attach&gt;0.000000&lt;/U_Attach&gt;</v>
      </c>
      <c r="F3387" s="6"/>
      <c r="G3387" s="6"/>
      <c r="H3387" s="6"/>
      <c r="I3387" s="6"/>
      <c r="J3387" s="6"/>
      <c r="K3387" s="6"/>
      <c r="L3387" s="6"/>
      <c r="M3387" s="6"/>
      <c r="N3387" s="6"/>
      <c r="O3387" s="6"/>
      <c r="P3387" s="6"/>
      <c r="Q3387" s="6"/>
      <c r="R3387" s="6"/>
      <c r="S3387" s="6"/>
      <c r="T3387" s="6"/>
      <c r="U3387" s="6"/>
      <c r="V3387" s="6"/>
      <c r="W3387" s="6"/>
      <c r="X3387" s="6"/>
      <c r="Y3387" s="6"/>
      <c r="Z3387" s="6"/>
      <c r="AA3387" s="6"/>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c r="BU3387" s="6"/>
      <c r="BV3387" s="6"/>
      <c r="BW3387" s="6"/>
      <c r="BX3387" s="6"/>
      <c r="BY3387" s="6"/>
      <c r="BZ3387" s="6"/>
      <c r="CA3387" s="6"/>
      <c r="CB3387" s="6"/>
      <c r="CC3387" s="6"/>
      <c r="CD3387" s="6"/>
      <c r="CE3387" s="6"/>
      <c r="CF3387" s="6"/>
      <c r="CG3387" s="6"/>
      <c r="CH3387" s="6"/>
      <c r="CI3387" s="6"/>
      <c r="CJ3387" s="6"/>
      <c r="CK3387" s="6"/>
      <c r="CL3387" s="6"/>
      <c r="CM3387" s="6"/>
      <c r="CN3387" s="6"/>
      <c r="CO3387" s="6"/>
      <c r="CP3387" s="6"/>
      <c r="CQ3387" s="6"/>
      <c r="CR3387" s="6"/>
      <c r="CS3387" s="6"/>
      <c r="CT3387" s="6"/>
      <c r="CU3387" s="6"/>
      <c r="CV3387" s="6"/>
      <c r="CW3387" s="6"/>
      <c r="CX3387" s="6"/>
      <c r="CY3387" s="6"/>
      <c r="CZ3387" s="6"/>
      <c r="DA3387" s="6"/>
      <c r="DB3387" s="6"/>
      <c r="DC3387" s="6"/>
      <c r="DD3387" s="6"/>
    </row>
    <row r="3388" spans="1:108" ht="12.75" hidden="1" customHeight="1" outlineLevel="4">
      <c r="A3388" s="104" t="s">
        <v>85</v>
      </c>
      <c r="B3388" s="105">
        <v>0</v>
      </c>
      <c r="C3388" s="12"/>
      <c r="D3388" s="18" t="str">
        <f>"&lt;" &amp; A3388 &amp; "&gt;" &amp; TEXT(B3388,"0.000000") &amp; "&lt;/" &amp; A3388 &amp; "&gt;"</f>
        <v>&lt;V_Attach&gt;0.000000&lt;/V_Attach&gt;</v>
      </c>
      <c r="F3388" s="6"/>
      <c r="G3388" s="6"/>
      <c r="H3388" s="6"/>
      <c r="I3388" s="6"/>
      <c r="J3388" s="6"/>
      <c r="K3388" s="6"/>
      <c r="L3388" s="6"/>
      <c r="M3388" s="6"/>
      <c r="N3388" s="6"/>
      <c r="O3388" s="6"/>
      <c r="P3388" s="6"/>
      <c r="Q3388" s="6"/>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c r="BU3388" s="6"/>
      <c r="BV3388" s="6"/>
      <c r="BW3388" s="6"/>
      <c r="BX3388" s="6"/>
      <c r="BY3388" s="6"/>
      <c r="BZ3388" s="6"/>
      <c r="CA3388" s="6"/>
      <c r="CB3388" s="6"/>
      <c r="CC3388" s="6"/>
      <c r="CD3388" s="6"/>
      <c r="CE3388" s="6"/>
      <c r="CF3388" s="6"/>
      <c r="CG3388" s="6"/>
      <c r="CH3388" s="6"/>
      <c r="CI3388" s="6"/>
      <c r="CJ3388" s="6"/>
      <c r="CK3388" s="6"/>
      <c r="CL3388" s="6"/>
      <c r="CM3388" s="6"/>
      <c r="CN3388" s="6"/>
      <c r="CO3388" s="6"/>
      <c r="CP3388" s="6"/>
      <c r="CQ3388" s="6"/>
      <c r="CR3388" s="6"/>
      <c r="CS3388" s="6"/>
      <c r="CT3388" s="6"/>
      <c r="CU3388" s="6"/>
      <c r="CV3388" s="6"/>
      <c r="CW3388" s="6"/>
      <c r="CX3388" s="6"/>
      <c r="CY3388" s="6"/>
      <c r="CZ3388" s="6"/>
      <c r="DA3388" s="6"/>
      <c r="DB3388" s="6"/>
      <c r="DC3388" s="6"/>
      <c r="DD3388" s="6"/>
    </row>
    <row r="3389" spans="1:108" ht="12.75" hidden="1" customHeight="1" outlineLevel="4">
      <c r="A3389" s="104" t="s">
        <v>86</v>
      </c>
      <c r="B3389" s="105">
        <v>157886</v>
      </c>
      <c r="C3389" s="12"/>
      <c r="D3389" s="18" t="str">
        <f>"&lt;" &amp; A3389 &amp; "&gt;" &amp; TEXT(B3389,0) &amp; "&lt;/" &amp; A3389 &amp; "&gt;"</f>
        <v>&lt;PtrID&gt;157886&lt;/PtrID&gt;</v>
      </c>
      <c r="F3389" s="6"/>
      <c r="G3389" s="6"/>
      <c r="H3389" s="6"/>
      <c r="I3389" s="6"/>
      <c r="J3389" s="6"/>
      <c r="K3389" s="6"/>
      <c r="L3389" s="6"/>
      <c r="M3389" s="6"/>
      <c r="N3389" s="6"/>
      <c r="O3389" s="6"/>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c r="BU3389" s="6"/>
      <c r="BV3389" s="6"/>
      <c r="BW3389" s="6"/>
      <c r="BX3389" s="6"/>
      <c r="BY3389" s="6"/>
      <c r="BZ3389" s="6"/>
      <c r="CA3389" s="6"/>
      <c r="CB3389" s="6"/>
      <c r="CC3389" s="6"/>
      <c r="CD3389" s="6"/>
      <c r="CE3389" s="6"/>
      <c r="CF3389" s="6"/>
      <c r="CG3389" s="6"/>
      <c r="CH3389" s="6"/>
      <c r="CI3389" s="6"/>
      <c r="CJ3389" s="6"/>
      <c r="CK3389" s="6"/>
      <c r="CL3389" s="6"/>
      <c r="CM3389" s="6"/>
      <c r="CN3389" s="6"/>
      <c r="CO3389" s="6"/>
      <c r="CP3389" s="6"/>
      <c r="CQ3389" s="6"/>
      <c r="CR3389" s="6"/>
      <c r="CS3389" s="6"/>
      <c r="CT3389" s="6"/>
      <c r="CU3389" s="6"/>
      <c r="CV3389" s="6"/>
      <c r="CW3389" s="6"/>
      <c r="CX3389" s="6"/>
      <c r="CY3389" s="6"/>
      <c r="CZ3389" s="6"/>
      <c r="DA3389" s="6"/>
      <c r="DB3389" s="6"/>
      <c r="DC3389" s="6"/>
      <c r="DD3389" s="6"/>
    </row>
    <row r="3390" spans="1:108" ht="12.75" hidden="1" customHeight="1" outlineLevel="4">
      <c r="A3390" s="104" t="s">
        <v>87</v>
      </c>
      <c r="B3390" s="105">
        <v>0</v>
      </c>
      <c r="C3390" s="12"/>
      <c r="D3390" s="18" t="str">
        <f>"&lt;" &amp; A3390 &amp; "&gt;" &amp; TEXT(B3390,0) &amp; "&lt;/" &amp; A3390 &amp; "&gt;"</f>
        <v>&lt;Parent_PtrID&gt;0&lt;/Parent_PtrID&gt;</v>
      </c>
      <c r="F3390" s="6"/>
      <c r="G3390" s="6"/>
      <c r="H3390" s="6"/>
      <c r="I3390" s="6"/>
      <c r="J3390" s="6"/>
      <c r="K3390" s="6"/>
      <c r="L3390" s="6"/>
      <c r="M3390" s="6"/>
      <c r="N3390" s="6"/>
      <c r="O3390" s="6"/>
      <c r="P3390" s="6"/>
      <c r="Q3390" s="6"/>
      <c r="R3390" s="6"/>
      <c r="S3390" s="6"/>
      <c r="T3390" s="6"/>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c r="BU3390" s="6"/>
      <c r="BV3390" s="6"/>
      <c r="BW3390" s="6"/>
      <c r="BX3390" s="6"/>
      <c r="BY3390" s="6"/>
      <c r="BZ3390" s="6"/>
      <c r="CA3390" s="6"/>
      <c r="CB3390" s="6"/>
      <c r="CC3390" s="6"/>
      <c r="CD3390" s="6"/>
      <c r="CE3390" s="6"/>
      <c r="CF3390" s="6"/>
      <c r="CG3390" s="6"/>
      <c r="CH3390" s="6"/>
      <c r="CI3390" s="6"/>
      <c r="CJ3390" s="6"/>
      <c r="CK3390" s="6"/>
      <c r="CL3390" s="6"/>
      <c r="CM3390" s="6"/>
      <c r="CN3390" s="6"/>
      <c r="CO3390" s="6"/>
      <c r="CP3390" s="6"/>
      <c r="CQ3390" s="6"/>
      <c r="CR3390" s="6"/>
      <c r="CS3390" s="6"/>
      <c r="CT3390" s="6"/>
      <c r="CU3390" s="6"/>
      <c r="CV3390" s="6"/>
      <c r="CW3390" s="6"/>
      <c r="CX3390" s="6"/>
      <c r="CY3390" s="6"/>
      <c r="CZ3390" s="6"/>
      <c r="DA3390" s="6"/>
      <c r="DB3390" s="6"/>
      <c r="DC3390" s="6"/>
      <c r="DD3390" s="6"/>
    </row>
    <row r="3391" spans="1:108" ht="12.75" hidden="1" customHeight="1" outlineLevel="4">
      <c r="A3391" s="104" t="s">
        <v>88</v>
      </c>
      <c r="C3391" s="12"/>
      <c r="D3391" s="6" t="str">
        <f>"&lt;" &amp; A3391 &amp; "&gt;"</f>
        <v>&lt;/General_Parms&gt;</v>
      </c>
      <c r="F3391" s="6"/>
      <c r="G3391" s="6"/>
      <c r="H3391" s="6"/>
      <c r="I3391" s="6"/>
      <c r="J3391" s="6"/>
      <c r="K3391" s="6"/>
      <c r="L3391" s="6"/>
      <c r="M3391" s="6"/>
      <c r="N3391" s="6"/>
      <c r="O3391" s="6"/>
      <c r="P3391" s="6"/>
      <c r="Q3391" s="6"/>
      <c r="R3391" s="6"/>
      <c r="S3391" s="6"/>
      <c r="T3391" s="6"/>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c r="BU3391" s="6"/>
      <c r="BV3391" s="6"/>
      <c r="BW3391" s="6"/>
      <c r="BX3391" s="6"/>
      <c r="BY3391" s="6"/>
      <c r="BZ3391" s="6"/>
      <c r="CA3391" s="6"/>
      <c r="CB3391" s="6"/>
      <c r="CC3391" s="6"/>
      <c r="CD3391" s="6"/>
      <c r="CE3391" s="6"/>
      <c r="CF3391" s="6"/>
      <c r="CG3391" s="6"/>
      <c r="CH3391" s="6"/>
      <c r="CI3391" s="6"/>
      <c r="CJ3391" s="6"/>
      <c r="CK3391" s="6"/>
      <c r="CL3391" s="6"/>
      <c r="CM3391" s="6"/>
      <c r="CN3391" s="6"/>
      <c r="CO3391" s="6"/>
      <c r="CP3391" s="6"/>
      <c r="CQ3391" s="6"/>
      <c r="CR3391" s="6"/>
      <c r="CS3391" s="6"/>
      <c r="CT3391" s="6"/>
      <c r="CU3391" s="6"/>
      <c r="CV3391" s="6"/>
      <c r="CW3391" s="6"/>
      <c r="CX3391" s="6"/>
      <c r="CY3391" s="6"/>
      <c r="CZ3391" s="6"/>
      <c r="DA3391" s="6"/>
      <c r="DB3391" s="6"/>
      <c r="DC3391" s="6"/>
      <c r="DD3391" s="6"/>
    </row>
    <row r="3392" spans="1:108" ht="12.75" hidden="1" customHeight="1" outlineLevel="3" collapsed="1">
      <c r="A3392" s="104" t="s">
        <v>285</v>
      </c>
      <c r="C3392" s="12"/>
      <c r="D3392" s="6" t="str">
        <f>"&lt;" &amp; A3392 &amp; "&gt;"</f>
        <v>&lt;Duct_Parms&gt;</v>
      </c>
      <c r="F3392" s="6"/>
      <c r="G3392" s="6"/>
      <c r="H3392" s="6"/>
      <c r="I3392" s="6"/>
      <c r="J3392" s="6"/>
      <c r="K3392" s="6"/>
      <c r="L3392" s="6"/>
      <c r="M3392" s="6"/>
      <c r="N3392" s="6"/>
      <c r="O3392" s="6"/>
      <c r="P3392" s="6"/>
      <c r="Q3392" s="6"/>
      <c r="R3392" s="6"/>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c r="BU3392" s="6"/>
      <c r="BV3392" s="6"/>
      <c r="BW3392" s="6"/>
      <c r="BX3392" s="6"/>
      <c r="BY3392" s="6"/>
      <c r="BZ3392" s="6"/>
      <c r="CA3392" s="6"/>
      <c r="CB3392" s="6"/>
      <c r="CC3392" s="6"/>
      <c r="CD3392" s="6"/>
      <c r="CE3392" s="6"/>
      <c r="CF3392" s="6"/>
      <c r="CG3392" s="6"/>
      <c r="CH3392" s="6"/>
      <c r="CI3392" s="6"/>
      <c r="CJ3392" s="6"/>
      <c r="CK3392" s="6"/>
      <c r="CL3392" s="6"/>
      <c r="CM3392" s="6"/>
      <c r="CN3392" s="6"/>
      <c r="CO3392" s="6"/>
      <c r="CP3392" s="6"/>
      <c r="CQ3392" s="6"/>
      <c r="CR3392" s="6"/>
      <c r="CS3392" s="6"/>
      <c r="CT3392" s="6"/>
      <c r="CU3392" s="6"/>
      <c r="CV3392" s="6"/>
      <c r="CW3392" s="6"/>
      <c r="CX3392" s="6"/>
      <c r="CY3392" s="6"/>
      <c r="CZ3392" s="6"/>
      <c r="DA3392" s="6"/>
      <c r="DB3392" s="6"/>
      <c r="DC3392" s="6"/>
      <c r="DD3392" s="6"/>
    </row>
    <row r="3393" spans="1:108" ht="12.75" hidden="1" customHeight="1" outlineLevel="4">
      <c r="A3393" s="104" t="s">
        <v>286</v>
      </c>
      <c r="B3393" s="105">
        <v>0.3</v>
      </c>
      <c r="C3393" s="12"/>
      <c r="D3393" s="18" t="str">
        <f t="shared" ref="D3393:D3399" si="199">"&lt;" &amp; A3393 &amp; "&gt;" &amp; TEXT(B3393,"0.000000") &amp; "&lt;/" &amp; A3393 &amp; "&gt;"</f>
        <v>&lt;Length&gt;0.300000&lt;/Length&gt;</v>
      </c>
      <c r="F3393" s="6"/>
      <c r="G3393" s="6"/>
      <c r="H3393" s="6"/>
      <c r="I3393" s="6"/>
      <c r="J3393" s="6"/>
      <c r="K3393" s="6"/>
      <c r="L3393" s="6"/>
      <c r="M3393" s="6"/>
      <c r="N3393" s="6"/>
      <c r="O3393" s="6"/>
      <c r="P3393" s="6"/>
      <c r="Q3393" s="6"/>
      <c r="R3393" s="6"/>
      <c r="S3393" s="6"/>
      <c r="T3393" s="6"/>
      <c r="U3393" s="6"/>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c r="BU3393" s="6"/>
      <c r="BV3393" s="6"/>
      <c r="BW3393" s="6"/>
      <c r="BX3393" s="6"/>
      <c r="BY3393" s="6"/>
      <c r="BZ3393" s="6"/>
      <c r="CA3393" s="6"/>
      <c r="CB3393" s="6"/>
      <c r="CC3393" s="6"/>
      <c r="CD3393" s="6"/>
      <c r="CE3393" s="6"/>
      <c r="CF3393" s="6"/>
      <c r="CG3393" s="6"/>
      <c r="CH3393" s="6"/>
      <c r="CI3393" s="6"/>
      <c r="CJ3393" s="6"/>
      <c r="CK3393" s="6"/>
      <c r="CL3393" s="6"/>
      <c r="CM3393" s="6"/>
      <c r="CN3393" s="6"/>
      <c r="CO3393" s="6"/>
      <c r="CP3393" s="6"/>
      <c r="CQ3393" s="6"/>
      <c r="CR3393" s="6"/>
      <c r="CS3393" s="6"/>
      <c r="CT3393" s="6"/>
      <c r="CU3393" s="6"/>
      <c r="CV3393" s="6"/>
      <c r="CW3393" s="6"/>
      <c r="CX3393" s="6"/>
      <c r="CY3393" s="6"/>
      <c r="CZ3393" s="6"/>
      <c r="DA3393" s="6"/>
      <c r="DB3393" s="6"/>
      <c r="DC3393" s="6"/>
      <c r="DD3393" s="6"/>
    </row>
    <row r="3394" spans="1:108" ht="12.75" hidden="1" customHeight="1" outlineLevel="4">
      <c r="A3394" s="104" t="s">
        <v>287</v>
      </c>
      <c r="B3394" s="105">
        <v>0.3</v>
      </c>
      <c r="C3394" s="12"/>
      <c r="D3394" s="18" t="str">
        <f t="shared" si="199"/>
        <v>&lt;Chord&gt;0.300000&lt;/Chord&gt;</v>
      </c>
      <c r="F3394" s="6"/>
      <c r="G3394" s="6"/>
      <c r="H3394" s="6"/>
      <c r="I3394" s="6"/>
      <c r="J3394" s="6"/>
      <c r="K3394" s="6"/>
      <c r="L3394" s="6"/>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c r="BU3394" s="6"/>
      <c r="BV3394" s="6"/>
      <c r="BW3394" s="6"/>
      <c r="BX3394" s="6"/>
      <c r="BY3394" s="6"/>
      <c r="BZ3394" s="6"/>
      <c r="CA3394" s="6"/>
      <c r="CB3394" s="6"/>
      <c r="CC3394" s="6"/>
      <c r="CD3394" s="6"/>
      <c r="CE3394" s="6"/>
      <c r="CF3394" s="6"/>
      <c r="CG3394" s="6"/>
      <c r="CH3394" s="6"/>
      <c r="CI3394" s="6"/>
      <c r="CJ3394" s="6"/>
      <c r="CK3394" s="6"/>
      <c r="CL3394" s="6"/>
      <c r="CM3394" s="6"/>
      <c r="CN3394" s="6"/>
      <c r="CO3394" s="6"/>
      <c r="CP3394" s="6"/>
      <c r="CQ3394" s="6"/>
      <c r="CR3394" s="6"/>
      <c r="CS3394" s="6"/>
      <c r="CT3394" s="6"/>
      <c r="CU3394" s="6"/>
      <c r="CV3394" s="6"/>
      <c r="CW3394" s="6"/>
      <c r="CX3394" s="6"/>
      <c r="CY3394" s="6"/>
      <c r="CZ3394" s="6"/>
      <c r="DA3394" s="6"/>
      <c r="DB3394" s="6"/>
      <c r="DC3394" s="6"/>
      <c r="DD3394" s="6"/>
    </row>
    <row r="3395" spans="1:108" ht="12.75" hidden="1" customHeight="1" outlineLevel="4">
      <c r="A3395" s="104" t="s">
        <v>288</v>
      </c>
      <c r="B3395" s="105">
        <v>1</v>
      </c>
      <c r="C3395" s="12"/>
      <c r="D3395" s="18" t="str">
        <f t="shared" si="199"/>
        <v>&lt;Inlet_Dia&gt;1.000000&lt;/Inlet_Dia&gt;</v>
      </c>
      <c r="F3395" s="6"/>
      <c r="G3395" s="6"/>
      <c r="H3395" s="6"/>
      <c r="I3395" s="6"/>
      <c r="J3395" s="6"/>
      <c r="K3395" s="6"/>
      <c r="L3395" s="6"/>
      <c r="M3395" s="6"/>
      <c r="N3395" s="6"/>
      <c r="O3395" s="6"/>
      <c r="P3395" s="6"/>
      <c r="Q3395" s="6"/>
      <c r="R3395" s="6"/>
      <c r="S3395" s="6"/>
      <c r="T3395" s="6"/>
      <c r="U3395" s="6"/>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c r="BU3395" s="6"/>
      <c r="BV3395" s="6"/>
      <c r="BW3395" s="6"/>
      <c r="BX3395" s="6"/>
      <c r="BY3395" s="6"/>
      <c r="BZ3395" s="6"/>
      <c r="CA3395" s="6"/>
      <c r="CB3395" s="6"/>
      <c r="CC3395" s="6"/>
      <c r="CD3395" s="6"/>
      <c r="CE3395" s="6"/>
      <c r="CF3395" s="6"/>
      <c r="CG3395" s="6"/>
      <c r="CH3395" s="6"/>
      <c r="CI3395" s="6"/>
      <c r="CJ3395" s="6"/>
      <c r="CK3395" s="6"/>
      <c r="CL3395" s="6"/>
      <c r="CM3395" s="6"/>
      <c r="CN3395" s="6"/>
      <c r="CO3395" s="6"/>
      <c r="CP3395" s="6"/>
      <c r="CQ3395" s="6"/>
      <c r="CR3395" s="6"/>
      <c r="CS3395" s="6"/>
      <c r="CT3395" s="6"/>
      <c r="CU3395" s="6"/>
      <c r="CV3395" s="6"/>
      <c r="CW3395" s="6"/>
      <c r="CX3395" s="6"/>
      <c r="CY3395" s="6"/>
      <c r="CZ3395" s="6"/>
      <c r="DA3395" s="6"/>
      <c r="DB3395" s="6"/>
      <c r="DC3395" s="6"/>
      <c r="DD3395" s="6"/>
    </row>
    <row r="3396" spans="1:108" ht="12.75" hidden="1" customHeight="1" outlineLevel="4">
      <c r="A3396" s="104" t="s">
        <v>289</v>
      </c>
      <c r="B3396" s="105">
        <v>0.78539800000000004</v>
      </c>
      <c r="C3396" s="12"/>
      <c r="D3396" s="18" t="str">
        <f t="shared" si="199"/>
        <v>&lt;Inlet_Area&gt;0.785398&lt;/Inlet_Area&gt;</v>
      </c>
      <c r="F3396" s="6"/>
      <c r="G3396" s="6"/>
      <c r="H3396" s="6"/>
      <c r="I3396" s="6"/>
      <c r="J3396" s="6"/>
      <c r="K3396" s="6"/>
      <c r="L3396" s="6"/>
      <c r="M3396" s="6"/>
      <c r="N3396" s="6"/>
      <c r="O3396" s="6"/>
      <c r="P3396" s="6"/>
      <c r="Q3396" s="6"/>
      <c r="R3396" s="6"/>
      <c r="S3396" s="6"/>
      <c r="T3396" s="6"/>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c r="BU3396" s="6"/>
      <c r="BV3396" s="6"/>
      <c r="BW3396" s="6"/>
      <c r="BX3396" s="6"/>
      <c r="BY3396" s="6"/>
      <c r="BZ3396" s="6"/>
      <c r="CA3396" s="6"/>
      <c r="CB3396" s="6"/>
      <c r="CC3396" s="6"/>
      <c r="CD3396" s="6"/>
      <c r="CE3396" s="6"/>
      <c r="CF3396" s="6"/>
      <c r="CG3396" s="6"/>
      <c r="CH3396" s="6"/>
      <c r="CI3396" s="6"/>
      <c r="CJ3396" s="6"/>
      <c r="CK3396" s="6"/>
      <c r="CL3396" s="6"/>
      <c r="CM3396" s="6"/>
      <c r="CN3396" s="6"/>
      <c r="CO3396" s="6"/>
      <c r="CP3396" s="6"/>
      <c r="CQ3396" s="6"/>
      <c r="CR3396" s="6"/>
      <c r="CS3396" s="6"/>
      <c r="CT3396" s="6"/>
      <c r="CU3396" s="6"/>
      <c r="CV3396" s="6"/>
      <c r="CW3396" s="6"/>
      <c r="CX3396" s="6"/>
      <c r="CY3396" s="6"/>
      <c r="CZ3396" s="6"/>
      <c r="DA3396" s="6"/>
      <c r="DB3396" s="6"/>
      <c r="DC3396" s="6"/>
      <c r="DD3396" s="6"/>
    </row>
    <row r="3397" spans="1:108" ht="12.75" hidden="1" customHeight="1" outlineLevel="4">
      <c r="A3397" s="104" t="s">
        <v>290</v>
      </c>
      <c r="B3397" s="105">
        <f>B3395</f>
        <v>1</v>
      </c>
      <c r="C3397" s="12"/>
      <c r="D3397" s="18" t="str">
        <f t="shared" si="199"/>
        <v>&lt;Outlet_Dia&gt;1.000000&lt;/Outlet_Dia&gt;</v>
      </c>
      <c r="F3397" s="6"/>
      <c r="G3397" s="6"/>
      <c r="H3397" s="6"/>
      <c r="I3397" s="6"/>
      <c r="J3397" s="6"/>
      <c r="K3397" s="6"/>
      <c r="L3397" s="6"/>
      <c r="M3397" s="6"/>
      <c r="N3397" s="6"/>
      <c r="O3397" s="6"/>
      <c r="P3397" s="6"/>
      <c r="Q3397" s="6"/>
      <c r="R3397" s="6"/>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c r="BU3397" s="6"/>
      <c r="BV3397" s="6"/>
      <c r="BW3397" s="6"/>
      <c r="BX3397" s="6"/>
      <c r="BY3397" s="6"/>
      <c r="BZ3397" s="6"/>
      <c r="CA3397" s="6"/>
      <c r="CB3397" s="6"/>
      <c r="CC3397" s="6"/>
      <c r="CD3397" s="6"/>
      <c r="CE3397" s="6"/>
      <c r="CF3397" s="6"/>
      <c r="CG3397" s="6"/>
      <c r="CH3397" s="6"/>
      <c r="CI3397" s="6"/>
      <c r="CJ3397" s="6"/>
      <c r="CK3397" s="6"/>
      <c r="CL3397" s="6"/>
      <c r="CM3397" s="6"/>
      <c r="CN3397" s="6"/>
      <c r="CO3397" s="6"/>
      <c r="CP3397" s="6"/>
      <c r="CQ3397" s="6"/>
      <c r="CR3397" s="6"/>
      <c r="CS3397" s="6"/>
      <c r="CT3397" s="6"/>
      <c r="CU3397" s="6"/>
      <c r="CV3397" s="6"/>
      <c r="CW3397" s="6"/>
      <c r="CX3397" s="6"/>
      <c r="CY3397" s="6"/>
      <c r="CZ3397" s="6"/>
      <c r="DA3397" s="6"/>
      <c r="DB3397" s="6"/>
      <c r="DC3397" s="6"/>
      <c r="DD3397" s="6"/>
    </row>
    <row r="3398" spans="1:108" ht="12.75" hidden="1" customHeight="1" outlineLevel="4">
      <c r="A3398" s="104" t="s">
        <v>291</v>
      </c>
      <c r="B3398" s="105">
        <f>B3396</f>
        <v>0.78539800000000004</v>
      </c>
      <c r="C3398" s="12"/>
      <c r="D3398" s="18" t="str">
        <f t="shared" si="199"/>
        <v>&lt;Outlet_Area&gt;0.785398&lt;/Outlet_Area&gt;</v>
      </c>
      <c r="F3398" s="6"/>
      <c r="G3398" s="6"/>
      <c r="H3398" s="6"/>
      <c r="I3398" s="6"/>
      <c r="J3398" s="6"/>
      <c r="K3398" s="6"/>
      <c r="L3398" s="6"/>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c r="BU3398" s="6"/>
      <c r="BV3398" s="6"/>
      <c r="BW3398" s="6"/>
      <c r="BX3398" s="6"/>
      <c r="BY3398" s="6"/>
      <c r="BZ3398" s="6"/>
      <c r="CA3398" s="6"/>
      <c r="CB3398" s="6"/>
      <c r="CC3398" s="6"/>
      <c r="CD3398" s="6"/>
      <c r="CE3398" s="6"/>
      <c r="CF3398" s="6"/>
      <c r="CG3398" s="6"/>
      <c r="CH3398" s="6"/>
      <c r="CI3398" s="6"/>
      <c r="CJ3398" s="6"/>
      <c r="CK3398" s="6"/>
      <c r="CL3398" s="6"/>
      <c r="CM3398" s="6"/>
      <c r="CN3398" s="6"/>
      <c r="CO3398" s="6"/>
      <c r="CP3398" s="6"/>
      <c r="CQ3398" s="6"/>
      <c r="CR3398" s="6"/>
      <c r="CS3398" s="6"/>
      <c r="CT3398" s="6"/>
      <c r="CU3398" s="6"/>
      <c r="CV3398" s="6"/>
      <c r="CW3398" s="6"/>
      <c r="CX3398" s="6"/>
      <c r="CY3398" s="6"/>
      <c r="CZ3398" s="6"/>
      <c r="DA3398" s="6"/>
      <c r="DB3398" s="6"/>
      <c r="DC3398" s="6"/>
      <c r="DD3398" s="6"/>
    </row>
    <row r="3399" spans="1:108" ht="12.75" hidden="1" customHeight="1" outlineLevel="4">
      <c r="A3399" s="104" t="s">
        <v>292</v>
      </c>
      <c r="B3399" s="105">
        <v>1</v>
      </c>
      <c r="C3399" s="12"/>
      <c r="D3399" s="18" t="str">
        <f t="shared" si="199"/>
        <v>&lt;Inlet_Outlet&gt;1.000000&lt;/Inlet_Outlet&gt;</v>
      </c>
      <c r="F3399" s="6"/>
      <c r="G3399" s="6"/>
      <c r="H3399" s="6"/>
      <c r="I3399" s="6"/>
      <c r="J3399" s="6"/>
      <c r="K3399" s="6"/>
      <c r="L3399" s="6"/>
      <c r="M3399" s="6"/>
      <c r="N3399" s="6"/>
      <c r="O3399" s="6"/>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c r="BU3399" s="6"/>
      <c r="BV3399" s="6"/>
      <c r="BW3399" s="6"/>
      <c r="BX3399" s="6"/>
      <c r="BY3399" s="6"/>
      <c r="BZ3399" s="6"/>
      <c r="CA3399" s="6"/>
      <c r="CB3399" s="6"/>
      <c r="CC3399" s="6"/>
      <c r="CD3399" s="6"/>
      <c r="CE3399" s="6"/>
      <c r="CF3399" s="6"/>
      <c r="CG3399" s="6"/>
      <c r="CH3399" s="6"/>
      <c r="CI3399" s="6"/>
      <c r="CJ3399" s="6"/>
      <c r="CK3399" s="6"/>
      <c r="CL3399" s="6"/>
      <c r="CM3399" s="6"/>
      <c r="CN3399" s="6"/>
      <c r="CO3399" s="6"/>
      <c r="CP3399" s="6"/>
      <c r="CQ3399" s="6"/>
      <c r="CR3399" s="6"/>
      <c r="CS3399" s="6"/>
      <c r="CT3399" s="6"/>
      <c r="CU3399" s="6"/>
      <c r="CV3399" s="6"/>
      <c r="CW3399" s="6"/>
      <c r="CX3399" s="6"/>
      <c r="CY3399" s="6"/>
      <c r="CZ3399" s="6"/>
      <c r="DA3399" s="6"/>
      <c r="DB3399" s="6"/>
      <c r="DC3399" s="6"/>
      <c r="DD3399" s="6"/>
    </row>
    <row r="3400" spans="1:108" ht="12.75" hidden="1" customHeight="1" outlineLevel="4">
      <c r="A3400" s="104" t="s">
        <v>293</v>
      </c>
      <c r="C3400" s="12"/>
      <c r="D3400" s="6" t="str">
        <f>"&lt;" &amp; A3400 &amp; "&gt;"</f>
        <v>&lt;/Duct_Parms&gt;</v>
      </c>
      <c r="F3400" s="6"/>
      <c r="G3400" s="6"/>
      <c r="H3400" s="6"/>
      <c r="I3400" s="6"/>
      <c r="J3400" s="6"/>
      <c r="K3400" s="6"/>
      <c r="L3400" s="6"/>
      <c r="M3400" s="6"/>
      <c r="N3400" s="6"/>
      <c r="O3400" s="6"/>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c r="BU3400" s="6"/>
      <c r="BV3400" s="6"/>
      <c r="BW3400" s="6"/>
      <c r="BX3400" s="6"/>
      <c r="BY3400" s="6"/>
      <c r="BZ3400" s="6"/>
      <c r="CA3400" s="6"/>
      <c r="CB3400" s="6"/>
      <c r="CC3400" s="6"/>
      <c r="CD3400" s="6"/>
      <c r="CE3400" s="6"/>
      <c r="CF3400" s="6"/>
      <c r="CG3400" s="6"/>
      <c r="CH3400" s="6"/>
      <c r="CI3400" s="6"/>
      <c r="CJ3400" s="6"/>
      <c r="CK3400" s="6"/>
      <c r="CL3400" s="6"/>
      <c r="CM3400" s="6"/>
      <c r="CN3400" s="6"/>
      <c r="CO3400" s="6"/>
      <c r="CP3400" s="6"/>
      <c r="CQ3400" s="6"/>
      <c r="CR3400" s="6"/>
      <c r="CS3400" s="6"/>
      <c r="CT3400" s="6"/>
      <c r="CU3400" s="6"/>
      <c r="CV3400" s="6"/>
      <c r="CW3400" s="6"/>
      <c r="CX3400" s="6"/>
      <c r="CY3400" s="6"/>
      <c r="CZ3400" s="6"/>
      <c r="DA3400" s="6"/>
      <c r="DB3400" s="6"/>
      <c r="DC3400" s="6"/>
      <c r="DD3400" s="6"/>
    </row>
    <row r="3401" spans="1:108" ht="12.75" hidden="1" customHeight="1" outlineLevel="3" collapsed="1">
      <c r="A3401" s="104" t="s">
        <v>2</v>
      </c>
      <c r="C3401" s="12"/>
      <c r="D3401" s="6" t="str">
        <f>"&lt;" &amp; A3401 &amp; "&gt;"</f>
        <v>&lt;Airfoil&gt;</v>
      </c>
      <c r="F3401" s="6"/>
      <c r="G3401" s="6"/>
      <c r="H3401" s="6"/>
      <c r="I3401" s="6"/>
      <c r="J3401" s="6"/>
      <c r="K3401" s="6"/>
      <c r="L3401" s="6"/>
      <c r="M3401" s="6"/>
      <c r="N3401" s="6"/>
      <c r="O3401" s="6"/>
      <c r="P3401" s="6"/>
      <c r="Q3401" s="6"/>
      <c r="R3401" s="6"/>
      <c r="S3401" s="6"/>
      <c r="T3401" s="6"/>
      <c r="U3401" s="6"/>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c r="BU3401" s="6"/>
      <c r="BV3401" s="6"/>
      <c r="BW3401" s="6"/>
      <c r="BX3401" s="6"/>
      <c r="BY3401" s="6"/>
      <c r="BZ3401" s="6"/>
      <c r="CA3401" s="6"/>
      <c r="CB3401" s="6"/>
      <c r="CC3401" s="6"/>
      <c r="CD3401" s="6"/>
      <c r="CE3401" s="6"/>
      <c r="CF3401" s="6"/>
      <c r="CG3401" s="6"/>
      <c r="CH3401" s="6"/>
      <c r="CI3401" s="6"/>
      <c r="CJ3401" s="6"/>
      <c r="CK3401" s="6"/>
      <c r="CL3401" s="6"/>
      <c r="CM3401" s="6"/>
      <c r="CN3401" s="6"/>
      <c r="CO3401" s="6"/>
      <c r="CP3401" s="6"/>
      <c r="CQ3401" s="6"/>
      <c r="CR3401" s="6"/>
      <c r="CS3401" s="6"/>
      <c r="CT3401" s="6"/>
      <c r="CU3401" s="6"/>
      <c r="CV3401" s="6"/>
      <c r="CW3401" s="6"/>
      <c r="CX3401" s="6"/>
      <c r="CY3401" s="6"/>
      <c r="CZ3401" s="6"/>
      <c r="DA3401" s="6"/>
      <c r="DB3401" s="6"/>
      <c r="DC3401" s="6"/>
      <c r="DD3401" s="6"/>
    </row>
    <row r="3402" spans="1:108" ht="12.75" hidden="1" customHeight="1" outlineLevel="4">
      <c r="A3402" s="104" t="s">
        <v>14</v>
      </c>
      <c r="B3402" s="105">
        <v>1</v>
      </c>
      <c r="C3402" s="12"/>
      <c r="D3402" s="18" t="str">
        <f>"&lt;" &amp; A3402 &amp; "&gt;" &amp; TEXT(B3402,0) &amp; "&lt;/" &amp; A3402 &amp; "&gt;"</f>
        <v>&lt;Type&gt;1&lt;/Type&gt;</v>
      </c>
      <c r="F3402" s="6"/>
      <c r="G3402" s="6"/>
      <c r="H3402" s="6"/>
      <c r="I3402" s="6"/>
      <c r="J3402" s="6"/>
      <c r="K3402" s="6"/>
      <c r="L3402" s="6"/>
      <c r="M3402" s="6"/>
      <c r="N3402" s="6"/>
      <c r="O3402" s="6"/>
      <c r="P3402" s="6"/>
      <c r="Q3402" s="6"/>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c r="BU3402" s="6"/>
      <c r="BV3402" s="6"/>
      <c r="BW3402" s="6"/>
      <c r="BX3402" s="6"/>
      <c r="BY3402" s="6"/>
      <c r="BZ3402" s="6"/>
      <c r="CA3402" s="6"/>
      <c r="CB3402" s="6"/>
      <c r="CC3402" s="6"/>
      <c r="CD3402" s="6"/>
      <c r="CE3402" s="6"/>
      <c r="CF3402" s="6"/>
      <c r="CG3402" s="6"/>
      <c r="CH3402" s="6"/>
      <c r="CI3402" s="6"/>
      <c r="CJ3402" s="6"/>
      <c r="CK3402" s="6"/>
      <c r="CL3402" s="6"/>
      <c r="CM3402" s="6"/>
      <c r="CN3402" s="6"/>
      <c r="CO3402" s="6"/>
      <c r="CP3402" s="6"/>
      <c r="CQ3402" s="6"/>
      <c r="CR3402" s="6"/>
      <c r="CS3402" s="6"/>
      <c r="CT3402" s="6"/>
      <c r="CU3402" s="6"/>
      <c r="CV3402" s="6"/>
      <c r="CW3402" s="6"/>
      <c r="CX3402" s="6"/>
      <c r="CY3402" s="6"/>
      <c r="CZ3402" s="6"/>
      <c r="DA3402" s="6"/>
      <c r="DB3402" s="6"/>
      <c r="DC3402" s="6"/>
      <c r="DD3402" s="6"/>
    </row>
    <row r="3403" spans="1:108" ht="12.75" hidden="1" customHeight="1" outlineLevel="4">
      <c r="A3403" s="104" t="s">
        <v>102</v>
      </c>
      <c r="B3403" s="105">
        <v>0</v>
      </c>
      <c r="C3403" s="12"/>
      <c r="D3403" s="18" t="str">
        <f>"&lt;" &amp; A3403 &amp; "&gt;" &amp; TEXT(B3403,0) &amp; "&lt;/" &amp; A3403 &amp; "&gt;"</f>
        <v>&lt;Inverted_Flag&gt;0&lt;/Inverted_Flag&gt;</v>
      </c>
      <c r="F3403" s="6"/>
      <c r="G3403" s="6"/>
      <c r="H3403" s="6"/>
      <c r="I3403" s="6"/>
      <c r="J3403" s="6"/>
      <c r="K3403" s="6"/>
      <c r="L3403" s="6"/>
      <c r="M3403" s="6"/>
      <c r="N3403" s="6"/>
      <c r="O3403" s="6"/>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c r="BU3403" s="6"/>
      <c r="BV3403" s="6"/>
      <c r="BW3403" s="6"/>
      <c r="BX3403" s="6"/>
      <c r="BY3403" s="6"/>
      <c r="BZ3403" s="6"/>
      <c r="CA3403" s="6"/>
      <c r="CB3403" s="6"/>
      <c r="CC3403" s="6"/>
      <c r="CD3403" s="6"/>
      <c r="CE3403" s="6"/>
      <c r="CF3403" s="6"/>
      <c r="CG3403" s="6"/>
      <c r="CH3403" s="6"/>
      <c r="CI3403" s="6"/>
      <c r="CJ3403" s="6"/>
      <c r="CK3403" s="6"/>
      <c r="CL3403" s="6"/>
      <c r="CM3403" s="6"/>
      <c r="CN3403" s="6"/>
      <c r="CO3403" s="6"/>
      <c r="CP3403" s="6"/>
      <c r="CQ3403" s="6"/>
      <c r="CR3403" s="6"/>
      <c r="CS3403" s="6"/>
      <c r="CT3403" s="6"/>
      <c r="CU3403" s="6"/>
      <c r="CV3403" s="6"/>
      <c r="CW3403" s="6"/>
      <c r="CX3403" s="6"/>
      <c r="CY3403" s="6"/>
      <c r="CZ3403" s="6"/>
      <c r="DA3403" s="6"/>
      <c r="DB3403" s="6"/>
      <c r="DC3403" s="6"/>
      <c r="DD3403" s="6"/>
    </row>
    <row r="3404" spans="1:108" ht="12.75" hidden="1" customHeight="1" outlineLevel="4">
      <c r="A3404" s="104" t="s">
        <v>4</v>
      </c>
      <c r="B3404" s="105">
        <v>0</v>
      </c>
      <c r="C3404" s="12"/>
      <c r="D3404" s="18" t="str">
        <f t="shared" ref="D3404:D3409" si="200">"&lt;" &amp; A3404 &amp; "&gt;" &amp; TEXT(B3404,"0.000000") &amp; "&lt;/" &amp; A3404 &amp; "&gt;"</f>
        <v>&lt;Camber&gt;0.000000&lt;/Camber&gt;</v>
      </c>
      <c r="F3404" s="6"/>
      <c r="G3404" s="6"/>
      <c r="H3404" s="6"/>
      <c r="I3404" s="6"/>
      <c r="J3404" s="6"/>
      <c r="K3404" s="6"/>
      <c r="L3404" s="6"/>
      <c r="M3404" s="6"/>
      <c r="N3404" s="6"/>
      <c r="O3404" s="6"/>
      <c r="P3404" s="6"/>
      <c r="Q3404" s="6"/>
      <c r="R3404" s="6"/>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c r="BU3404" s="6"/>
      <c r="BV3404" s="6"/>
      <c r="BW3404" s="6"/>
      <c r="BX3404" s="6"/>
      <c r="BY3404" s="6"/>
      <c r="BZ3404" s="6"/>
      <c r="CA3404" s="6"/>
      <c r="CB3404" s="6"/>
      <c r="CC3404" s="6"/>
      <c r="CD3404" s="6"/>
      <c r="CE3404" s="6"/>
      <c r="CF3404" s="6"/>
      <c r="CG3404" s="6"/>
      <c r="CH3404" s="6"/>
      <c r="CI3404" s="6"/>
      <c r="CJ3404" s="6"/>
      <c r="CK3404" s="6"/>
      <c r="CL3404" s="6"/>
      <c r="CM3404" s="6"/>
      <c r="CN3404" s="6"/>
      <c r="CO3404" s="6"/>
      <c r="CP3404" s="6"/>
      <c r="CQ3404" s="6"/>
      <c r="CR3404" s="6"/>
      <c r="CS3404" s="6"/>
      <c r="CT3404" s="6"/>
      <c r="CU3404" s="6"/>
      <c r="CV3404" s="6"/>
      <c r="CW3404" s="6"/>
      <c r="CX3404" s="6"/>
      <c r="CY3404" s="6"/>
      <c r="CZ3404" s="6"/>
      <c r="DA3404" s="6"/>
      <c r="DB3404" s="6"/>
      <c r="DC3404" s="6"/>
      <c r="DD3404" s="6"/>
    </row>
    <row r="3405" spans="1:108" ht="12.75" hidden="1" customHeight="1" outlineLevel="4">
      <c r="A3405" s="104" t="s">
        <v>103</v>
      </c>
      <c r="B3405" s="105">
        <v>0.5</v>
      </c>
      <c r="C3405" s="12"/>
      <c r="D3405" s="18" t="str">
        <f t="shared" si="200"/>
        <v>&lt;Camber_Loc&gt;0.500000&lt;/Camber_Loc&gt;</v>
      </c>
      <c r="F3405" s="6"/>
      <c r="G3405" s="6"/>
      <c r="H3405" s="6"/>
      <c r="I3405" s="6"/>
      <c r="J3405" s="6"/>
      <c r="K3405" s="6"/>
      <c r="L3405" s="6"/>
      <c r="M3405" s="6"/>
      <c r="N3405" s="6"/>
      <c r="O3405" s="6"/>
      <c r="P3405" s="6"/>
      <c r="Q3405" s="6"/>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c r="BU3405" s="6"/>
      <c r="BV3405" s="6"/>
      <c r="BW3405" s="6"/>
      <c r="BX3405" s="6"/>
      <c r="BY3405" s="6"/>
      <c r="BZ3405" s="6"/>
      <c r="CA3405" s="6"/>
      <c r="CB3405" s="6"/>
      <c r="CC3405" s="6"/>
      <c r="CD3405" s="6"/>
      <c r="CE3405" s="6"/>
      <c r="CF3405" s="6"/>
      <c r="CG3405" s="6"/>
      <c r="CH3405" s="6"/>
      <c r="CI3405" s="6"/>
      <c r="CJ3405" s="6"/>
      <c r="CK3405" s="6"/>
      <c r="CL3405" s="6"/>
      <c r="CM3405" s="6"/>
      <c r="CN3405" s="6"/>
      <c r="CO3405" s="6"/>
      <c r="CP3405" s="6"/>
      <c r="CQ3405" s="6"/>
      <c r="CR3405" s="6"/>
      <c r="CS3405" s="6"/>
      <c r="CT3405" s="6"/>
      <c r="CU3405" s="6"/>
      <c r="CV3405" s="6"/>
      <c r="CW3405" s="6"/>
      <c r="CX3405" s="6"/>
      <c r="CY3405" s="6"/>
      <c r="CZ3405" s="6"/>
      <c r="DA3405" s="6"/>
      <c r="DB3405" s="6"/>
      <c r="DC3405" s="6"/>
      <c r="DD3405" s="6"/>
    </row>
    <row r="3406" spans="1:108" ht="12.75" hidden="1" customHeight="1" outlineLevel="4">
      <c r="A3406" s="104" t="s">
        <v>5</v>
      </c>
      <c r="B3406" s="105">
        <v>0.1</v>
      </c>
      <c r="C3406" s="12"/>
      <c r="D3406" s="18" t="str">
        <f t="shared" si="200"/>
        <v>&lt;Thickness&gt;0.100000&lt;/Thickness&gt;</v>
      </c>
      <c r="F3406" s="6"/>
      <c r="G3406" s="6"/>
      <c r="H3406" s="6"/>
      <c r="I3406" s="6"/>
      <c r="J3406" s="6"/>
      <c r="K3406" s="6"/>
      <c r="L3406" s="6"/>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c r="BU3406" s="6"/>
      <c r="BV3406" s="6"/>
      <c r="BW3406" s="6"/>
      <c r="BX3406" s="6"/>
      <c r="BY3406" s="6"/>
      <c r="BZ3406" s="6"/>
      <c r="CA3406" s="6"/>
      <c r="CB3406" s="6"/>
      <c r="CC3406" s="6"/>
      <c r="CD3406" s="6"/>
      <c r="CE3406" s="6"/>
      <c r="CF3406" s="6"/>
      <c r="CG3406" s="6"/>
      <c r="CH3406" s="6"/>
      <c r="CI3406" s="6"/>
      <c r="CJ3406" s="6"/>
      <c r="CK3406" s="6"/>
      <c r="CL3406" s="6"/>
      <c r="CM3406" s="6"/>
      <c r="CN3406" s="6"/>
      <c r="CO3406" s="6"/>
      <c r="CP3406" s="6"/>
      <c r="CQ3406" s="6"/>
      <c r="CR3406" s="6"/>
      <c r="CS3406" s="6"/>
      <c r="CT3406" s="6"/>
      <c r="CU3406" s="6"/>
      <c r="CV3406" s="6"/>
      <c r="CW3406" s="6"/>
      <c r="CX3406" s="6"/>
      <c r="CY3406" s="6"/>
      <c r="CZ3406" s="6"/>
      <c r="DA3406" s="6"/>
      <c r="DB3406" s="6"/>
      <c r="DC3406" s="6"/>
      <c r="DD3406" s="6"/>
    </row>
    <row r="3407" spans="1:108" ht="12.75" hidden="1" customHeight="1" outlineLevel="4">
      <c r="A3407" s="104" t="s">
        <v>104</v>
      </c>
      <c r="B3407" s="105">
        <v>0.3</v>
      </c>
      <c r="C3407" s="12"/>
      <c r="D3407" s="18" t="str">
        <f t="shared" si="200"/>
        <v>&lt;Thickness_Loc&gt;0.300000&lt;/Thickness_Loc&gt;</v>
      </c>
      <c r="F3407" s="6"/>
      <c r="G3407" s="6"/>
      <c r="H3407" s="6"/>
      <c r="I3407" s="6"/>
      <c r="J3407" s="6"/>
      <c r="K3407" s="6"/>
      <c r="L3407" s="6"/>
      <c r="M3407" s="6"/>
      <c r="N3407" s="6"/>
      <c r="O3407" s="6"/>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c r="BU3407" s="6"/>
      <c r="BV3407" s="6"/>
      <c r="BW3407" s="6"/>
      <c r="BX3407" s="6"/>
      <c r="BY3407" s="6"/>
      <c r="BZ3407" s="6"/>
      <c r="CA3407" s="6"/>
      <c r="CB3407" s="6"/>
      <c r="CC3407" s="6"/>
      <c r="CD3407" s="6"/>
      <c r="CE3407" s="6"/>
      <c r="CF3407" s="6"/>
      <c r="CG3407" s="6"/>
      <c r="CH3407" s="6"/>
      <c r="CI3407" s="6"/>
      <c r="CJ3407" s="6"/>
      <c r="CK3407" s="6"/>
      <c r="CL3407" s="6"/>
      <c r="CM3407" s="6"/>
      <c r="CN3407" s="6"/>
      <c r="CO3407" s="6"/>
      <c r="CP3407" s="6"/>
      <c r="CQ3407" s="6"/>
      <c r="CR3407" s="6"/>
      <c r="CS3407" s="6"/>
      <c r="CT3407" s="6"/>
      <c r="CU3407" s="6"/>
      <c r="CV3407" s="6"/>
      <c r="CW3407" s="6"/>
      <c r="CX3407" s="6"/>
      <c r="CY3407" s="6"/>
      <c r="CZ3407" s="6"/>
      <c r="DA3407" s="6"/>
      <c r="DB3407" s="6"/>
      <c r="DC3407" s="6"/>
      <c r="DD3407" s="6"/>
    </row>
    <row r="3408" spans="1:108" ht="12.75" hidden="1" customHeight="1" outlineLevel="4">
      <c r="A3408" s="104" t="s">
        <v>105</v>
      </c>
      <c r="B3408" s="105">
        <v>1.1018999999999999E-2</v>
      </c>
      <c r="C3408" s="12"/>
      <c r="D3408" s="18" t="str">
        <f t="shared" si="200"/>
        <v>&lt;Radius_Le&gt;0.011019&lt;/Radius_Le&gt;</v>
      </c>
      <c r="F3408" s="6"/>
      <c r="G3408" s="6"/>
      <c r="H3408" s="6"/>
      <c r="I3408" s="6"/>
      <c r="J3408" s="6"/>
      <c r="K3408" s="6"/>
      <c r="L3408" s="6"/>
      <c r="M3408" s="6"/>
      <c r="N3408" s="6"/>
      <c r="O3408" s="6"/>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c r="BU3408" s="6"/>
      <c r="BV3408" s="6"/>
      <c r="BW3408" s="6"/>
      <c r="BX3408" s="6"/>
      <c r="BY3408" s="6"/>
      <c r="BZ3408" s="6"/>
      <c r="CA3408" s="6"/>
      <c r="CB3408" s="6"/>
      <c r="CC3408" s="6"/>
      <c r="CD3408" s="6"/>
      <c r="CE3408" s="6"/>
      <c r="CF3408" s="6"/>
      <c r="CG3408" s="6"/>
      <c r="CH3408" s="6"/>
      <c r="CI3408" s="6"/>
      <c r="CJ3408" s="6"/>
      <c r="CK3408" s="6"/>
      <c r="CL3408" s="6"/>
      <c r="CM3408" s="6"/>
      <c r="CN3408" s="6"/>
      <c r="CO3408" s="6"/>
      <c r="CP3408" s="6"/>
      <c r="CQ3408" s="6"/>
      <c r="CR3408" s="6"/>
      <c r="CS3408" s="6"/>
      <c r="CT3408" s="6"/>
      <c r="CU3408" s="6"/>
      <c r="CV3408" s="6"/>
      <c r="CW3408" s="6"/>
      <c r="CX3408" s="6"/>
      <c r="CY3408" s="6"/>
      <c r="CZ3408" s="6"/>
      <c r="DA3408" s="6"/>
      <c r="DB3408" s="6"/>
      <c r="DC3408" s="6"/>
      <c r="DD3408" s="6"/>
    </row>
    <row r="3409" spans="1:108" ht="12.75" hidden="1" customHeight="1" outlineLevel="4">
      <c r="A3409" s="104" t="s">
        <v>106</v>
      </c>
      <c r="B3409" s="105">
        <v>0</v>
      </c>
      <c r="C3409" s="12"/>
      <c r="D3409" s="18" t="str">
        <f t="shared" si="200"/>
        <v>&lt;Radius_Te&gt;0.000000&lt;/Radius_Te&gt;</v>
      </c>
      <c r="F3409" s="6"/>
      <c r="G3409" s="6"/>
      <c r="H3409" s="6"/>
      <c r="I3409" s="6"/>
      <c r="J3409" s="6"/>
      <c r="K3409" s="6"/>
      <c r="L3409" s="6"/>
      <c r="M3409" s="6"/>
      <c r="N3409" s="6"/>
      <c r="O3409" s="6"/>
      <c r="P3409" s="6"/>
      <c r="Q3409" s="6"/>
      <c r="R3409" s="6"/>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c r="BU3409" s="6"/>
      <c r="BV3409" s="6"/>
      <c r="BW3409" s="6"/>
      <c r="BX3409" s="6"/>
      <c r="BY3409" s="6"/>
      <c r="BZ3409" s="6"/>
      <c r="CA3409" s="6"/>
      <c r="CB3409" s="6"/>
      <c r="CC3409" s="6"/>
      <c r="CD3409" s="6"/>
      <c r="CE3409" s="6"/>
      <c r="CF3409" s="6"/>
      <c r="CG3409" s="6"/>
      <c r="CH3409" s="6"/>
      <c r="CI3409" s="6"/>
      <c r="CJ3409" s="6"/>
      <c r="CK3409" s="6"/>
      <c r="CL3409" s="6"/>
      <c r="CM3409" s="6"/>
      <c r="CN3409" s="6"/>
      <c r="CO3409" s="6"/>
      <c r="CP3409" s="6"/>
      <c r="CQ3409" s="6"/>
      <c r="CR3409" s="6"/>
      <c r="CS3409" s="6"/>
      <c r="CT3409" s="6"/>
      <c r="CU3409" s="6"/>
      <c r="CV3409" s="6"/>
      <c r="CW3409" s="6"/>
      <c r="CX3409" s="6"/>
      <c r="CY3409" s="6"/>
      <c r="CZ3409" s="6"/>
      <c r="DA3409" s="6"/>
      <c r="DB3409" s="6"/>
      <c r="DC3409" s="6"/>
      <c r="DD3409" s="6"/>
    </row>
    <row r="3410" spans="1:108" ht="12.75" hidden="1" customHeight="1" outlineLevel="4">
      <c r="A3410" s="104" t="s">
        <v>107</v>
      </c>
      <c r="B3410" s="105">
        <v>63</v>
      </c>
      <c r="C3410" s="12"/>
      <c r="D3410" s="18" t="str">
        <f>"&lt;" &amp; A3410 &amp; "&gt;" &amp; TEXT(B3410,0) &amp; "&lt;/" &amp; A3410 &amp; "&gt;"</f>
        <v>&lt;Six_Series&gt;63&lt;/Six_Series&gt;</v>
      </c>
      <c r="F3410" s="6"/>
      <c r="G3410" s="6"/>
      <c r="H3410" s="6"/>
      <c r="I3410" s="6"/>
      <c r="J3410" s="6"/>
      <c r="K3410" s="6"/>
      <c r="L3410" s="6"/>
      <c r="M3410" s="6"/>
      <c r="N3410" s="6"/>
      <c r="O3410" s="6"/>
      <c r="P3410" s="6"/>
      <c r="Q3410" s="6"/>
      <c r="R3410" s="6"/>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c r="BU3410" s="6"/>
      <c r="BV3410" s="6"/>
      <c r="BW3410" s="6"/>
      <c r="BX3410" s="6"/>
      <c r="BY3410" s="6"/>
      <c r="BZ3410" s="6"/>
      <c r="CA3410" s="6"/>
      <c r="CB3410" s="6"/>
      <c r="CC3410" s="6"/>
      <c r="CD3410" s="6"/>
      <c r="CE3410" s="6"/>
      <c r="CF3410" s="6"/>
      <c r="CG3410" s="6"/>
      <c r="CH3410" s="6"/>
      <c r="CI3410" s="6"/>
      <c r="CJ3410" s="6"/>
      <c r="CK3410" s="6"/>
      <c r="CL3410" s="6"/>
      <c r="CM3410" s="6"/>
      <c r="CN3410" s="6"/>
      <c r="CO3410" s="6"/>
      <c r="CP3410" s="6"/>
      <c r="CQ3410" s="6"/>
      <c r="CR3410" s="6"/>
      <c r="CS3410" s="6"/>
      <c r="CT3410" s="6"/>
      <c r="CU3410" s="6"/>
      <c r="CV3410" s="6"/>
      <c r="CW3410" s="6"/>
      <c r="CX3410" s="6"/>
      <c r="CY3410" s="6"/>
      <c r="CZ3410" s="6"/>
      <c r="DA3410" s="6"/>
      <c r="DB3410" s="6"/>
      <c r="DC3410" s="6"/>
      <c r="DD3410" s="6"/>
    </row>
    <row r="3411" spans="1:108" ht="12.75" hidden="1" customHeight="1" outlineLevel="4">
      <c r="A3411" s="104" t="s">
        <v>108</v>
      </c>
      <c r="B3411" s="105">
        <v>0</v>
      </c>
      <c r="C3411" s="12"/>
      <c r="D3411" s="18" t="str">
        <f>"&lt;" &amp; A3411 &amp; "&gt;" &amp; TEXT(B3411,"0.000000") &amp; "&lt;/" &amp; A3411 &amp; "&gt;"</f>
        <v>&lt;Ideal_Cl&gt;0.000000&lt;/Ideal_Cl&gt;</v>
      </c>
      <c r="F3411" s="6"/>
      <c r="G3411" s="6"/>
      <c r="H3411" s="6"/>
      <c r="I3411" s="6"/>
      <c r="J3411" s="6"/>
      <c r="K3411" s="6"/>
      <c r="L3411" s="6"/>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c r="BU3411" s="6"/>
      <c r="BV3411" s="6"/>
      <c r="BW3411" s="6"/>
      <c r="BX3411" s="6"/>
      <c r="BY3411" s="6"/>
      <c r="BZ3411" s="6"/>
      <c r="CA3411" s="6"/>
      <c r="CB3411" s="6"/>
      <c r="CC3411" s="6"/>
      <c r="CD3411" s="6"/>
      <c r="CE3411" s="6"/>
      <c r="CF3411" s="6"/>
      <c r="CG3411" s="6"/>
      <c r="CH3411" s="6"/>
      <c r="CI3411" s="6"/>
      <c r="CJ3411" s="6"/>
      <c r="CK3411" s="6"/>
      <c r="CL3411" s="6"/>
      <c r="CM3411" s="6"/>
      <c r="CN3411" s="6"/>
      <c r="CO3411" s="6"/>
      <c r="CP3411" s="6"/>
      <c r="CQ3411" s="6"/>
      <c r="CR3411" s="6"/>
      <c r="CS3411" s="6"/>
      <c r="CT3411" s="6"/>
      <c r="CU3411" s="6"/>
      <c r="CV3411" s="6"/>
      <c r="CW3411" s="6"/>
      <c r="CX3411" s="6"/>
      <c r="CY3411" s="6"/>
      <c r="CZ3411" s="6"/>
      <c r="DA3411" s="6"/>
      <c r="DB3411" s="6"/>
      <c r="DC3411" s="6"/>
      <c r="DD3411" s="6"/>
    </row>
    <row r="3412" spans="1:108" ht="12.75" hidden="1" customHeight="1" outlineLevel="4">
      <c r="A3412" s="104" t="s">
        <v>109</v>
      </c>
      <c r="B3412" s="105">
        <v>0</v>
      </c>
      <c r="C3412" s="12"/>
      <c r="D3412" s="18" t="str">
        <f>"&lt;" &amp; A3412 &amp; "&gt;" &amp; TEXT(B3412,"0.000000") &amp; "&lt;/" &amp; A3412 &amp; "&gt;"</f>
        <v>&lt;A&gt;0.000000&lt;/A&gt;</v>
      </c>
      <c r="F3412" s="6"/>
      <c r="G3412" s="6"/>
      <c r="H3412" s="6"/>
      <c r="I3412" s="6"/>
      <c r="J3412" s="6"/>
      <c r="K3412" s="6"/>
      <c r="L3412" s="6"/>
      <c r="M3412" s="6"/>
      <c r="N3412" s="6"/>
      <c r="O3412" s="6"/>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c r="BU3412" s="6"/>
      <c r="BV3412" s="6"/>
      <c r="BW3412" s="6"/>
      <c r="BX3412" s="6"/>
      <c r="BY3412" s="6"/>
      <c r="BZ3412" s="6"/>
      <c r="CA3412" s="6"/>
      <c r="CB3412" s="6"/>
      <c r="CC3412" s="6"/>
      <c r="CD3412" s="6"/>
      <c r="CE3412" s="6"/>
      <c r="CF3412" s="6"/>
      <c r="CG3412" s="6"/>
      <c r="CH3412" s="6"/>
      <c r="CI3412" s="6"/>
      <c r="CJ3412" s="6"/>
      <c r="CK3412" s="6"/>
      <c r="CL3412" s="6"/>
      <c r="CM3412" s="6"/>
      <c r="CN3412" s="6"/>
      <c r="CO3412" s="6"/>
      <c r="CP3412" s="6"/>
      <c r="CQ3412" s="6"/>
      <c r="CR3412" s="6"/>
      <c r="CS3412" s="6"/>
      <c r="CT3412" s="6"/>
      <c r="CU3412" s="6"/>
      <c r="CV3412" s="6"/>
      <c r="CW3412" s="6"/>
      <c r="CX3412" s="6"/>
      <c r="CY3412" s="6"/>
      <c r="CZ3412" s="6"/>
      <c r="DA3412" s="6"/>
      <c r="DB3412" s="6"/>
      <c r="DC3412" s="6"/>
      <c r="DD3412" s="6"/>
    </row>
    <row r="3413" spans="1:108" ht="12.75" hidden="1" customHeight="1" outlineLevel="4">
      <c r="A3413" s="104" t="s">
        <v>110</v>
      </c>
      <c r="B3413" s="105">
        <v>0</v>
      </c>
      <c r="C3413" s="12"/>
      <c r="D3413" s="18" t="str">
        <f>"&lt;" &amp; A3413 &amp; "&gt;" &amp; TEXT(B3413,0) &amp; "&lt;/" &amp; A3413 &amp; "&gt;"</f>
        <v>&lt;Slat_Flag&gt;0&lt;/Slat_Flag&gt;</v>
      </c>
      <c r="F3413" s="6"/>
      <c r="G3413" s="6"/>
      <c r="H3413" s="6"/>
      <c r="I3413" s="6"/>
      <c r="J3413" s="6"/>
      <c r="K3413" s="6"/>
      <c r="L3413" s="6"/>
      <c r="M3413" s="6"/>
      <c r="N3413" s="6"/>
      <c r="O3413" s="6"/>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c r="BU3413" s="6"/>
      <c r="BV3413" s="6"/>
      <c r="BW3413" s="6"/>
      <c r="BX3413" s="6"/>
      <c r="BY3413" s="6"/>
      <c r="BZ3413" s="6"/>
      <c r="CA3413" s="6"/>
      <c r="CB3413" s="6"/>
      <c r="CC3413" s="6"/>
      <c r="CD3413" s="6"/>
      <c r="CE3413" s="6"/>
      <c r="CF3413" s="6"/>
      <c r="CG3413" s="6"/>
      <c r="CH3413" s="6"/>
      <c r="CI3413" s="6"/>
      <c r="CJ3413" s="6"/>
      <c r="CK3413" s="6"/>
      <c r="CL3413" s="6"/>
      <c r="CM3413" s="6"/>
      <c r="CN3413" s="6"/>
      <c r="CO3413" s="6"/>
      <c r="CP3413" s="6"/>
      <c r="CQ3413" s="6"/>
      <c r="CR3413" s="6"/>
      <c r="CS3413" s="6"/>
      <c r="CT3413" s="6"/>
      <c r="CU3413" s="6"/>
      <c r="CV3413" s="6"/>
      <c r="CW3413" s="6"/>
      <c r="CX3413" s="6"/>
      <c r="CY3413" s="6"/>
      <c r="CZ3413" s="6"/>
      <c r="DA3413" s="6"/>
      <c r="DB3413" s="6"/>
      <c r="DC3413" s="6"/>
      <c r="DD3413" s="6"/>
    </row>
    <row r="3414" spans="1:108" ht="12.75" hidden="1" customHeight="1" outlineLevel="4">
      <c r="A3414" s="104" t="s">
        <v>111</v>
      </c>
      <c r="B3414" s="105">
        <v>0</v>
      </c>
      <c r="C3414" s="12"/>
      <c r="D3414" s="18" t="str">
        <f>"&lt;" &amp; A3414 &amp; "&gt;" &amp; TEXT(B3414,0) &amp; "&lt;/" &amp; A3414 &amp; "&gt;"</f>
        <v>&lt;Slat_Shear_Flag&gt;0&lt;/Slat_Shear_Flag&gt;</v>
      </c>
      <c r="F3414" s="6"/>
      <c r="G3414" s="6"/>
      <c r="H3414" s="6"/>
      <c r="I3414" s="6"/>
      <c r="J3414" s="6"/>
      <c r="K3414" s="6"/>
      <c r="L3414" s="6"/>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c r="BU3414" s="6"/>
      <c r="BV3414" s="6"/>
      <c r="BW3414" s="6"/>
      <c r="BX3414" s="6"/>
      <c r="BY3414" s="6"/>
      <c r="BZ3414" s="6"/>
      <c r="CA3414" s="6"/>
      <c r="CB3414" s="6"/>
      <c r="CC3414" s="6"/>
      <c r="CD3414" s="6"/>
      <c r="CE3414" s="6"/>
      <c r="CF3414" s="6"/>
      <c r="CG3414" s="6"/>
      <c r="CH3414" s="6"/>
      <c r="CI3414" s="6"/>
      <c r="CJ3414" s="6"/>
      <c r="CK3414" s="6"/>
      <c r="CL3414" s="6"/>
      <c r="CM3414" s="6"/>
      <c r="CN3414" s="6"/>
      <c r="CO3414" s="6"/>
      <c r="CP3414" s="6"/>
      <c r="CQ3414" s="6"/>
      <c r="CR3414" s="6"/>
      <c r="CS3414" s="6"/>
      <c r="CT3414" s="6"/>
      <c r="CU3414" s="6"/>
      <c r="CV3414" s="6"/>
      <c r="CW3414" s="6"/>
      <c r="CX3414" s="6"/>
      <c r="CY3414" s="6"/>
      <c r="CZ3414" s="6"/>
      <c r="DA3414" s="6"/>
      <c r="DB3414" s="6"/>
      <c r="DC3414" s="6"/>
      <c r="DD3414" s="6"/>
    </row>
    <row r="3415" spans="1:108" ht="12.75" hidden="1" customHeight="1" outlineLevel="4">
      <c r="A3415" s="104" t="s">
        <v>112</v>
      </c>
      <c r="B3415" s="105">
        <v>0.25</v>
      </c>
      <c r="C3415" s="12"/>
      <c r="D3415" s="18" t="str">
        <f>"&lt;" &amp; A3415 &amp; "&gt;" &amp; TEXT(B3415,"0.000000") &amp; "&lt;/" &amp; A3415 &amp; "&gt;"</f>
        <v>&lt;Slat_Chord&gt;0.250000&lt;/Slat_Chord&gt;</v>
      </c>
      <c r="F3415" s="6"/>
      <c r="G3415" s="6"/>
      <c r="H3415" s="6"/>
      <c r="I3415" s="6"/>
      <c r="J3415" s="6"/>
      <c r="K3415" s="6"/>
      <c r="L3415" s="6"/>
      <c r="M3415" s="6"/>
      <c r="N3415" s="6"/>
      <c r="O3415" s="6"/>
      <c r="P3415" s="6"/>
      <c r="Q3415" s="6"/>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c r="BU3415" s="6"/>
      <c r="BV3415" s="6"/>
      <c r="BW3415" s="6"/>
      <c r="BX3415" s="6"/>
      <c r="BY3415" s="6"/>
      <c r="BZ3415" s="6"/>
      <c r="CA3415" s="6"/>
      <c r="CB3415" s="6"/>
      <c r="CC3415" s="6"/>
      <c r="CD3415" s="6"/>
      <c r="CE3415" s="6"/>
      <c r="CF3415" s="6"/>
      <c r="CG3415" s="6"/>
      <c r="CH3415" s="6"/>
      <c r="CI3415" s="6"/>
      <c r="CJ3415" s="6"/>
      <c r="CK3415" s="6"/>
      <c r="CL3415" s="6"/>
      <c r="CM3415" s="6"/>
      <c r="CN3415" s="6"/>
      <c r="CO3415" s="6"/>
      <c r="CP3415" s="6"/>
      <c r="CQ3415" s="6"/>
      <c r="CR3415" s="6"/>
      <c r="CS3415" s="6"/>
      <c r="CT3415" s="6"/>
      <c r="CU3415" s="6"/>
      <c r="CV3415" s="6"/>
      <c r="CW3415" s="6"/>
      <c r="CX3415" s="6"/>
      <c r="CY3415" s="6"/>
      <c r="CZ3415" s="6"/>
      <c r="DA3415" s="6"/>
      <c r="DB3415" s="6"/>
      <c r="DC3415" s="6"/>
      <c r="DD3415" s="6"/>
    </row>
    <row r="3416" spans="1:108" ht="12.75" hidden="1" customHeight="1" outlineLevel="4">
      <c r="A3416" s="104" t="s">
        <v>113</v>
      </c>
      <c r="B3416" s="105">
        <v>10</v>
      </c>
      <c r="C3416" s="12"/>
      <c r="D3416" s="18" t="str">
        <f>"&lt;" &amp; A3416 &amp; "&gt;" &amp; TEXT(B3416,"0.000000") &amp; "&lt;/" &amp; A3416 &amp; "&gt;"</f>
        <v>&lt;Slat_Angle&gt;10.000000&lt;/Slat_Angle&gt;</v>
      </c>
      <c r="F3416" s="6"/>
      <c r="G3416" s="6"/>
      <c r="H3416" s="6"/>
      <c r="I3416" s="6"/>
      <c r="J3416" s="6"/>
      <c r="K3416" s="6"/>
      <c r="L3416" s="6"/>
      <c r="M3416" s="6"/>
      <c r="N3416" s="6"/>
      <c r="O3416" s="6"/>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c r="BU3416" s="6"/>
      <c r="BV3416" s="6"/>
      <c r="BW3416" s="6"/>
      <c r="BX3416" s="6"/>
      <c r="BY3416" s="6"/>
      <c r="BZ3416" s="6"/>
      <c r="CA3416" s="6"/>
      <c r="CB3416" s="6"/>
      <c r="CC3416" s="6"/>
      <c r="CD3416" s="6"/>
      <c r="CE3416" s="6"/>
      <c r="CF3416" s="6"/>
      <c r="CG3416" s="6"/>
      <c r="CH3416" s="6"/>
      <c r="CI3416" s="6"/>
      <c r="CJ3416" s="6"/>
      <c r="CK3416" s="6"/>
      <c r="CL3416" s="6"/>
      <c r="CM3416" s="6"/>
      <c r="CN3416" s="6"/>
      <c r="CO3416" s="6"/>
      <c r="CP3416" s="6"/>
      <c r="CQ3416" s="6"/>
      <c r="CR3416" s="6"/>
      <c r="CS3416" s="6"/>
      <c r="CT3416" s="6"/>
      <c r="CU3416" s="6"/>
      <c r="CV3416" s="6"/>
      <c r="CW3416" s="6"/>
      <c r="CX3416" s="6"/>
      <c r="CY3416" s="6"/>
      <c r="CZ3416" s="6"/>
      <c r="DA3416" s="6"/>
      <c r="DB3416" s="6"/>
      <c r="DC3416" s="6"/>
      <c r="DD3416" s="6"/>
    </row>
    <row r="3417" spans="1:108" ht="12.75" hidden="1" customHeight="1" outlineLevel="4">
      <c r="A3417" s="104" t="s">
        <v>114</v>
      </c>
      <c r="B3417" s="105">
        <v>0</v>
      </c>
      <c r="C3417" s="12"/>
      <c r="D3417" s="18" t="str">
        <f>"&lt;" &amp; A3417 &amp; "&gt;" &amp; TEXT(B3417,0) &amp; "&lt;/" &amp; A3417 &amp; "&gt;"</f>
        <v>&lt;Flap_Flag&gt;0&lt;/Flap_Flag&gt;</v>
      </c>
      <c r="F3417" s="6"/>
      <c r="G3417" s="6"/>
      <c r="H3417" s="6"/>
      <c r="I3417" s="6"/>
      <c r="J3417" s="6"/>
      <c r="K3417" s="6"/>
      <c r="L3417" s="6"/>
      <c r="M3417" s="6"/>
      <c r="N3417" s="6"/>
      <c r="O3417" s="6"/>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c r="BU3417" s="6"/>
      <c r="BV3417" s="6"/>
      <c r="BW3417" s="6"/>
      <c r="BX3417" s="6"/>
      <c r="BY3417" s="6"/>
      <c r="BZ3417" s="6"/>
      <c r="CA3417" s="6"/>
      <c r="CB3417" s="6"/>
      <c r="CC3417" s="6"/>
      <c r="CD3417" s="6"/>
      <c r="CE3417" s="6"/>
      <c r="CF3417" s="6"/>
      <c r="CG3417" s="6"/>
      <c r="CH3417" s="6"/>
      <c r="CI3417" s="6"/>
      <c r="CJ3417" s="6"/>
      <c r="CK3417" s="6"/>
      <c r="CL3417" s="6"/>
      <c r="CM3417" s="6"/>
      <c r="CN3417" s="6"/>
      <c r="CO3417" s="6"/>
      <c r="CP3417" s="6"/>
      <c r="CQ3417" s="6"/>
      <c r="CR3417" s="6"/>
      <c r="CS3417" s="6"/>
      <c r="CT3417" s="6"/>
      <c r="CU3417" s="6"/>
      <c r="CV3417" s="6"/>
      <c r="CW3417" s="6"/>
      <c r="CX3417" s="6"/>
      <c r="CY3417" s="6"/>
      <c r="CZ3417" s="6"/>
      <c r="DA3417" s="6"/>
      <c r="DB3417" s="6"/>
      <c r="DC3417" s="6"/>
      <c r="DD3417" s="6"/>
    </row>
    <row r="3418" spans="1:108" ht="12.75" hidden="1" customHeight="1" outlineLevel="4">
      <c r="A3418" s="104" t="s">
        <v>115</v>
      </c>
      <c r="B3418" s="105">
        <v>0</v>
      </c>
      <c r="C3418" s="12"/>
      <c r="D3418" s="18" t="str">
        <f>"&lt;" &amp; A3418 &amp; "&gt;" &amp; TEXT(B3418,0) &amp; "&lt;/" &amp; A3418 &amp; "&gt;"</f>
        <v>&lt;Flap_Shear_Flag&gt;0&lt;/Flap_Shear_Flag&gt;</v>
      </c>
      <c r="F3418" s="6"/>
      <c r="G3418" s="6"/>
      <c r="H3418" s="6"/>
      <c r="I3418" s="6"/>
      <c r="J3418" s="6"/>
      <c r="K3418" s="6"/>
      <c r="L3418" s="6"/>
      <c r="M3418" s="6"/>
      <c r="N3418" s="6"/>
      <c r="O3418" s="6"/>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c r="BU3418" s="6"/>
      <c r="BV3418" s="6"/>
      <c r="BW3418" s="6"/>
      <c r="BX3418" s="6"/>
      <c r="BY3418" s="6"/>
      <c r="BZ3418" s="6"/>
      <c r="CA3418" s="6"/>
      <c r="CB3418" s="6"/>
      <c r="CC3418" s="6"/>
      <c r="CD3418" s="6"/>
      <c r="CE3418" s="6"/>
      <c r="CF3418" s="6"/>
      <c r="CG3418" s="6"/>
      <c r="CH3418" s="6"/>
      <c r="CI3418" s="6"/>
      <c r="CJ3418" s="6"/>
      <c r="CK3418" s="6"/>
      <c r="CL3418" s="6"/>
      <c r="CM3418" s="6"/>
      <c r="CN3418" s="6"/>
      <c r="CO3418" s="6"/>
      <c r="CP3418" s="6"/>
      <c r="CQ3418" s="6"/>
      <c r="CR3418" s="6"/>
      <c r="CS3418" s="6"/>
      <c r="CT3418" s="6"/>
      <c r="CU3418" s="6"/>
      <c r="CV3418" s="6"/>
      <c r="CW3418" s="6"/>
      <c r="CX3418" s="6"/>
      <c r="CY3418" s="6"/>
      <c r="CZ3418" s="6"/>
      <c r="DA3418" s="6"/>
      <c r="DB3418" s="6"/>
      <c r="DC3418" s="6"/>
      <c r="DD3418" s="6"/>
    </row>
    <row r="3419" spans="1:108" ht="12.75" hidden="1" customHeight="1" outlineLevel="4">
      <c r="A3419" s="104" t="s">
        <v>116</v>
      </c>
      <c r="B3419" s="105">
        <v>0.25</v>
      </c>
      <c r="C3419" s="12"/>
      <c r="D3419" s="18" t="str">
        <f>"&lt;" &amp; A3419 &amp; "&gt;" &amp; TEXT(B3419,"0.000000") &amp; "&lt;/" &amp; A3419 &amp; "&gt;"</f>
        <v>&lt;Flap_Chord&gt;0.250000&lt;/Flap_Chord&gt;</v>
      </c>
      <c r="F3419" s="6"/>
      <c r="G3419" s="6"/>
      <c r="H3419" s="6"/>
      <c r="I3419" s="6"/>
      <c r="J3419" s="6"/>
      <c r="K3419" s="6"/>
      <c r="L3419" s="6"/>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c r="BU3419" s="6"/>
      <c r="BV3419" s="6"/>
      <c r="BW3419" s="6"/>
      <c r="BX3419" s="6"/>
      <c r="BY3419" s="6"/>
      <c r="BZ3419" s="6"/>
      <c r="CA3419" s="6"/>
      <c r="CB3419" s="6"/>
      <c r="CC3419" s="6"/>
      <c r="CD3419" s="6"/>
      <c r="CE3419" s="6"/>
      <c r="CF3419" s="6"/>
      <c r="CG3419" s="6"/>
      <c r="CH3419" s="6"/>
      <c r="CI3419" s="6"/>
      <c r="CJ3419" s="6"/>
      <c r="CK3419" s="6"/>
      <c r="CL3419" s="6"/>
      <c r="CM3419" s="6"/>
      <c r="CN3419" s="6"/>
      <c r="CO3419" s="6"/>
      <c r="CP3419" s="6"/>
      <c r="CQ3419" s="6"/>
      <c r="CR3419" s="6"/>
      <c r="CS3419" s="6"/>
      <c r="CT3419" s="6"/>
      <c r="CU3419" s="6"/>
      <c r="CV3419" s="6"/>
      <c r="CW3419" s="6"/>
      <c r="CX3419" s="6"/>
      <c r="CY3419" s="6"/>
      <c r="CZ3419" s="6"/>
      <c r="DA3419" s="6"/>
      <c r="DB3419" s="6"/>
      <c r="DC3419" s="6"/>
      <c r="DD3419" s="6"/>
    </row>
    <row r="3420" spans="1:108" ht="12.75" hidden="1" customHeight="1" outlineLevel="4">
      <c r="A3420" s="104" t="s">
        <v>117</v>
      </c>
      <c r="B3420" s="105">
        <v>10</v>
      </c>
      <c r="C3420" s="12"/>
      <c r="D3420" s="18" t="str">
        <f>"&lt;" &amp; A3420 &amp; "&gt;" &amp; TEXT(B3420,"0.000000") &amp; "&lt;/" &amp; A3420 &amp; "&gt;"</f>
        <v>&lt;Flap_Angle&gt;10.000000&lt;/Flap_Angle&gt;</v>
      </c>
      <c r="F3420" s="6"/>
      <c r="G3420" s="6"/>
      <c r="H3420" s="6"/>
      <c r="I3420" s="6"/>
      <c r="J3420" s="6"/>
      <c r="K3420" s="6"/>
      <c r="L3420" s="6"/>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c r="BU3420" s="6"/>
      <c r="BV3420" s="6"/>
      <c r="BW3420" s="6"/>
      <c r="BX3420" s="6"/>
      <c r="BY3420" s="6"/>
      <c r="BZ3420" s="6"/>
      <c r="CA3420" s="6"/>
      <c r="CB3420" s="6"/>
      <c r="CC3420" s="6"/>
      <c r="CD3420" s="6"/>
      <c r="CE3420" s="6"/>
      <c r="CF3420" s="6"/>
      <c r="CG3420" s="6"/>
      <c r="CH3420" s="6"/>
      <c r="CI3420" s="6"/>
      <c r="CJ3420" s="6"/>
      <c r="CK3420" s="6"/>
      <c r="CL3420" s="6"/>
      <c r="CM3420" s="6"/>
      <c r="CN3420" s="6"/>
      <c r="CO3420" s="6"/>
      <c r="CP3420" s="6"/>
      <c r="CQ3420" s="6"/>
      <c r="CR3420" s="6"/>
      <c r="CS3420" s="6"/>
      <c r="CT3420" s="6"/>
      <c r="CU3420" s="6"/>
      <c r="CV3420" s="6"/>
      <c r="CW3420" s="6"/>
      <c r="CX3420" s="6"/>
      <c r="CY3420" s="6"/>
      <c r="CZ3420" s="6"/>
      <c r="DA3420" s="6"/>
      <c r="DB3420" s="6"/>
      <c r="DC3420" s="6"/>
      <c r="DD3420" s="6"/>
    </row>
    <row r="3421" spans="1:108" ht="12.75" hidden="1" customHeight="1" outlineLevel="4">
      <c r="A3421" s="104" t="s">
        <v>118</v>
      </c>
      <c r="C3421" s="12"/>
      <c r="D3421" s="6" t="str">
        <f>"&lt;" &amp; A3421 &amp; "&gt;"</f>
        <v>&lt;/Airfoil&gt;</v>
      </c>
      <c r="F3421" s="6"/>
      <c r="G3421" s="6"/>
      <c r="H3421" s="6"/>
      <c r="I3421" s="6"/>
      <c r="J3421" s="6"/>
      <c r="K3421" s="6"/>
      <c r="L3421" s="6"/>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c r="BU3421" s="6"/>
      <c r="BV3421" s="6"/>
      <c r="BW3421" s="6"/>
      <c r="BX3421" s="6"/>
      <c r="BY3421" s="6"/>
      <c r="BZ3421" s="6"/>
      <c r="CA3421" s="6"/>
      <c r="CB3421" s="6"/>
      <c r="CC3421" s="6"/>
      <c r="CD3421" s="6"/>
      <c r="CE3421" s="6"/>
      <c r="CF3421" s="6"/>
      <c r="CG3421" s="6"/>
      <c r="CH3421" s="6"/>
      <c r="CI3421" s="6"/>
      <c r="CJ3421" s="6"/>
      <c r="CK3421" s="6"/>
      <c r="CL3421" s="6"/>
      <c r="CM3421" s="6"/>
      <c r="CN3421" s="6"/>
      <c r="CO3421" s="6"/>
      <c r="CP3421" s="6"/>
      <c r="CQ3421" s="6"/>
      <c r="CR3421" s="6"/>
      <c r="CS3421" s="6"/>
      <c r="CT3421" s="6"/>
      <c r="CU3421" s="6"/>
      <c r="CV3421" s="6"/>
      <c r="CW3421" s="6"/>
      <c r="CX3421" s="6"/>
      <c r="CY3421" s="6"/>
      <c r="CZ3421" s="6"/>
      <c r="DA3421" s="6"/>
      <c r="DB3421" s="6"/>
      <c r="DC3421" s="6"/>
      <c r="DD3421" s="6"/>
    </row>
    <row r="3422" spans="1:108" ht="12.75" hidden="1" customHeight="1" outlineLevel="3">
      <c r="A3422" s="104" t="s">
        <v>138</v>
      </c>
      <c r="C3422" s="12" t="str">
        <f>C3342</f>
        <v>Yes</v>
      </c>
      <c r="D3422" s="133" t="str">
        <f>IF(C3422="Yes",("&lt;"&amp;A3422&amp;"&gt;"),("&lt;"&amp;A3422&amp;"--&gt;"))</f>
        <v>&lt;/Component&gt;</v>
      </c>
      <c r="F3422" s="6"/>
      <c r="G3422" s="6"/>
      <c r="H3422" s="6"/>
      <c r="I3422" s="6"/>
      <c r="J3422" s="6"/>
      <c r="K3422" s="6"/>
      <c r="L3422" s="6"/>
      <c r="M3422" s="6"/>
      <c r="N3422" s="6"/>
      <c r="O3422" s="6"/>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c r="BU3422" s="6"/>
      <c r="BV3422" s="6"/>
      <c r="BW3422" s="6"/>
      <c r="BX3422" s="6"/>
      <c r="BY3422" s="6"/>
      <c r="BZ3422" s="6"/>
      <c r="CA3422" s="6"/>
      <c r="CB3422" s="6"/>
      <c r="CC3422" s="6"/>
      <c r="CD3422" s="6"/>
      <c r="CE3422" s="6"/>
      <c r="CF3422" s="6"/>
      <c r="CG3422" s="6"/>
      <c r="CH3422" s="6"/>
      <c r="CI3422" s="6"/>
      <c r="CJ3422" s="6"/>
      <c r="CK3422" s="6"/>
      <c r="CL3422" s="6"/>
      <c r="CM3422" s="6"/>
      <c r="CN3422" s="6"/>
      <c r="CO3422" s="6"/>
      <c r="CP3422" s="6"/>
      <c r="CQ3422" s="6"/>
      <c r="CR3422" s="6"/>
      <c r="CS3422" s="6"/>
      <c r="CT3422" s="6"/>
      <c r="CU3422" s="6"/>
      <c r="CV3422" s="6"/>
      <c r="CW3422" s="6"/>
      <c r="CX3422" s="6"/>
      <c r="CY3422" s="6"/>
      <c r="CZ3422" s="6"/>
      <c r="DA3422" s="6"/>
      <c r="DB3422" s="6"/>
      <c r="DC3422" s="6"/>
      <c r="DD3422" s="6"/>
    </row>
    <row r="3423" spans="1:108" s="26" customFormat="1" outlineLevel="2" collapsed="1">
      <c r="A3423" s="104" t="s">
        <v>40</v>
      </c>
      <c r="B3423" s="110" t="str">
        <f>B3426</f>
        <v>Gear1</v>
      </c>
      <c r="C3423" s="27" t="s">
        <v>11</v>
      </c>
      <c r="D3423" s="6" t="str">
        <f>IF(C3423="Yes",("&lt;"&amp;A3423&amp;"&gt;"),("&lt;!--"&amp;A3423&amp;"&gt;"))</f>
        <v>&lt;Component&gt;</v>
      </c>
      <c r="E3423"/>
      <c r="F3423" s="6"/>
      <c r="G3423" s="6"/>
      <c r="H3423" s="6"/>
      <c r="I3423" s="6"/>
      <c r="J3423" s="6"/>
      <c r="K3423" s="6"/>
      <c r="L3423" s="6"/>
      <c r="M3423" s="6"/>
      <c r="N3423" s="6"/>
      <c r="O3423" s="6"/>
      <c r="P3423" s="6"/>
      <c r="Q3423" s="6"/>
      <c r="R3423" s="6"/>
      <c r="S3423" s="6"/>
      <c r="T3423" s="6"/>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c r="BU3423" s="6"/>
      <c r="BV3423" s="6"/>
      <c r="BW3423" s="6"/>
      <c r="BX3423" s="6"/>
      <c r="BY3423" s="6"/>
      <c r="BZ3423" s="6"/>
      <c r="CA3423" s="6"/>
      <c r="CB3423" s="6"/>
      <c r="CC3423" s="6"/>
      <c r="CD3423" s="6"/>
      <c r="CE3423" s="6"/>
      <c r="CF3423" s="6"/>
      <c r="CG3423" s="6"/>
      <c r="CH3423" s="6"/>
      <c r="CI3423" s="6"/>
      <c r="CJ3423" s="6"/>
      <c r="CK3423" s="6"/>
      <c r="CL3423" s="6"/>
      <c r="CM3423" s="6"/>
      <c r="CN3423" s="6"/>
      <c r="CO3423" s="6"/>
      <c r="CP3423" s="6"/>
      <c r="CQ3423" s="6"/>
      <c r="CR3423" s="6"/>
      <c r="CS3423" s="6"/>
      <c r="CT3423" s="6"/>
      <c r="CU3423" s="6"/>
      <c r="CV3423" s="6"/>
      <c r="CW3423" s="6"/>
      <c r="CX3423" s="6"/>
      <c r="CY3423" s="6"/>
      <c r="CZ3423" s="6"/>
      <c r="DA3423" s="6"/>
      <c r="DB3423" s="6"/>
      <c r="DC3423" s="6"/>
      <c r="DD3423" s="6"/>
    </row>
    <row r="3424" spans="1:108" ht="12.75" hidden="1" customHeight="1" outlineLevel="3">
      <c r="A3424" s="104" t="s">
        <v>14</v>
      </c>
      <c r="B3424" s="6" t="s">
        <v>284</v>
      </c>
      <c r="C3424" s="12"/>
      <c r="D3424" s="18" t="str">
        <f>"&lt;" &amp; A3424 &amp; "&gt;" &amp; TEXT(B3424,"0.000000") &amp; "&lt;/" &amp; A3424 &amp; "&gt;"</f>
        <v>&lt;Type&gt;Duct&lt;/Type&gt;</v>
      </c>
      <c r="F3424" s="6"/>
      <c r="G3424" s="6"/>
      <c r="H3424" s="6"/>
      <c r="I3424" s="6"/>
      <c r="J3424" s="6"/>
      <c r="K3424" s="6"/>
      <c r="L3424" s="6"/>
      <c r="M3424" s="6"/>
      <c r="N3424" s="6"/>
      <c r="O3424" s="6"/>
      <c r="P3424" s="6"/>
      <c r="Q3424" s="6"/>
      <c r="R3424" s="6"/>
      <c r="S3424" s="6"/>
      <c r="T3424" s="6"/>
      <c r="U3424" s="6"/>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c r="BU3424" s="6"/>
      <c r="BV3424" s="6"/>
      <c r="BW3424" s="6"/>
      <c r="BX3424" s="6"/>
      <c r="BY3424" s="6"/>
      <c r="BZ3424" s="6"/>
      <c r="CA3424" s="6"/>
      <c r="CB3424" s="6"/>
      <c r="CC3424" s="6"/>
      <c r="CD3424" s="6"/>
      <c r="CE3424" s="6"/>
      <c r="CF3424" s="6"/>
      <c r="CG3424" s="6"/>
      <c r="CH3424" s="6"/>
      <c r="CI3424" s="6"/>
      <c r="CJ3424" s="6"/>
      <c r="CK3424" s="6"/>
      <c r="CL3424" s="6"/>
      <c r="CM3424" s="6"/>
      <c r="CN3424" s="6"/>
      <c r="CO3424" s="6"/>
      <c r="CP3424" s="6"/>
      <c r="CQ3424" s="6"/>
      <c r="CR3424" s="6"/>
      <c r="CS3424" s="6"/>
      <c r="CT3424" s="6"/>
      <c r="CU3424" s="6"/>
      <c r="CV3424" s="6"/>
      <c r="CW3424" s="6"/>
      <c r="CX3424" s="6"/>
      <c r="CY3424" s="6"/>
      <c r="CZ3424" s="6"/>
      <c r="DA3424" s="6"/>
      <c r="DB3424" s="6"/>
      <c r="DC3424" s="6"/>
      <c r="DD3424" s="6"/>
    </row>
    <row r="3425" spans="1:108" ht="12.75" hidden="1" customHeight="1" outlineLevel="3">
      <c r="A3425" s="104" t="s">
        <v>42</v>
      </c>
      <c r="C3425" s="12"/>
      <c r="D3425" s="6" t="str">
        <f>"&lt;" &amp; A3425 &amp; "&gt;"</f>
        <v>&lt;General_Parms&gt;</v>
      </c>
      <c r="F3425" s="6"/>
      <c r="G3425" s="6"/>
      <c r="H3425" s="6"/>
      <c r="I3425" s="6"/>
      <c r="J3425" s="6"/>
      <c r="K3425" s="6"/>
      <c r="L3425" s="6"/>
      <c r="M3425" s="6"/>
      <c r="N3425" s="6"/>
      <c r="O3425" s="6"/>
      <c r="P3425" s="6"/>
      <c r="Q3425" s="6"/>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c r="BU3425" s="6"/>
      <c r="BV3425" s="6"/>
      <c r="BW3425" s="6"/>
      <c r="BX3425" s="6"/>
      <c r="BY3425" s="6"/>
      <c r="BZ3425" s="6"/>
      <c r="CA3425" s="6"/>
      <c r="CB3425" s="6"/>
      <c r="CC3425" s="6"/>
      <c r="CD3425" s="6"/>
      <c r="CE3425" s="6"/>
      <c r="CF3425" s="6"/>
      <c r="CG3425" s="6"/>
      <c r="CH3425" s="6"/>
      <c r="CI3425" s="6"/>
      <c r="CJ3425" s="6"/>
      <c r="CK3425" s="6"/>
      <c r="CL3425" s="6"/>
      <c r="CM3425" s="6"/>
      <c r="CN3425" s="6"/>
      <c r="CO3425" s="6"/>
      <c r="CP3425" s="6"/>
      <c r="CQ3425" s="6"/>
      <c r="CR3425" s="6"/>
      <c r="CS3425" s="6"/>
      <c r="CT3425" s="6"/>
      <c r="CU3425" s="6"/>
      <c r="CV3425" s="6"/>
      <c r="CW3425" s="6"/>
      <c r="CX3425" s="6"/>
      <c r="CY3425" s="6"/>
      <c r="CZ3425" s="6"/>
      <c r="DA3425" s="6"/>
      <c r="DB3425" s="6"/>
      <c r="DC3425" s="6"/>
      <c r="DD3425" s="6"/>
    </row>
    <row r="3426" spans="1:108" ht="12.75" hidden="1" customHeight="1" outlineLevel="4">
      <c r="A3426" s="104" t="s">
        <v>1</v>
      </c>
      <c r="B3426" s="119" t="str">
        <f>"Gear1"</f>
        <v>Gear1</v>
      </c>
      <c r="C3426" s="12"/>
      <c r="D3426" s="18" t="str">
        <f>"&lt;" &amp; A3426 &amp; "&gt;" &amp; TEXT(B3426,"0.000000") &amp; "&lt;/" &amp; A3426 &amp; "&gt;"</f>
        <v>&lt;Name&gt;Gear1&lt;/Name&gt;</v>
      </c>
      <c r="F3426" s="6"/>
      <c r="G3426" s="6"/>
      <c r="H3426" s="6"/>
      <c r="I3426" s="6"/>
      <c r="J3426" s="6"/>
      <c r="K3426" s="6"/>
      <c r="L3426" s="6"/>
      <c r="M3426" s="6"/>
      <c r="N3426" s="6"/>
      <c r="O3426" s="6"/>
      <c r="P3426" s="6"/>
      <c r="Q3426" s="6"/>
      <c r="R3426" s="6"/>
      <c r="S3426" s="6"/>
      <c r="T3426" s="6"/>
      <c r="U3426" s="6"/>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c r="BU3426" s="6"/>
      <c r="BV3426" s="6"/>
      <c r="BW3426" s="6"/>
      <c r="BX3426" s="6"/>
      <c r="BY3426" s="6"/>
      <c r="BZ3426" s="6"/>
      <c r="CA3426" s="6"/>
      <c r="CB3426" s="6"/>
      <c r="CC3426" s="6"/>
      <c r="CD3426" s="6"/>
      <c r="CE3426" s="6"/>
      <c r="CF3426" s="6"/>
      <c r="CG3426" s="6"/>
      <c r="CH3426" s="6"/>
      <c r="CI3426" s="6"/>
      <c r="CJ3426" s="6"/>
      <c r="CK3426" s="6"/>
      <c r="CL3426" s="6"/>
      <c r="CM3426" s="6"/>
      <c r="CN3426" s="6"/>
      <c r="CO3426" s="6"/>
      <c r="CP3426" s="6"/>
      <c r="CQ3426" s="6"/>
      <c r="CR3426" s="6"/>
      <c r="CS3426" s="6"/>
      <c r="CT3426" s="6"/>
      <c r="CU3426" s="6"/>
      <c r="CV3426" s="6"/>
      <c r="CW3426" s="6"/>
      <c r="CX3426" s="6"/>
      <c r="CY3426" s="6"/>
      <c r="CZ3426" s="6"/>
      <c r="DA3426" s="6"/>
      <c r="DB3426" s="6"/>
      <c r="DC3426" s="6"/>
      <c r="DD3426" s="6"/>
    </row>
    <row r="3427" spans="1:108" ht="12.75" hidden="1" customHeight="1" outlineLevel="4">
      <c r="A3427" s="104" t="s">
        <v>43</v>
      </c>
      <c r="B3427" s="105">
        <f>B3346</f>
        <v>127</v>
      </c>
      <c r="C3427" s="12"/>
      <c r="D3427" s="18" t="str">
        <f>"&lt;" &amp; A3427 &amp; "&gt;" &amp; TEXT(B3427,"0.000000") &amp; "&lt;/" &amp; A3427 &amp; "&gt;"</f>
        <v>&lt;ColorR&gt;127.000000&lt;/ColorR&gt;</v>
      </c>
      <c r="F3427" s="6"/>
      <c r="G3427" s="6"/>
      <c r="H3427" s="6"/>
      <c r="I3427" s="6"/>
      <c r="J3427" s="6"/>
      <c r="K3427" s="6"/>
      <c r="L3427" s="6"/>
      <c r="M3427" s="6"/>
      <c r="N3427" s="6"/>
      <c r="O3427" s="6"/>
      <c r="P3427" s="6"/>
      <c r="Q3427" s="6"/>
      <c r="R3427" s="6"/>
      <c r="S3427" s="6"/>
      <c r="T3427" s="6"/>
      <c r="U3427" s="6"/>
      <c r="V3427" s="6"/>
      <c r="W3427" s="6"/>
      <c r="X3427" s="6"/>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c r="BU3427" s="6"/>
      <c r="BV3427" s="6"/>
      <c r="BW3427" s="6"/>
      <c r="BX3427" s="6"/>
      <c r="BY3427" s="6"/>
      <c r="BZ3427" s="6"/>
      <c r="CA3427" s="6"/>
      <c r="CB3427" s="6"/>
      <c r="CC3427" s="6"/>
      <c r="CD3427" s="6"/>
      <c r="CE3427" s="6"/>
      <c r="CF3427" s="6"/>
      <c r="CG3427" s="6"/>
      <c r="CH3427" s="6"/>
      <c r="CI3427" s="6"/>
      <c r="CJ3427" s="6"/>
      <c r="CK3427" s="6"/>
      <c r="CL3427" s="6"/>
      <c r="CM3427" s="6"/>
      <c r="CN3427" s="6"/>
      <c r="CO3427" s="6"/>
      <c r="CP3427" s="6"/>
      <c r="CQ3427" s="6"/>
      <c r="CR3427" s="6"/>
      <c r="CS3427" s="6"/>
      <c r="CT3427" s="6"/>
      <c r="CU3427" s="6"/>
      <c r="CV3427" s="6"/>
      <c r="CW3427" s="6"/>
      <c r="CX3427" s="6"/>
      <c r="CY3427" s="6"/>
      <c r="CZ3427" s="6"/>
      <c r="DA3427" s="6"/>
      <c r="DB3427" s="6"/>
      <c r="DC3427" s="6"/>
      <c r="DD3427" s="6"/>
    </row>
    <row r="3428" spans="1:108" ht="12.75" hidden="1" customHeight="1" outlineLevel="4">
      <c r="A3428" s="104" t="s">
        <v>44</v>
      </c>
      <c r="B3428" s="105">
        <f t="shared" ref="B3428:B3439" si="201">B3347</f>
        <v>127</v>
      </c>
      <c r="C3428" s="12"/>
      <c r="D3428" s="18" t="str">
        <f>"&lt;" &amp; A3428 &amp; "&gt;" &amp; TEXT(B3428,"0.000000") &amp; "&lt;/" &amp; A3428 &amp; "&gt;"</f>
        <v>&lt;ColorG&gt;127.000000&lt;/ColorG&gt;</v>
      </c>
      <c r="F3428" s="6"/>
      <c r="G3428" s="6"/>
      <c r="H3428" s="6"/>
      <c r="I3428" s="6"/>
      <c r="J3428" s="6"/>
      <c r="K3428" s="6"/>
      <c r="L3428" s="6"/>
      <c r="M3428" s="6"/>
      <c r="N3428" s="6"/>
      <c r="O3428" s="6"/>
      <c r="P3428" s="6"/>
      <c r="Q3428" s="6"/>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c r="BU3428" s="6"/>
      <c r="BV3428" s="6"/>
      <c r="BW3428" s="6"/>
      <c r="BX3428" s="6"/>
      <c r="BY3428" s="6"/>
      <c r="BZ3428" s="6"/>
      <c r="CA3428" s="6"/>
      <c r="CB3428" s="6"/>
      <c r="CC3428" s="6"/>
      <c r="CD3428" s="6"/>
      <c r="CE3428" s="6"/>
      <c r="CF3428" s="6"/>
      <c r="CG3428" s="6"/>
      <c r="CH3428" s="6"/>
      <c r="CI3428" s="6"/>
      <c r="CJ3428" s="6"/>
      <c r="CK3428" s="6"/>
      <c r="CL3428" s="6"/>
      <c r="CM3428" s="6"/>
      <c r="CN3428" s="6"/>
      <c r="CO3428" s="6"/>
      <c r="CP3428" s="6"/>
      <c r="CQ3428" s="6"/>
      <c r="CR3428" s="6"/>
      <c r="CS3428" s="6"/>
      <c r="CT3428" s="6"/>
      <c r="CU3428" s="6"/>
      <c r="CV3428" s="6"/>
      <c r="CW3428" s="6"/>
      <c r="CX3428" s="6"/>
      <c r="CY3428" s="6"/>
      <c r="CZ3428" s="6"/>
      <c r="DA3428" s="6"/>
      <c r="DB3428" s="6"/>
      <c r="DC3428" s="6"/>
      <c r="DD3428" s="6"/>
    </row>
    <row r="3429" spans="1:108" ht="12.75" hidden="1" customHeight="1" outlineLevel="4">
      <c r="A3429" s="104" t="s">
        <v>45</v>
      </c>
      <c r="B3429" s="105">
        <f t="shared" si="201"/>
        <v>127</v>
      </c>
      <c r="C3429" s="12"/>
      <c r="D3429" s="18" t="str">
        <f>"&lt;" &amp; A3429 &amp; "&gt;" &amp; TEXT(B3429,"0.000000") &amp; "&lt;/" &amp; A3429 &amp; "&gt;"</f>
        <v>&lt;ColorB&gt;127.000000&lt;/ColorB&gt;</v>
      </c>
      <c r="F3429" s="6"/>
      <c r="G3429" s="6"/>
      <c r="H3429" s="6"/>
      <c r="I3429" s="6"/>
      <c r="J3429" s="6"/>
      <c r="K3429" s="6"/>
      <c r="L3429" s="6"/>
      <c r="M3429" s="6"/>
      <c r="N3429" s="6"/>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c r="BU3429" s="6"/>
      <c r="BV3429" s="6"/>
      <c r="BW3429" s="6"/>
      <c r="BX3429" s="6"/>
      <c r="BY3429" s="6"/>
      <c r="BZ3429" s="6"/>
      <c r="CA3429" s="6"/>
      <c r="CB3429" s="6"/>
      <c r="CC3429" s="6"/>
      <c r="CD3429" s="6"/>
      <c r="CE3429" s="6"/>
      <c r="CF3429" s="6"/>
      <c r="CG3429" s="6"/>
      <c r="CH3429" s="6"/>
      <c r="CI3429" s="6"/>
      <c r="CJ3429" s="6"/>
      <c r="CK3429" s="6"/>
      <c r="CL3429" s="6"/>
      <c r="CM3429" s="6"/>
      <c r="CN3429" s="6"/>
      <c r="CO3429" s="6"/>
      <c r="CP3429" s="6"/>
      <c r="CQ3429" s="6"/>
      <c r="CR3429" s="6"/>
      <c r="CS3429" s="6"/>
      <c r="CT3429" s="6"/>
      <c r="CU3429" s="6"/>
      <c r="CV3429" s="6"/>
      <c r="CW3429" s="6"/>
      <c r="CX3429" s="6"/>
      <c r="CY3429" s="6"/>
      <c r="CZ3429" s="6"/>
      <c r="DA3429" s="6"/>
      <c r="DB3429" s="6"/>
      <c r="DC3429" s="6"/>
      <c r="DD3429" s="6"/>
    </row>
    <row r="3430" spans="1:108" ht="12.75" hidden="1" customHeight="1" outlineLevel="4">
      <c r="A3430" s="104" t="s">
        <v>46</v>
      </c>
      <c r="B3430" s="105">
        <f t="shared" si="201"/>
        <v>0</v>
      </c>
      <c r="C3430" s="12"/>
      <c r="D3430" s="18" t="str">
        <f t="shared" ref="D3430:D3439" si="202">"&lt;" &amp; A3430 &amp; "&gt;" &amp; TEXT(B3430,0) &amp; "&lt;/" &amp; A3430 &amp; "&gt;"</f>
        <v>&lt;Symmetry&gt;0&lt;/Symmetry&gt;</v>
      </c>
      <c r="F3430" s="6"/>
      <c r="G3430" s="6"/>
      <c r="H3430" s="6"/>
      <c r="I3430" s="6"/>
      <c r="J3430" s="6"/>
      <c r="K3430" s="6"/>
      <c r="L3430" s="6"/>
      <c r="M3430" s="6"/>
      <c r="N3430" s="6"/>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c r="BU3430" s="6"/>
      <c r="BV3430" s="6"/>
      <c r="BW3430" s="6"/>
      <c r="BX3430" s="6"/>
      <c r="BY3430" s="6"/>
      <c r="BZ3430" s="6"/>
      <c r="CA3430" s="6"/>
      <c r="CB3430" s="6"/>
      <c r="CC3430" s="6"/>
      <c r="CD3430" s="6"/>
      <c r="CE3430" s="6"/>
      <c r="CF3430" s="6"/>
      <c r="CG3430" s="6"/>
      <c r="CH3430" s="6"/>
      <c r="CI3430" s="6"/>
      <c r="CJ3430" s="6"/>
      <c r="CK3430" s="6"/>
      <c r="CL3430" s="6"/>
      <c r="CM3430" s="6"/>
      <c r="CN3430" s="6"/>
      <c r="CO3430" s="6"/>
      <c r="CP3430" s="6"/>
      <c r="CQ3430" s="6"/>
      <c r="CR3430" s="6"/>
      <c r="CS3430" s="6"/>
      <c r="CT3430" s="6"/>
      <c r="CU3430" s="6"/>
      <c r="CV3430" s="6"/>
      <c r="CW3430" s="6"/>
      <c r="CX3430" s="6"/>
      <c r="CY3430" s="6"/>
      <c r="CZ3430" s="6"/>
      <c r="DA3430" s="6"/>
      <c r="DB3430" s="6"/>
      <c r="DC3430" s="6"/>
      <c r="DD3430" s="6"/>
    </row>
    <row r="3431" spans="1:108" ht="12.75" hidden="1" customHeight="1" outlineLevel="4">
      <c r="A3431" s="104" t="s">
        <v>47</v>
      </c>
      <c r="B3431" s="105">
        <f t="shared" si="201"/>
        <v>0</v>
      </c>
      <c r="C3431" s="12"/>
      <c r="D3431" s="18" t="str">
        <f t="shared" si="202"/>
        <v>&lt;RelXFormFlag&gt;0&lt;/RelXFormFlag&gt;</v>
      </c>
      <c r="F3431" s="6"/>
      <c r="G3431" s="6"/>
      <c r="H3431" s="6"/>
      <c r="I3431" s="6"/>
      <c r="J3431" s="6"/>
      <c r="K3431" s="6"/>
      <c r="L3431" s="6"/>
      <c r="M3431" s="6"/>
      <c r="N3431" s="6"/>
      <c r="O3431" s="6"/>
      <c r="P3431" s="6"/>
      <c r="Q3431" s="6"/>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c r="BU3431" s="6"/>
      <c r="BV3431" s="6"/>
      <c r="BW3431" s="6"/>
      <c r="BX3431" s="6"/>
      <c r="BY3431" s="6"/>
      <c r="BZ3431" s="6"/>
      <c r="CA3431" s="6"/>
      <c r="CB3431" s="6"/>
      <c r="CC3431" s="6"/>
      <c r="CD3431" s="6"/>
      <c r="CE3431" s="6"/>
      <c r="CF3431" s="6"/>
      <c r="CG3431" s="6"/>
      <c r="CH3431" s="6"/>
      <c r="CI3431" s="6"/>
      <c r="CJ3431" s="6"/>
      <c r="CK3431" s="6"/>
      <c r="CL3431" s="6"/>
      <c r="CM3431" s="6"/>
      <c r="CN3431" s="6"/>
      <c r="CO3431" s="6"/>
      <c r="CP3431" s="6"/>
      <c r="CQ3431" s="6"/>
      <c r="CR3431" s="6"/>
      <c r="CS3431" s="6"/>
      <c r="CT3431" s="6"/>
      <c r="CU3431" s="6"/>
      <c r="CV3431" s="6"/>
      <c r="CW3431" s="6"/>
      <c r="CX3431" s="6"/>
      <c r="CY3431" s="6"/>
      <c r="CZ3431" s="6"/>
      <c r="DA3431" s="6"/>
      <c r="DB3431" s="6"/>
      <c r="DC3431" s="6"/>
      <c r="DD3431" s="6"/>
    </row>
    <row r="3432" spans="1:108" ht="12.75" hidden="1" customHeight="1" outlineLevel="4">
      <c r="A3432" s="104" t="s">
        <v>48</v>
      </c>
      <c r="B3432" s="105">
        <f t="shared" si="201"/>
        <v>0</v>
      </c>
      <c r="C3432" s="12"/>
      <c r="D3432" s="18" t="str">
        <f t="shared" si="202"/>
        <v>&lt;MaterialID&gt;0&lt;/MaterialID&gt;</v>
      </c>
      <c r="F3432" s="6"/>
      <c r="G3432" s="6"/>
      <c r="H3432" s="6"/>
      <c r="I3432" s="6"/>
      <c r="J3432" s="6"/>
      <c r="K3432" s="6"/>
      <c r="L3432" s="6"/>
      <c r="M3432" s="6"/>
      <c r="N3432" s="6"/>
      <c r="O3432" s="6"/>
      <c r="P3432" s="6"/>
      <c r="Q3432" s="6"/>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c r="BU3432" s="6"/>
      <c r="BV3432" s="6"/>
      <c r="BW3432" s="6"/>
      <c r="BX3432" s="6"/>
      <c r="BY3432" s="6"/>
      <c r="BZ3432" s="6"/>
      <c r="CA3432" s="6"/>
      <c r="CB3432" s="6"/>
      <c r="CC3432" s="6"/>
      <c r="CD3432" s="6"/>
      <c r="CE3432" s="6"/>
      <c r="CF3432" s="6"/>
      <c r="CG3432" s="6"/>
      <c r="CH3432" s="6"/>
      <c r="CI3432" s="6"/>
      <c r="CJ3432" s="6"/>
      <c r="CK3432" s="6"/>
      <c r="CL3432" s="6"/>
      <c r="CM3432" s="6"/>
      <c r="CN3432" s="6"/>
      <c r="CO3432" s="6"/>
      <c r="CP3432" s="6"/>
      <c r="CQ3432" s="6"/>
      <c r="CR3432" s="6"/>
      <c r="CS3432" s="6"/>
      <c r="CT3432" s="6"/>
      <c r="CU3432" s="6"/>
      <c r="CV3432" s="6"/>
      <c r="CW3432" s="6"/>
      <c r="CX3432" s="6"/>
      <c r="CY3432" s="6"/>
      <c r="CZ3432" s="6"/>
      <c r="DA3432" s="6"/>
      <c r="DB3432" s="6"/>
      <c r="DC3432" s="6"/>
      <c r="DD3432" s="6"/>
    </row>
    <row r="3433" spans="1:108" ht="12.75" hidden="1" customHeight="1" outlineLevel="4">
      <c r="A3433" s="104" t="s">
        <v>49</v>
      </c>
      <c r="B3433" s="105">
        <f t="shared" si="201"/>
        <v>1</v>
      </c>
      <c r="C3433" s="12"/>
      <c r="D3433" s="18" t="str">
        <f t="shared" si="202"/>
        <v>&lt;OutputFlag&gt;1&lt;/OutputFlag&gt;</v>
      </c>
      <c r="F3433" s="6"/>
      <c r="G3433" s="6"/>
      <c r="H3433" s="6"/>
      <c r="I3433" s="6"/>
      <c r="J3433" s="6"/>
      <c r="K3433" s="6"/>
      <c r="L3433" s="6"/>
      <c r="M3433" s="6"/>
      <c r="N3433" s="6"/>
      <c r="O3433" s="6"/>
      <c r="P3433" s="6"/>
      <c r="Q3433" s="6"/>
      <c r="R3433" s="6"/>
      <c r="S3433" s="6"/>
      <c r="T3433" s="6"/>
      <c r="U3433" s="6"/>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c r="BU3433" s="6"/>
      <c r="BV3433" s="6"/>
      <c r="BW3433" s="6"/>
      <c r="BX3433" s="6"/>
      <c r="BY3433" s="6"/>
      <c r="BZ3433" s="6"/>
      <c r="CA3433" s="6"/>
      <c r="CB3433" s="6"/>
      <c r="CC3433" s="6"/>
      <c r="CD3433" s="6"/>
      <c r="CE3433" s="6"/>
      <c r="CF3433" s="6"/>
      <c r="CG3433" s="6"/>
      <c r="CH3433" s="6"/>
      <c r="CI3433" s="6"/>
      <c r="CJ3433" s="6"/>
      <c r="CK3433" s="6"/>
      <c r="CL3433" s="6"/>
      <c r="CM3433" s="6"/>
      <c r="CN3433" s="6"/>
      <c r="CO3433" s="6"/>
      <c r="CP3433" s="6"/>
      <c r="CQ3433" s="6"/>
      <c r="CR3433" s="6"/>
      <c r="CS3433" s="6"/>
      <c r="CT3433" s="6"/>
      <c r="CU3433" s="6"/>
      <c r="CV3433" s="6"/>
      <c r="CW3433" s="6"/>
      <c r="CX3433" s="6"/>
      <c r="CY3433" s="6"/>
      <c r="CZ3433" s="6"/>
      <c r="DA3433" s="6"/>
      <c r="DB3433" s="6"/>
      <c r="DC3433" s="6"/>
      <c r="DD3433" s="6"/>
    </row>
    <row r="3434" spans="1:108" ht="12.75" hidden="1" customHeight="1" outlineLevel="4">
      <c r="A3434" s="104" t="s">
        <v>50</v>
      </c>
      <c r="B3434" s="105">
        <f t="shared" si="201"/>
        <v>0</v>
      </c>
      <c r="C3434" s="12"/>
      <c r="D3434" s="18" t="str">
        <f t="shared" si="202"/>
        <v>&lt;OutputNameID&gt;0&lt;/OutputNameID&gt;</v>
      </c>
      <c r="F3434" s="6"/>
      <c r="G3434" s="6"/>
      <c r="H3434" s="6"/>
      <c r="I3434" s="6"/>
      <c r="J3434" s="6"/>
      <c r="K3434" s="6"/>
      <c r="L3434" s="6"/>
      <c r="M3434" s="6"/>
      <c r="N3434" s="6"/>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c r="BU3434" s="6"/>
      <c r="BV3434" s="6"/>
      <c r="BW3434" s="6"/>
      <c r="BX3434" s="6"/>
      <c r="BY3434" s="6"/>
      <c r="BZ3434" s="6"/>
      <c r="CA3434" s="6"/>
      <c r="CB3434" s="6"/>
      <c r="CC3434" s="6"/>
      <c r="CD3434" s="6"/>
      <c r="CE3434" s="6"/>
      <c r="CF3434" s="6"/>
      <c r="CG3434" s="6"/>
      <c r="CH3434" s="6"/>
      <c r="CI3434" s="6"/>
      <c r="CJ3434" s="6"/>
      <c r="CK3434" s="6"/>
      <c r="CL3434" s="6"/>
      <c r="CM3434" s="6"/>
      <c r="CN3434" s="6"/>
      <c r="CO3434" s="6"/>
      <c r="CP3434" s="6"/>
      <c r="CQ3434" s="6"/>
      <c r="CR3434" s="6"/>
      <c r="CS3434" s="6"/>
      <c r="CT3434" s="6"/>
      <c r="CU3434" s="6"/>
      <c r="CV3434" s="6"/>
      <c r="CW3434" s="6"/>
      <c r="CX3434" s="6"/>
      <c r="CY3434" s="6"/>
      <c r="CZ3434" s="6"/>
      <c r="DA3434" s="6"/>
      <c r="DB3434" s="6"/>
      <c r="DC3434" s="6"/>
      <c r="DD3434" s="6"/>
    </row>
    <row r="3435" spans="1:108" ht="12.75" hidden="1" customHeight="1" outlineLevel="4">
      <c r="A3435" s="104" t="s">
        <v>51</v>
      </c>
      <c r="B3435" s="105">
        <f t="shared" si="201"/>
        <v>1</v>
      </c>
      <c r="C3435" s="12"/>
      <c r="D3435" s="18" t="str">
        <f t="shared" si="202"/>
        <v>&lt;DisplayChildrenFlag&gt;1&lt;/DisplayChildrenFlag&gt;</v>
      </c>
      <c r="F3435" s="6"/>
      <c r="G3435" s="6"/>
      <c r="H3435" s="6"/>
      <c r="I3435" s="6"/>
      <c r="J3435" s="6"/>
      <c r="K3435" s="6"/>
      <c r="L3435" s="6"/>
      <c r="M3435" s="6"/>
      <c r="N3435" s="6"/>
      <c r="O3435" s="6"/>
      <c r="P3435" s="6"/>
      <c r="Q3435" s="6"/>
      <c r="R3435" s="6"/>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c r="BU3435" s="6"/>
      <c r="BV3435" s="6"/>
      <c r="BW3435" s="6"/>
      <c r="BX3435" s="6"/>
      <c r="BY3435" s="6"/>
      <c r="BZ3435" s="6"/>
      <c r="CA3435" s="6"/>
      <c r="CB3435" s="6"/>
      <c r="CC3435" s="6"/>
      <c r="CD3435" s="6"/>
      <c r="CE3435" s="6"/>
      <c r="CF3435" s="6"/>
      <c r="CG3435" s="6"/>
      <c r="CH3435" s="6"/>
      <c r="CI3435" s="6"/>
      <c r="CJ3435" s="6"/>
      <c r="CK3435" s="6"/>
      <c r="CL3435" s="6"/>
      <c r="CM3435" s="6"/>
      <c r="CN3435" s="6"/>
      <c r="CO3435" s="6"/>
      <c r="CP3435" s="6"/>
      <c r="CQ3435" s="6"/>
      <c r="CR3435" s="6"/>
      <c r="CS3435" s="6"/>
      <c r="CT3435" s="6"/>
      <c r="CU3435" s="6"/>
      <c r="CV3435" s="6"/>
      <c r="CW3435" s="6"/>
      <c r="CX3435" s="6"/>
      <c r="CY3435" s="6"/>
      <c r="CZ3435" s="6"/>
      <c r="DA3435" s="6"/>
      <c r="DB3435" s="6"/>
      <c r="DC3435" s="6"/>
      <c r="DD3435" s="6"/>
    </row>
    <row r="3436" spans="1:108" ht="12.75" hidden="1" customHeight="1" outlineLevel="4">
      <c r="A3436" s="104" t="s">
        <v>52</v>
      </c>
      <c r="B3436" s="105">
        <f t="shared" si="201"/>
        <v>21</v>
      </c>
      <c r="C3436" s="12"/>
      <c r="D3436" s="18" t="str">
        <f t="shared" si="202"/>
        <v>&lt;NumPnts&gt;21&lt;/NumPnts&gt;</v>
      </c>
      <c r="F3436" s="6"/>
      <c r="G3436" s="6"/>
      <c r="H3436" s="6"/>
      <c r="I3436" s="6"/>
      <c r="J3436" s="6"/>
      <c r="K3436" s="6"/>
      <c r="L3436" s="6"/>
      <c r="M3436" s="6"/>
      <c r="N3436" s="6"/>
      <c r="O3436" s="6"/>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c r="BU3436" s="6"/>
      <c r="BV3436" s="6"/>
      <c r="BW3436" s="6"/>
      <c r="BX3436" s="6"/>
      <c r="BY3436" s="6"/>
      <c r="BZ3436" s="6"/>
      <c r="CA3436" s="6"/>
      <c r="CB3436" s="6"/>
      <c r="CC3436" s="6"/>
      <c r="CD3436" s="6"/>
      <c r="CE3436" s="6"/>
      <c r="CF3436" s="6"/>
      <c r="CG3436" s="6"/>
      <c r="CH3436" s="6"/>
      <c r="CI3436" s="6"/>
      <c r="CJ3436" s="6"/>
      <c r="CK3436" s="6"/>
      <c r="CL3436" s="6"/>
      <c r="CM3436" s="6"/>
      <c r="CN3436" s="6"/>
      <c r="CO3436" s="6"/>
      <c r="CP3436" s="6"/>
      <c r="CQ3436" s="6"/>
      <c r="CR3436" s="6"/>
      <c r="CS3436" s="6"/>
      <c r="CT3436" s="6"/>
      <c r="CU3436" s="6"/>
      <c r="CV3436" s="6"/>
      <c r="CW3436" s="6"/>
      <c r="CX3436" s="6"/>
      <c r="CY3436" s="6"/>
      <c r="CZ3436" s="6"/>
      <c r="DA3436" s="6"/>
      <c r="DB3436" s="6"/>
      <c r="DC3436" s="6"/>
      <c r="DD3436" s="6"/>
    </row>
    <row r="3437" spans="1:108" ht="12.75" hidden="1" customHeight="1" outlineLevel="4">
      <c r="A3437" s="104" t="s">
        <v>53</v>
      </c>
      <c r="B3437" s="105">
        <f t="shared" si="201"/>
        <v>41</v>
      </c>
      <c r="C3437" s="12"/>
      <c r="D3437" s="18" t="str">
        <f t="shared" si="202"/>
        <v>&lt;NumXsecs&gt;41&lt;/NumXsecs&gt;</v>
      </c>
      <c r="F3437" s="6"/>
      <c r="G3437" s="6"/>
      <c r="H3437" s="6"/>
      <c r="I3437" s="6"/>
      <c r="J3437" s="6"/>
      <c r="K3437" s="6"/>
      <c r="L3437" s="6"/>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c r="BU3437" s="6"/>
      <c r="BV3437" s="6"/>
      <c r="BW3437" s="6"/>
      <c r="BX3437" s="6"/>
      <c r="BY3437" s="6"/>
      <c r="BZ3437" s="6"/>
      <c r="CA3437" s="6"/>
      <c r="CB3437" s="6"/>
      <c r="CC3437" s="6"/>
      <c r="CD3437" s="6"/>
      <c r="CE3437" s="6"/>
      <c r="CF3437" s="6"/>
      <c r="CG3437" s="6"/>
      <c r="CH3437" s="6"/>
      <c r="CI3437" s="6"/>
      <c r="CJ3437" s="6"/>
      <c r="CK3437" s="6"/>
      <c r="CL3437" s="6"/>
      <c r="CM3437" s="6"/>
      <c r="CN3437" s="6"/>
      <c r="CO3437" s="6"/>
      <c r="CP3437" s="6"/>
      <c r="CQ3437" s="6"/>
      <c r="CR3437" s="6"/>
      <c r="CS3437" s="6"/>
      <c r="CT3437" s="6"/>
      <c r="CU3437" s="6"/>
      <c r="CV3437" s="6"/>
      <c r="CW3437" s="6"/>
      <c r="CX3437" s="6"/>
      <c r="CY3437" s="6"/>
      <c r="CZ3437" s="6"/>
      <c r="DA3437" s="6"/>
      <c r="DB3437" s="6"/>
      <c r="DC3437" s="6"/>
      <c r="DD3437" s="6"/>
    </row>
    <row r="3438" spans="1:108" ht="12.75" hidden="1" customHeight="1" outlineLevel="4">
      <c r="A3438" s="104" t="s">
        <v>54</v>
      </c>
      <c r="B3438" s="105">
        <f t="shared" si="201"/>
        <v>0</v>
      </c>
      <c r="C3438" s="12"/>
      <c r="D3438" s="18" t="str">
        <f t="shared" si="202"/>
        <v>&lt;MassPrior&gt;0&lt;/MassPrior&gt;</v>
      </c>
      <c r="F3438" s="6"/>
      <c r="G3438" s="6"/>
      <c r="H3438" s="6"/>
      <c r="I3438" s="6"/>
      <c r="J3438" s="6"/>
      <c r="K3438" s="6"/>
      <c r="L3438" s="6"/>
      <c r="M3438" s="6"/>
      <c r="N3438" s="6"/>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c r="BU3438" s="6"/>
      <c r="BV3438" s="6"/>
      <c r="BW3438" s="6"/>
      <c r="BX3438" s="6"/>
      <c r="BY3438" s="6"/>
      <c r="BZ3438" s="6"/>
      <c r="CA3438" s="6"/>
      <c r="CB3438" s="6"/>
      <c r="CC3438" s="6"/>
      <c r="CD3438" s="6"/>
      <c r="CE3438" s="6"/>
      <c r="CF3438" s="6"/>
      <c r="CG3438" s="6"/>
      <c r="CH3438" s="6"/>
      <c r="CI3438" s="6"/>
      <c r="CJ3438" s="6"/>
      <c r="CK3438" s="6"/>
      <c r="CL3438" s="6"/>
      <c r="CM3438" s="6"/>
      <c r="CN3438" s="6"/>
      <c r="CO3438" s="6"/>
      <c r="CP3438" s="6"/>
      <c r="CQ3438" s="6"/>
      <c r="CR3438" s="6"/>
      <c r="CS3438" s="6"/>
      <c r="CT3438" s="6"/>
      <c r="CU3438" s="6"/>
      <c r="CV3438" s="6"/>
      <c r="CW3438" s="6"/>
      <c r="CX3438" s="6"/>
      <c r="CY3438" s="6"/>
      <c r="CZ3438" s="6"/>
      <c r="DA3438" s="6"/>
      <c r="DB3438" s="6"/>
      <c r="DC3438" s="6"/>
      <c r="DD3438" s="6"/>
    </row>
    <row r="3439" spans="1:108" ht="12.75" hidden="1" customHeight="1" outlineLevel="4">
      <c r="A3439" s="104" t="s">
        <v>55</v>
      </c>
      <c r="B3439" s="105">
        <f t="shared" si="201"/>
        <v>0</v>
      </c>
      <c r="C3439" s="12"/>
      <c r="D3439" s="18" t="str">
        <f t="shared" si="202"/>
        <v>&lt;ShellFlag&gt;0&lt;/ShellFlag&gt;</v>
      </c>
      <c r="F3439" s="6"/>
      <c r="G3439" s="6"/>
      <c r="H3439" s="6"/>
      <c r="I3439" s="6"/>
      <c r="J3439" s="6"/>
      <c r="K3439" s="6"/>
      <c r="L3439" s="6"/>
      <c r="M3439" s="6"/>
      <c r="N3439" s="6"/>
      <c r="O3439" s="6"/>
      <c r="P3439" s="6"/>
      <c r="Q3439" s="6"/>
      <c r="R3439" s="6"/>
      <c r="S3439" s="6"/>
      <c r="T3439" s="6"/>
      <c r="U3439" s="6"/>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c r="BU3439" s="6"/>
      <c r="BV3439" s="6"/>
      <c r="BW3439" s="6"/>
      <c r="BX3439" s="6"/>
      <c r="BY3439" s="6"/>
      <c r="BZ3439" s="6"/>
      <c r="CA3439" s="6"/>
      <c r="CB3439" s="6"/>
      <c r="CC3439" s="6"/>
      <c r="CD3439" s="6"/>
      <c r="CE3439" s="6"/>
      <c r="CF3439" s="6"/>
      <c r="CG3439" s="6"/>
      <c r="CH3439" s="6"/>
      <c r="CI3439" s="6"/>
      <c r="CJ3439" s="6"/>
      <c r="CK3439" s="6"/>
      <c r="CL3439" s="6"/>
      <c r="CM3439" s="6"/>
      <c r="CN3439" s="6"/>
      <c r="CO3439" s="6"/>
      <c r="CP3439" s="6"/>
      <c r="CQ3439" s="6"/>
      <c r="CR3439" s="6"/>
      <c r="CS3439" s="6"/>
      <c r="CT3439" s="6"/>
      <c r="CU3439" s="6"/>
      <c r="CV3439" s="6"/>
      <c r="CW3439" s="6"/>
      <c r="CX3439" s="6"/>
      <c r="CY3439" s="6"/>
      <c r="CZ3439" s="6"/>
      <c r="DA3439" s="6"/>
      <c r="DB3439" s="6"/>
      <c r="DC3439" s="6"/>
      <c r="DD3439" s="6"/>
    </row>
    <row r="3440" spans="1:108" ht="12.75" hidden="1" customHeight="1" outlineLevel="4">
      <c r="A3440" s="104" t="s">
        <v>56</v>
      </c>
      <c r="B3440" s="92">
        <f>pos_LG2.x</f>
        <v>14.889216158654019</v>
      </c>
      <c r="C3440" s="12"/>
      <c r="D3440" s="18" t="str">
        <f t="shared" ref="D3440:D3454" si="203">"&lt;" &amp; A3440 &amp; "&gt;" &amp; TEXT(B3440,"0.000000") &amp; "&lt;/" &amp; A3440 &amp; "&gt;"</f>
        <v>&lt;Tran_X&gt;14.889216&lt;/Tran_X&gt;</v>
      </c>
      <c r="F3440" s="6"/>
      <c r="G3440" s="6"/>
      <c r="H3440" s="6"/>
      <c r="I3440" s="6"/>
      <c r="J3440" s="6"/>
      <c r="K3440" s="6"/>
      <c r="L3440" s="6"/>
      <c r="M3440" s="6"/>
      <c r="N3440" s="6"/>
      <c r="O3440" s="6"/>
      <c r="P3440" s="6"/>
      <c r="Q3440" s="6"/>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c r="BU3440" s="6"/>
      <c r="BV3440" s="6"/>
      <c r="BW3440" s="6"/>
      <c r="BX3440" s="6"/>
      <c r="BY3440" s="6"/>
      <c r="BZ3440" s="6"/>
      <c r="CA3440" s="6"/>
      <c r="CB3440" s="6"/>
      <c r="CC3440" s="6"/>
      <c r="CD3440" s="6"/>
      <c r="CE3440" s="6"/>
      <c r="CF3440" s="6"/>
      <c r="CG3440" s="6"/>
      <c r="CH3440" s="6"/>
      <c r="CI3440" s="6"/>
      <c r="CJ3440" s="6"/>
      <c r="CK3440" s="6"/>
      <c r="CL3440" s="6"/>
      <c r="CM3440" s="6"/>
      <c r="CN3440" s="6"/>
      <c r="CO3440" s="6"/>
      <c r="CP3440" s="6"/>
      <c r="CQ3440" s="6"/>
      <c r="CR3440" s="6"/>
      <c r="CS3440" s="6"/>
      <c r="CT3440" s="6"/>
      <c r="CU3440" s="6"/>
      <c r="CV3440" s="6"/>
      <c r="CW3440" s="6"/>
      <c r="CX3440" s="6"/>
      <c r="CY3440" s="6"/>
      <c r="CZ3440" s="6"/>
      <c r="DA3440" s="6"/>
      <c r="DB3440" s="6"/>
      <c r="DC3440" s="6"/>
      <c r="DD3440" s="6"/>
    </row>
    <row r="3441" spans="1:108" ht="12.75" hidden="1" customHeight="1" outlineLevel="4">
      <c r="A3441" s="104" t="s">
        <v>57</v>
      </c>
      <c r="B3441" s="92">
        <f>pos_LG2.y</f>
        <v>-3.9173825159651625</v>
      </c>
      <c r="C3441" s="12"/>
      <c r="D3441" s="18" t="str">
        <f t="shared" si="203"/>
        <v>&lt;Tran_Y&gt;-3.917383&lt;/Tran_Y&gt;</v>
      </c>
      <c r="F3441" s="6"/>
      <c r="G3441" s="6"/>
      <c r="H3441" s="6"/>
      <c r="I3441" s="6"/>
      <c r="J3441" s="6"/>
      <c r="K3441" s="6"/>
      <c r="L3441" s="6"/>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c r="BU3441" s="6"/>
      <c r="BV3441" s="6"/>
      <c r="BW3441" s="6"/>
      <c r="BX3441" s="6"/>
      <c r="BY3441" s="6"/>
      <c r="BZ3441" s="6"/>
      <c r="CA3441" s="6"/>
      <c r="CB3441" s="6"/>
      <c r="CC3441" s="6"/>
      <c r="CD3441" s="6"/>
      <c r="CE3441" s="6"/>
      <c r="CF3441" s="6"/>
      <c r="CG3441" s="6"/>
      <c r="CH3441" s="6"/>
      <c r="CI3441" s="6"/>
      <c r="CJ3441" s="6"/>
      <c r="CK3441" s="6"/>
      <c r="CL3441" s="6"/>
      <c r="CM3441" s="6"/>
      <c r="CN3441" s="6"/>
      <c r="CO3441" s="6"/>
      <c r="CP3441" s="6"/>
      <c r="CQ3441" s="6"/>
      <c r="CR3441" s="6"/>
      <c r="CS3441" s="6"/>
      <c r="CT3441" s="6"/>
      <c r="CU3441" s="6"/>
      <c r="CV3441" s="6"/>
      <c r="CW3441" s="6"/>
      <c r="CX3441" s="6"/>
      <c r="CY3441" s="6"/>
      <c r="CZ3441" s="6"/>
      <c r="DA3441" s="6"/>
      <c r="DB3441" s="6"/>
      <c r="DC3441" s="6"/>
      <c r="DD3441" s="6"/>
    </row>
    <row r="3442" spans="1:108" ht="12.75" hidden="1" customHeight="1" outlineLevel="4">
      <c r="A3442" s="104" t="s">
        <v>58</v>
      </c>
      <c r="B3442" s="92">
        <f>pos_LG2.z</f>
        <v>-4.125</v>
      </c>
      <c r="C3442" s="12"/>
      <c r="D3442" s="18" t="str">
        <f t="shared" si="203"/>
        <v>&lt;Tran_Z&gt;-4.125000&lt;/Tran_Z&gt;</v>
      </c>
      <c r="F3442" s="6"/>
      <c r="G3442" s="6"/>
      <c r="H3442" s="6"/>
      <c r="I3442" s="6"/>
      <c r="J3442" s="6"/>
      <c r="K3442" s="6"/>
      <c r="L3442" s="6"/>
      <c r="M3442" s="6"/>
      <c r="N3442" s="6"/>
      <c r="O3442" s="6"/>
      <c r="P3442" s="6"/>
      <c r="Q3442" s="6"/>
      <c r="R3442" s="6"/>
      <c r="S3442" s="6"/>
      <c r="T3442" s="6"/>
      <c r="U3442" s="6"/>
      <c r="V3442" s="6"/>
      <c r="W3442" s="6"/>
      <c r="X3442" s="6"/>
      <c r="Y3442" s="6"/>
      <c r="Z3442" s="6"/>
      <c r="AA3442" s="6"/>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c r="BU3442" s="6"/>
      <c r="BV3442" s="6"/>
      <c r="BW3442" s="6"/>
      <c r="BX3442" s="6"/>
      <c r="BY3442" s="6"/>
      <c r="BZ3442" s="6"/>
      <c r="CA3442" s="6"/>
      <c r="CB3442" s="6"/>
      <c r="CC3442" s="6"/>
      <c r="CD3442" s="6"/>
      <c r="CE3442" s="6"/>
      <c r="CF3442" s="6"/>
      <c r="CG3442" s="6"/>
      <c r="CH3442" s="6"/>
      <c r="CI3442" s="6"/>
      <c r="CJ3442" s="6"/>
      <c r="CK3442" s="6"/>
      <c r="CL3442" s="6"/>
      <c r="CM3442" s="6"/>
      <c r="CN3442" s="6"/>
      <c r="CO3442" s="6"/>
      <c r="CP3442" s="6"/>
      <c r="CQ3442" s="6"/>
      <c r="CR3442" s="6"/>
      <c r="CS3442" s="6"/>
      <c r="CT3442" s="6"/>
      <c r="CU3442" s="6"/>
      <c r="CV3442" s="6"/>
      <c r="CW3442" s="6"/>
      <c r="CX3442" s="6"/>
      <c r="CY3442" s="6"/>
      <c r="CZ3442" s="6"/>
      <c r="DA3442" s="6"/>
      <c r="DB3442" s="6"/>
      <c r="DC3442" s="6"/>
      <c r="DD3442" s="6"/>
    </row>
    <row r="3443" spans="1:108" ht="12.75" hidden="1" customHeight="1" outlineLevel="4">
      <c r="A3443" s="104" t="s">
        <v>59</v>
      </c>
      <c r="B3443" s="105">
        <f t="shared" ref="B3443:B3469" si="204">B3362</f>
        <v>0</v>
      </c>
      <c r="C3443" s="12"/>
      <c r="D3443" s="18" t="str">
        <f t="shared" si="203"/>
        <v>&lt;TranRel_X&gt;0.000000&lt;/TranRel_X&gt;</v>
      </c>
      <c r="F3443" s="6"/>
      <c r="G3443" s="6"/>
      <c r="H3443" s="6"/>
      <c r="I3443" s="6"/>
      <c r="J3443" s="6"/>
      <c r="K3443" s="6"/>
      <c r="L3443" s="6"/>
      <c r="M3443" s="6"/>
      <c r="N3443" s="6"/>
      <c r="O3443" s="6"/>
      <c r="P3443" s="6"/>
      <c r="Q3443" s="6"/>
      <c r="R3443" s="6"/>
      <c r="S3443" s="6"/>
      <c r="T3443" s="6"/>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c r="BU3443" s="6"/>
      <c r="BV3443" s="6"/>
      <c r="BW3443" s="6"/>
      <c r="BX3443" s="6"/>
      <c r="BY3443" s="6"/>
      <c r="BZ3443" s="6"/>
      <c r="CA3443" s="6"/>
      <c r="CB3443" s="6"/>
      <c r="CC3443" s="6"/>
      <c r="CD3443" s="6"/>
      <c r="CE3443" s="6"/>
      <c r="CF3443" s="6"/>
      <c r="CG3443" s="6"/>
      <c r="CH3443" s="6"/>
      <c r="CI3443" s="6"/>
      <c r="CJ3443" s="6"/>
      <c r="CK3443" s="6"/>
      <c r="CL3443" s="6"/>
      <c r="CM3443" s="6"/>
      <c r="CN3443" s="6"/>
      <c r="CO3443" s="6"/>
      <c r="CP3443" s="6"/>
      <c r="CQ3443" s="6"/>
      <c r="CR3443" s="6"/>
      <c r="CS3443" s="6"/>
      <c r="CT3443" s="6"/>
      <c r="CU3443" s="6"/>
      <c r="CV3443" s="6"/>
      <c r="CW3443" s="6"/>
      <c r="CX3443" s="6"/>
      <c r="CY3443" s="6"/>
      <c r="CZ3443" s="6"/>
      <c r="DA3443" s="6"/>
      <c r="DB3443" s="6"/>
      <c r="DC3443" s="6"/>
      <c r="DD3443" s="6"/>
    </row>
    <row r="3444" spans="1:108" ht="12.75" hidden="1" customHeight="1" outlineLevel="4">
      <c r="A3444" s="104" t="s">
        <v>60</v>
      </c>
      <c r="B3444" s="105">
        <f t="shared" si="204"/>
        <v>0</v>
      </c>
      <c r="C3444" s="12"/>
      <c r="D3444" s="18" t="str">
        <f t="shared" si="203"/>
        <v>&lt;TranRel_Y&gt;0.000000&lt;/TranRel_Y&gt;</v>
      </c>
      <c r="F3444" s="6"/>
      <c r="G3444" s="6"/>
      <c r="H3444" s="6"/>
      <c r="I3444" s="6"/>
      <c r="J3444" s="6"/>
      <c r="K3444" s="6"/>
      <c r="L3444" s="6"/>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c r="BU3444" s="6"/>
      <c r="BV3444" s="6"/>
      <c r="BW3444" s="6"/>
      <c r="BX3444" s="6"/>
      <c r="BY3444" s="6"/>
      <c r="BZ3444" s="6"/>
      <c r="CA3444" s="6"/>
      <c r="CB3444" s="6"/>
      <c r="CC3444" s="6"/>
      <c r="CD3444" s="6"/>
      <c r="CE3444" s="6"/>
      <c r="CF3444" s="6"/>
      <c r="CG3444" s="6"/>
      <c r="CH3444" s="6"/>
      <c r="CI3444" s="6"/>
      <c r="CJ3444" s="6"/>
      <c r="CK3444" s="6"/>
      <c r="CL3444" s="6"/>
      <c r="CM3444" s="6"/>
      <c r="CN3444" s="6"/>
      <c r="CO3444" s="6"/>
      <c r="CP3444" s="6"/>
      <c r="CQ3444" s="6"/>
      <c r="CR3444" s="6"/>
      <c r="CS3444" s="6"/>
      <c r="CT3444" s="6"/>
      <c r="CU3444" s="6"/>
      <c r="CV3444" s="6"/>
      <c r="CW3444" s="6"/>
      <c r="CX3444" s="6"/>
      <c r="CY3444" s="6"/>
      <c r="CZ3444" s="6"/>
      <c r="DA3444" s="6"/>
      <c r="DB3444" s="6"/>
      <c r="DC3444" s="6"/>
      <c r="DD3444" s="6"/>
    </row>
    <row r="3445" spans="1:108" ht="12.75" hidden="1" customHeight="1" outlineLevel="4">
      <c r="A3445" s="104" t="s">
        <v>61</v>
      </c>
      <c r="B3445" s="105">
        <f t="shared" si="204"/>
        <v>0</v>
      </c>
      <c r="C3445" s="12"/>
      <c r="D3445" s="18" t="str">
        <f t="shared" si="203"/>
        <v>&lt;TranRel_Z&gt;0.000000&lt;/TranRel_Z&gt;</v>
      </c>
      <c r="F3445" s="6"/>
      <c r="G3445" s="6"/>
      <c r="H3445" s="6"/>
      <c r="I3445" s="6"/>
      <c r="J3445" s="6"/>
      <c r="K3445" s="6"/>
      <c r="L3445" s="6"/>
      <c r="M3445" s="6"/>
      <c r="N3445" s="6"/>
      <c r="O3445" s="6"/>
      <c r="P3445" s="6"/>
      <c r="Q3445" s="6"/>
      <c r="R3445" s="6"/>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c r="BU3445" s="6"/>
      <c r="BV3445" s="6"/>
      <c r="BW3445" s="6"/>
      <c r="BX3445" s="6"/>
      <c r="BY3445" s="6"/>
      <c r="BZ3445" s="6"/>
      <c r="CA3445" s="6"/>
      <c r="CB3445" s="6"/>
      <c r="CC3445" s="6"/>
      <c r="CD3445" s="6"/>
      <c r="CE3445" s="6"/>
      <c r="CF3445" s="6"/>
      <c r="CG3445" s="6"/>
      <c r="CH3445" s="6"/>
      <c r="CI3445" s="6"/>
      <c r="CJ3445" s="6"/>
      <c r="CK3445" s="6"/>
      <c r="CL3445" s="6"/>
      <c r="CM3445" s="6"/>
      <c r="CN3445" s="6"/>
      <c r="CO3445" s="6"/>
      <c r="CP3445" s="6"/>
      <c r="CQ3445" s="6"/>
      <c r="CR3445" s="6"/>
      <c r="CS3445" s="6"/>
      <c r="CT3445" s="6"/>
      <c r="CU3445" s="6"/>
      <c r="CV3445" s="6"/>
      <c r="CW3445" s="6"/>
      <c r="CX3445" s="6"/>
      <c r="CY3445" s="6"/>
      <c r="CZ3445" s="6"/>
      <c r="DA3445" s="6"/>
      <c r="DB3445" s="6"/>
      <c r="DC3445" s="6"/>
      <c r="DD3445" s="6"/>
    </row>
    <row r="3446" spans="1:108" ht="12.75" hidden="1" customHeight="1" outlineLevel="4">
      <c r="A3446" s="104" t="s">
        <v>62</v>
      </c>
      <c r="B3446" s="105">
        <f t="shared" si="204"/>
        <v>0</v>
      </c>
      <c r="C3446" s="12"/>
      <c r="D3446" s="18" t="str">
        <f t="shared" si="203"/>
        <v>&lt;Rot_X&gt;0.000000&lt;/Rot_X&gt;</v>
      </c>
      <c r="F3446" s="6"/>
      <c r="G3446" s="6"/>
      <c r="H3446" s="6"/>
      <c r="I3446" s="6"/>
      <c r="J3446" s="6"/>
      <c r="K3446" s="6"/>
      <c r="L3446" s="6"/>
      <c r="M3446" s="6"/>
      <c r="N3446" s="6"/>
      <c r="O3446" s="6"/>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c r="BU3446" s="6"/>
      <c r="BV3446" s="6"/>
      <c r="BW3446" s="6"/>
      <c r="BX3446" s="6"/>
      <c r="BY3446" s="6"/>
      <c r="BZ3446" s="6"/>
      <c r="CA3446" s="6"/>
      <c r="CB3446" s="6"/>
      <c r="CC3446" s="6"/>
      <c r="CD3446" s="6"/>
      <c r="CE3446" s="6"/>
      <c r="CF3446" s="6"/>
      <c r="CG3446" s="6"/>
      <c r="CH3446" s="6"/>
      <c r="CI3446" s="6"/>
      <c r="CJ3446" s="6"/>
      <c r="CK3446" s="6"/>
      <c r="CL3446" s="6"/>
      <c r="CM3446" s="6"/>
      <c r="CN3446" s="6"/>
      <c r="CO3446" s="6"/>
      <c r="CP3446" s="6"/>
      <c r="CQ3446" s="6"/>
      <c r="CR3446" s="6"/>
      <c r="CS3446" s="6"/>
      <c r="CT3446" s="6"/>
      <c r="CU3446" s="6"/>
      <c r="CV3446" s="6"/>
      <c r="CW3446" s="6"/>
      <c r="CX3446" s="6"/>
      <c r="CY3446" s="6"/>
      <c r="CZ3446" s="6"/>
      <c r="DA3446" s="6"/>
      <c r="DB3446" s="6"/>
      <c r="DC3446" s="6"/>
      <c r="DD3446" s="6"/>
    </row>
    <row r="3447" spans="1:108" ht="12.75" hidden="1" customHeight="1" outlineLevel="4">
      <c r="A3447" s="104" t="s">
        <v>63</v>
      </c>
      <c r="B3447" s="105">
        <f t="shared" si="204"/>
        <v>0</v>
      </c>
      <c r="C3447" s="12"/>
      <c r="D3447" s="18" t="str">
        <f t="shared" si="203"/>
        <v>&lt;Rot_Y&gt;0.000000&lt;/Rot_Y&gt;</v>
      </c>
      <c r="F3447" s="6"/>
      <c r="G3447" s="6"/>
      <c r="H3447" s="6"/>
      <c r="I3447" s="6"/>
      <c r="J3447" s="6"/>
      <c r="K3447" s="6"/>
      <c r="L3447" s="6"/>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c r="BU3447" s="6"/>
      <c r="BV3447" s="6"/>
      <c r="BW3447" s="6"/>
      <c r="BX3447" s="6"/>
      <c r="BY3447" s="6"/>
      <c r="BZ3447" s="6"/>
      <c r="CA3447" s="6"/>
      <c r="CB3447" s="6"/>
      <c r="CC3447" s="6"/>
      <c r="CD3447" s="6"/>
      <c r="CE3447" s="6"/>
      <c r="CF3447" s="6"/>
      <c r="CG3447" s="6"/>
      <c r="CH3447" s="6"/>
      <c r="CI3447" s="6"/>
      <c r="CJ3447" s="6"/>
      <c r="CK3447" s="6"/>
      <c r="CL3447" s="6"/>
      <c r="CM3447" s="6"/>
      <c r="CN3447" s="6"/>
      <c r="CO3447" s="6"/>
      <c r="CP3447" s="6"/>
      <c r="CQ3447" s="6"/>
      <c r="CR3447" s="6"/>
      <c r="CS3447" s="6"/>
      <c r="CT3447" s="6"/>
      <c r="CU3447" s="6"/>
      <c r="CV3447" s="6"/>
      <c r="CW3447" s="6"/>
      <c r="CX3447" s="6"/>
      <c r="CY3447" s="6"/>
      <c r="CZ3447" s="6"/>
      <c r="DA3447" s="6"/>
      <c r="DB3447" s="6"/>
      <c r="DC3447" s="6"/>
      <c r="DD3447" s="6"/>
    </row>
    <row r="3448" spans="1:108" ht="12.75" hidden="1" customHeight="1" outlineLevel="4">
      <c r="A3448" s="104" t="s">
        <v>64</v>
      </c>
      <c r="B3448" s="105">
        <f t="shared" si="204"/>
        <v>90</v>
      </c>
      <c r="C3448" s="12"/>
      <c r="D3448" s="18" t="str">
        <f t="shared" si="203"/>
        <v>&lt;Rot_Z&gt;90.000000&lt;/Rot_Z&gt;</v>
      </c>
      <c r="F3448" s="6"/>
      <c r="G3448" s="6"/>
      <c r="H3448" s="6"/>
      <c r="I3448" s="6"/>
      <c r="J3448" s="6"/>
      <c r="K3448" s="6"/>
      <c r="L3448" s="6"/>
      <c r="M3448" s="6"/>
      <c r="N3448" s="6"/>
      <c r="O3448" s="6"/>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c r="BU3448" s="6"/>
      <c r="BV3448" s="6"/>
      <c r="BW3448" s="6"/>
      <c r="BX3448" s="6"/>
      <c r="BY3448" s="6"/>
      <c r="BZ3448" s="6"/>
      <c r="CA3448" s="6"/>
      <c r="CB3448" s="6"/>
      <c r="CC3448" s="6"/>
      <c r="CD3448" s="6"/>
      <c r="CE3448" s="6"/>
      <c r="CF3448" s="6"/>
      <c r="CG3448" s="6"/>
      <c r="CH3448" s="6"/>
      <c r="CI3448" s="6"/>
      <c r="CJ3448" s="6"/>
      <c r="CK3448" s="6"/>
      <c r="CL3448" s="6"/>
      <c r="CM3448" s="6"/>
      <c r="CN3448" s="6"/>
      <c r="CO3448" s="6"/>
      <c r="CP3448" s="6"/>
      <c r="CQ3448" s="6"/>
      <c r="CR3448" s="6"/>
      <c r="CS3448" s="6"/>
      <c r="CT3448" s="6"/>
      <c r="CU3448" s="6"/>
      <c r="CV3448" s="6"/>
      <c r="CW3448" s="6"/>
      <c r="CX3448" s="6"/>
      <c r="CY3448" s="6"/>
      <c r="CZ3448" s="6"/>
      <c r="DA3448" s="6"/>
      <c r="DB3448" s="6"/>
      <c r="DC3448" s="6"/>
      <c r="DD3448" s="6"/>
    </row>
    <row r="3449" spans="1:108" ht="12.75" hidden="1" customHeight="1" outlineLevel="4">
      <c r="A3449" s="104" t="s">
        <v>65</v>
      </c>
      <c r="B3449" s="105">
        <f t="shared" si="204"/>
        <v>0</v>
      </c>
      <c r="C3449" s="12"/>
      <c r="D3449" s="18" t="str">
        <f t="shared" si="203"/>
        <v>&lt;RotRel_X&gt;0.000000&lt;/RotRel_X&gt;</v>
      </c>
      <c r="F3449" s="6"/>
      <c r="G3449" s="6"/>
      <c r="H3449" s="6"/>
      <c r="I3449" s="6"/>
      <c r="J3449" s="6"/>
      <c r="K3449" s="6"/>
      <c r="L3449" s="6"/>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c r="BU3449" s="6"/>
      <c r="BV3449" s="6"/>
      <c r="BW3449" s="6"/>
      <c r="BX3449" s="6"/>
      <c r="BY3449" s="6"/>
      <c r="BZ3449" s="6"/>
      <c r="CA3449" s="6"/>
      <c r="CB3449" s="6"/>
      <c r="CC3449" s="6"/>
      <c r="CD3449" s="6"/>
      <c r="CE3449" s="6"/>
      <c r="CF3449" s="6"/>
      <c r="CG3449" s="6"/>
      <c r="CH3449" s="6"/>
      <c r="CI3449" s="6"/>
      <c r="CJ3449" s="6"/>
      <c r="CK3449" s="6"/>
      <c r="CL3449" s="6"/>
      <c r="CM3449" s="6"/>
      <c r="CN3449" s="6"/>
      <c r="CO3449" s="6"/>
      <c r="CP3449" s="6"/>
      <c r="CQ3449" s="6"/>
      <c r="CR3449" s="6"/>
      <c r="CS3449" s="6"/>
      <c r="CT3449" s="6"/>
      <c r="CU3449" s="6"/>
      <c r="CV3449" s="6"/>
      <c r="CW3449" s="6"/>
      <c r="CX3449" s="6"/>
      <c r="CY3449" s="6"/>
      <c r="CZ3449" s="6"/>
      <c r="DA3449" s="6"/>
      <c r="DB3449" s="6"/>
      <c r="DC3449" s="6"/>
      <c r="DD3449" s="6"/>
    </row>
    <row r="3450" spans="1:108" ht="12.75" hidden="1" customHeight="1" outlineLevel="4">
      <c r="A3450" s="104" t="s">
        <v>66</v>
      </c>
      <c r="B3450" s="105">
        <f t="shared" si="204"/>
        <v>0</v>
      </c>
      <c r="C3450" s="12"/>
      <c r="D3450" s="18" t="str">
        <f t="shared" si="203"/>
        <v>&lt;RotRel_Y&gt;0.000000&lt;/RotRel_Y&gt;</v>
      </c>
      <c r="F3450" s="6"/>
      <c r="G3450" s="6"/>
      <c r="H3450" s="6"/>
      <c r="I3450" s="6"/>
      <c r="J3450" s="6"/>
      <c r="K3450" s="6"/>
      <c r="L3450" s="6"/>
      <c r="M3450" s="6"/>
      <c r="N3450" s="6"/>
      <c r="O3450" s="6"/>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c r="BU3450" s="6"/>
      <c r="BV3450" s="6"/>
      <c r="BW3450" s="6"/>
      <c r="BX3450" s="6"/>
      <c r="BY3450" s="6"/>
      <c r="BZ3450" s="6"/>
      <c r="CA3450" s="6"/>
      <c r="CB3450" s="6"/>
      <c r="CC3450" s="6"/>
      <c r="CD3450" s="6"/>
      <c r="CE3450" s="6"/>
      <c r="CF3450" s="6"/>
      <c r="CG3450" s="6"/>
      <c r="CH3450" s="6"/>
      <c r="CI3450" s="6"/>
      <c r="CJ3450" s="6"/>
      <c r="CK3450" s="6"/>
      <c r="CL3450" s="6"/>
      <c r="CM3450" s="6"/>
      <c r="CN3450" s="6"/>
      <c r="CO3450" s="6"/>
      <c r="CP3450" s="6"/>
      <c r="CQ3450" s="6"/>
      <c r="CR3450" s="6"/>
      <c r="CS3450" s="6"/>
      <c r="CT3450" s="6"/>
      <c r="CU3450" s="6"/>
      <c r="CV3450" s="6"/>
      <c r="CW3450" s="6"/>
      <c r="CX3450" s="6"/>
      <c r="CY3450" s="6"/>
      <c r="CZ3450" s="6"/>
      <c r="DA3450" s="6"/>
      <c r="DB3450" s="6"/>
      <c r="DC3450" s="6"/>
      <c r="DD3450" s="6"/>
    </row>
    <row r="3451" spans="1:108" ht="12.75" hidden="1" customHeight="1" outlineLevel="4">
      <c r="A3451" s="104" t="s">
        <v>67</v>
      </c>
      <c r="B3451" s="105">
        <f t="shared" si="204"/>
        <v>0</v>
      </c>
      <c r="C3451" s="12"/>
      <c r="D3451" s="18" t="str">
        <f t="shared" si="203"/>
        <v>&lt;RotRel_Z&gt;0.000000&lt;/RotRel_Z&gt;</v>
      </c>
      <c r="F3451" s="6"/>
      <c r="G3451" s="6"/>
      <c r="H3451" s="6"/>
      <c r="I3451" s="6"/>
      <c r="J3451" s="6"/>
      <c r="K3451" s="6"/>
      <c r="L3451" s="6"/>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c r="BU3451" s="6"/>
      <c r="BV3451" s="6"/>
      <c r="BW3451" s="6"/>
      <c r="BX3451" s="6"/>
      <c r="BY3451" s="6"/>
      <c r="BZ3451" s="6"/>
      <c r="CA3451" s="6"/>
      <c r="CB3451" s="6"/>
      <c r="CC3451" s="6"/>
      <c r="CD3451" s="6"/>
      <c r="CE3451" s="6"/>
      <c r="CF3451" s="6"/>
      <c r="CG3451" s="6"/>
      <c r="CH3451" s="6"/>
      <c r="CI3451" s="6"/>
      <c r="CJ3451" s="6"/>
      <c r="CK3451" s="6"/>
      <c r="CL3451" s="6"/>
      <c r="CM3451" s="6"/>
      <c r="CN3451" s="6"/>
      <c r="CO3451" s="6"/>
      <c r="CP3451" s="6"/>
      <c r="CQ3451" s="6"/>
      <c r="CR3451" s="6"/>
      <c r="CS3451" s="6"/>
      <c r="CT3451" s="6"/>
      <c r="CU3451" s="6"/>
      <c r="CV3451" s="6"/>
      <c r="CW3451" s="6"/>
      <c r="CX3451" s="6"/>
      <c r="CY3451" s="6"/>
      <c r="CZ3451" s="6"/>
      <c r="DA3451" s="6"/>
      <c r="DB3451" s="6"/>
      <c r="DC3451" s="6"/>
      <c r="DD3451" s="6"/>
    </row>
    <row r="3452" spans="1:108" ht="12.75" hidden="1" customHeight="1" outlineLevel="4">
      <c r="A3452" s="104" t="s">
        <v>68</v>
      </c>
      <c r="B3452" s="105">
        <f t="shared" si="204"/>
        <v>0</v>
      </c>
      <c r="C3452" s="12"/>
      <c r="D3452" s="18" t="str">
        <f t="shared" si="203"/>
        <v>&lt;Origin&gt;0.000000&lt;/Origin&gt;</v>
      </c>
      <c r="F3452" s="6"/>
      <c r="G3452" s="6"/>
      <c r="H3452" s="6"/>
      <c r="I3452" s="6"/>
      <c r="J3452" s="6"/>
      <c r="K3452" s="6"/>
      <c r="L3452" s="6"/>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c r="BU3452" s="6"/>
      <c r="BV3452" s="6"/>
      <c r="BW3452" s="6"/>
      <c r="BX3452" s="6"/>
      <c r="BY3452" s="6"/>
      <c r="BZ3452" s="6"/>
      <c r="CA3452" s="6"/>
      <c r="CB3452" s="6"/>
      <c r="CC3452" s="6"/>
      <c r="CD3452" s="6"/>
      <c r="CE3452" s="6"/>
      <c r="CF3452" s="6"/>
      <c r="CG3452" s="6"/>
      <c r="CH3452" s="6"/>
      <c r="CI3452" s="6"/>
      <c r="CJ3452" s="6"/>
      <c r="CK3452" s="6"/>
      <c r="CL3452" s="6"/>
      <c r="CM3452" s="6"/>
      <c r="CN3452" s="6"/>
      <c r="CO3452" s="6"/>
      <c r="CP3452" s="6"/>
      <c r="CQ3452" s="6"/>
      <c r="CR3452" s="6"/>
      <c r="CS3452" s="6"/>
      <c r="CT3452" s="6"/>
      <c r="CU3452" s="6"/>
      <c r="CV3452" s="6"/>
      <c r="CW3452" s="6"/>
      <c r="CX3452" s="6"/>
      <c r="CY3452" s="6"/>
      <c r="CZ3452" s="6"/>
      <c r="DA3452" s="6"/>
      <c r="DB3452" s="6"/>
      <c r="DC3452" s="6"/>
      <c r="DD3452" s="6"/>
    </row>
    <row r="3453" spans="1:108" ht="12.75" hidden="1" customHeight="1" outlineLevel="4">
      <c r="A3453" s="104" t="s">
        <v>69</v>
      </c>
      <c r="B3453" s="105">
        <f t="shared" si="204"/>
        <v>1</v>
      </c>
      <c r="C3453" s="12"/>
      <c r="D3453" s="18" t="str">
        <f t="shared" si="203"/>
        <v>&lt;Density&gt;1.000000&lt;/Density&gt;</v>
      </c>
      <c r="F3453" s="6"/>
      <c r="G3453" s="6"/>
      <c r="H3453" s="6"/>
      <c r="I3453" s="6"/>
      <c r="J3453" s="6"/>
      <c r="K3453" s="6"/>
      <c r="L3453" s="6"/>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c r="BU3453" s="6"/>
      <c r="BV3453" s="6"/>
      <c r="BW3453" s="6"/>
      <c r="BX3453" s="6"/>
      <c r="BY3453" s="6"/>
      <c r="BZ3453" s="6"/>
      <c r="CA3453" s="6"/>
      <c r="CB3453" s="6"/>
      <c r="CC3453" s="6"/>
      <c r="CD3453" s="6"/>
      <c r="CE3453" s="6"/>
      <c r="CF3453" s="6"/>
      <c r="CG3453" s="6"/>
      <c r="CH3453" s="6"/>
      <c r="CI3453" s="6"/>
      <c r="CJ3453" s="6"/>
      <c r="CK3453" s="6"/>
      <c r="CL3453" s="6"/>
      <c r="CM3453" s="6"/>
      <c r="CN3453" s="6"/>
      <c r="CO3453" s="6"/>
      <c r="CP3453" s="6"/>
      <c r="CQ3453" s="6"/>
      <c r="CR3453" s="6"/>
      <c r="CS3453" s="6"/>
      <c r="CT3453" s="6"/>
      <c r="CU3453" s="6"/>
      <c r="CV3453" s="6"/>
      <c r="CW3453" s="6"/>
      <c r="CX3453" s="6"/>
      <c r="CY3453" s="6"/>
      <c r="CZ3453" s="6"/>
      <c r="DA3453" s="6"/>
      <c r="DB3453" s="6"/>
      <c r="DC3453" s="6"/>
      <c r="DD3453" s="6"/>
    </row>
    <row r="3454" spans="1:108" ht="12.75" hidden="1" customHeight="1" outlineLevel="4">
      <c r="A3454" s="104" t="s">
        <v>70</v>
      </c>
      <c r="B3454" s="105">
        <f t="shared" si="204"/>
        <v>1</v>
      </c>
      <c r="C3454" s="12"/>
      <c r="D3454" s="18" t="str">
        <f t="shared" si="203"/>
        <v>&lt;ShellMassArea&gt;1.000000&lt;/ShellMassArea&gt;</v>
      </c>
      <c r="F3454" s="6"/>
      <c r="G3454" s="6"/>
      <c r="H3454" s="6"/>
      <c r="I3454" s="6"/>
      <c r="J3454" s="6"/>
      <c r="K3454" s="6"/>
      <c r="L3454" s="6"/>
      <c r="M3454" s="6"/>
      <c r="N3454" s="6"/>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c r="BU3454" s="6"/>
      <c r="BV3454" s="6"/>
      <c r="BW3454" s="6"/>
      <c r="BX3454" s="6"/>
      <c r="BY3454" s="6"/>
      <c r="BZ3454" s="6"/>
      <c r="CA3454" s="6"/>
      <c r="CB3454" s="6"/>
      <c r="CC3454" s="6"/>
      <c r="CD3454" s="6"/>
      <c r="CE3454" s="6"/>
      <c r="CF3454" s="6"/>
      <c r="CG3454" s="6"/>
      <c r="CH3454" s="6"/>
      <c r="CI3454" s="6"/>
      <c r="CJ3454" s="6"/>
      <c r="CK3454" s="6"/>
      <c r="CL3454" s="6"/>
      <c r="CM3454" s="6"/>
      <c r="CN3454" s="6"/>
      <c r="CO3454" s="6"/>
      <c r="CP3454" s="6"/>
      <c r="CQ3454" s="6"/>
      <c r="CR3454" s="6"/>
      <c r="CS3454" s="6"/>
      <c r="CT3454" s="6"/>
      <c r="CU3454" s="6"/>
      <c r="CV3454" s="6"/>
      <c r="CW3454" s="6"/>
      <c r="CX3454" s="6"/>
      <c r="CY3454" s="6"/>
      <c r="CZ3454" s="6"/>
      <c r="DA3454" s="6"/>
      <c r="DB3454" s="6"/>
      <c r="DC3454" s="6"/>
      <c r="DD3454" s="6"/>
    </row>
    <row r="3455" spans="1:108" ht="12.75" hidden="1" customHeight="1" outlineLevel="4">
      <c r="A3455" s="104" t="s">
        <v>71</v>
      </c>
      <c r="B3455" s="105">
        <f t="shared" si="204"/>
        <v>0</v>
      </c>
      <c r="C3455" s="12"/>
      <c r="D3455" s="18" t="str">
        <f>"&lt;" &amp; A3455 &amp; "&gt;" &amp; TEXT(B3455,0) &amp; "&lt;/" &amp; A3455 &amp; "&gt;"</f>
        <v>&lt;RefFlag&gt;0&lt;/RefFlag&gt;</v>
      </c>
      <c r="F3455" s="6"/>
      <c r="G3455" s="6"/>
      <c r="H3455" s="6"/>
      <c r="I3455" s="6"/>
      <c r="J3455" s="6"/>
      <c r="K3455" s="6"/>
      <c r="L3455" s="6"/>
      <c r="M3455" s="6"/>
      <c r="N3455" s="6"/>
      <c r="O3455" s="6"/>
      <c r="P3455" s="6"/>
      <c r="Q3455" s="6"/>
      <c r="R3455" s="6"/>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c r="BU3455" s="6"/>
      <c r="BV3455" s="6"/>
      <c r="BW3455" s="6"/>
      <c r="BX3455" s="6"/>
      <c r="BY3455" s="6"/>
      <c r="BZ3455" s="6"/>
      <c r="CA3455" s="6"/>
      <c r="CB3455" s="6"/>
      <c r="CC3455" s="6"/>
      <c r="CD3455" s="6"/>
      <c r="CE3455" s="6"/>
      <c r="CF3455" s="6"/>
      <c r="CG3455" s="6"/>
      <c r="CH3455" s="6"/>
      <c r="CI3455" s="6"/>
      <c r="CJ3455" s="6"/>
      <c r="CK3455" s="6"/>
      <c r="CL3455" s="6"/>
      <c r="CM3455" s="6"/>
      <c r="CN3455" s="6"/>
      <c r="CO3455" s="6"/>
      <c r="CP3455" s="6"/>
      <c r="CQ3455" s="6"/>
      <c r="CR3455" s="6"/>
      <c r="CS3455" s="6"/>
      <c r="CT3455" s="6"/>
      <c r="CU3455" s="6"/>
      <c r="CV3455" s="6"/>
      <c r="CW3455" s="6"/>
      <c r="CX3455" s="6"/>
      <c r="CY3455" s="6"/>
      <c r="CZ3455" s="6"/>
      <c r="DA3455" s="6"/>
      <c r="DB3455" s="6"/>
      <c r="DC3455" s="6"/>
      <c r="DD3455" s="6"/>
    </row>
    <row r="3456" spans="1:108" ht="12.75" hidden="1" customHeight="1" outlineLevel="4">
      <c r="A3456" s="104" t="s">
        <v>72</v>
      </c>
      <c r="B3456" s="105">
        <f t="shared" si="204"/>
        <v>100</v>
      </c>
      <c r="C3456" s="12"/>
      <c r="D3456" s="18" t="str">
        <f>"&lt;" &amp; A3456 &amp; "&gt;" &amp; TEXT(B3456,"0.000000") &amp; "&lt;/" &amp; A3456 &amp; "&gt;"</f>
        <v>&lt;RefArea&gt;100.000000&lt;/RefArea&gt;</v>
      </c>
      <c r="F3456" s="6"/>
      <c r="G3456" s="6"/>
      <c r="H3456" s="6"/>
      <c r="I3456" s="6"/>
      <c r="J3456" s="6"/>
      <c r="K3456" s="6"/>
      <c r="L3456" s="6"/>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c r="BU3456" s="6"/>
      <c r="BV3456" s="6"/>
      <c r="BW3456" s="6"/>
      <c r="BX3456" s="6"/>
      <c r="BY3456" s="6"/>
      <c r="BZ3456" s="6"/>
      <c r="CA3456" s="6"/>
      <c r="CB3456" s="6"/>
      <c r="CC3456" s="6"/>
      <c r="CD3456" s="6"/>
      <c r="CE3456" s="6"/>
      <c r="CF3456" s="6"/>
      <c r="CG3456" s="6"/>
      <c r="CH3456" s="6"/>
      <c r="CI3456" s="6"/>
      <c r="CJ3456" s="6"/>
      <c r="CK3456" s="6"/>
      <c r="CL3456" s="6"/>
      <c r="CM3456" s="6"/>
      <c r="CN3456" s="6"/>
      <c r="CO3456" s="6"/>
      <c r="CP3456" s="6"/>
      <c r="CQ3456" s="6"/>
      <c r="CR3456" s="6"/>
      <c r="CS3456" s="6"/>
      <c r="CT3456" s="6"/>
      <c r="CU3456" s="6"/>
      <c r="CV3456" s="6"/>
      <c r="CW3456" s="6"/>
      <c r="CX3456" s="6"/>
      <c r="CY3456" s="6"/>
      <c r="CZ3456" s="6"/>
      <c r="DA3456" s="6"/>
      <c r="DB3456" s="6"/>
      <c r="DC3456" s="6"/>
      <c r="DD3456" s="6"/>
    </row>
    <row r="3457" spans="1:108" ht="12.75" hidden="1" customHeight="1" outlineLevel="4">
      <c r="A3457" s="104" t="s">
        <v>73</v>
      </c>
      <c r="B3457" s="105">
        <f t="shared" si="204"/>
        <v>10</v>
      </c>
      <c r="C3457" s="12"/>
      <c r="D3457" s="18" t="str">
        <f>"&lt;" &amp; A3457 &amp; "&gt;" &amp; TEXT(B3457,"0.000000") &amp; "&lt;/" &amp; A3457 &amp; "&gt;"</f>
        <v>&lt;RefSpan&gt;10.000000&lt;/RefSpan&gt;</v>
      </c>
      <c r="F3457" s="6"/>
      <c r="G3457" s="6"/>
      <c r="H3457" s="6"/>
      <c r="I3457" s="6"/>
      <c r="J3457" s="6"/>
      <c r="K3457" s="6"/>
      <c r="L3457" s="6"/>
      <c r="M3457" s="6"/>
      <c r="N3457" s="6"/>
      <c r="O3457" s="6"/>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c r="BU3457" s="6"/>
      <c r="BV3457" s="6"/>
      <c r="BW3457" s="6"/>
      <c r="BX3457" s="6"/>
      <c r="BY3457" s="6"/>
      <c r="BZ3457" s="6"/>
      <c r="CA3457" s="6"/>
      <c r="CB3457" s="6"/>
      <c r="CC3457" s="6"/>
      <c r="CD3457" s="6"/>
      <c r="CE3457" s="6"/>
      <c r="CF3457" s="6"/>
      <c r="CG3457" s="6"/>
      <c r="CH3457" s="6"/>
      <c r="CI3457" s="6"/>
      <c r="CJ3457" s="6"/>
      <c r="CK3457" s="6"/>
      <c r="CL3457" s="6"/>
      <c r="CM3457" s="6"/>
      <c r="CN3457" s="6"/>
      <c r="CO3457" s="6"/>
      <c r="CP3457" s="6"/>
      <c r="CQ3457" s="6"/>
      <c r="CR3457" s="6"/>
      <c r="CS3457" s="6"/>
      <c r="CT3457" s="6"/>
      <c r="CU3457" s="6"/>
      <c r="CV3457" s="6"/>
      <c r="CW3457" s="6"/>
      <c r="CX3457" s="6"/>
      <c r="CY3457" s="6"/>
      <c r="CZ3457" s="6"/>
      <c r="DA3457" s="6"/>
      <c r="DB3457" s="6"/>
      <c r="DC3457" s="6"/>
      <c r="DD3457" s="6"/>
    </row>
    <row r="3458" spans="1:108" ht="12.75" hidden="1" customHeight="1" outlineLevel="4">
      <c r="A3458" s="104" t="s">
        <v>74</v>
      </c>
      <c r="B3458" s="105">
        <f t="shared" si="204"/>
        <v>1</v>
      </c>
      <c r="C3458" s="12"/>
      <c r="D3458" s="18" t="str">
        <f>"&lt;" &amp; A3458 &amp; "&gt;" &amp; TEXT(B3458,"0.000000") &amp; "&lt;/" &amp; A3458 &amp; "&gt;"</f>
        <v>&lt;RefCbar&gt;1.000000&lt;/RefCbar&gt;</v>
      </c>
      <c r="F3458" s="6"/>
      <c r="G3458" s="6"/>
      <c r="H3458" s="6"/>
      <c r="I3458" s="6"/>
      <c r="J3458" s="6"/>
      <c r="K3458" s="6"/>
      <c r="L3458" s="6"/>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c r="BU3458" s="6"/>
      <c r="BV3458" s="6"/>
      <c r="BW3458" s="6"/>
      <c r="BX3458" s="6"/>
      <c r="BY3458" s="6"/>
      <c r="BZ3458" s="6"/>
      <c r="CA3458" s="6"/>
      <c r="CB3458" s="6"/>
      <c r="CC3458" s="6"/>
      <c r="CD3458" s="6"/>
      <c r="CE3458" s="6"/>
      <c r="CF3458" s="6"/>
      <c r="CG3458" s="6"/>
      <c r="CH3458" s="6"/>
      <c r="CI3458" s="6"/>
      <c r="CJ3458" s="6"/>
      <c r="CK3458" s="6"/>
      <c r="CL3458" s="6"/>
      <c r="CM3458" s="6"/>
      <c r="CN3458" s="6"/>
      <c r="CO3458" s="6"/>
      <c r="CP3458" s="6"/>
      <c r="CQ3458" s="6"/>
      <c r="CR3458" s="6"/>
      <c r="CS3458" s="6"/>
      <c r="CT3458" s="6"/>
      <c r="CU3458" s="6"/>
      <c r="CV3458" s="6"/>
      <c r="CW3458" s="6"/>
      <c r="CX3458" s="6"/>
      <c r="CY3458" s="6"/>
      <c r="CZ3458" s="6"/>
      <c r="DA3458" s="6"/>
      <c r="DB3458" s="6"/>
      <c r="DC3458" s="6"/>
      <c r="DD3458" s="6"/>
    </row>
    <row r="3459" spans="1:108" ht="12.75" hidden="1" customHeight="1" outlineLevel="4">
      <c r="A3459" s="104" t="s">
        <v>75</v>
      </c>
      <c r="B3459" s="105">
        <f t="shared" si="204"/>
        <v>1</v>
      </c>
      <c r="C3459" s="12"/>
      <c r="D3459" s="18" t="str">
        <f>"&lt;" &amp; A3459 &amp; "&gt;" &amp; TEXT(B3459,0) &amp; "&lt;/" &amp; A3459 &amp; "&gt;"</f>
        <v>&lt;AutoRefAreaFlag&gt;1&lt;/AutoRefAreaFlag&gt;</v>
      </c>
      <c r="F3459" s="6"/>
      <c r="G3459" s="6"/>
      <c r="H3459" s="6"/>
      <c r="I3459" s="6"/>
      <c r="J3459" s="6"/>
      <c r="K3459" s="6"/>
      <c r="L3459" s="6"/>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c r="BU3459" s="6"/>
      <c r="BV3459" s="6"/>
      <c r="BW3459" s="6"/>
      <c r="BX3459" s="6"/>
      <c r="BY3459" s="6"/>
      <c r="BZ3459" s="6"/>
      <c r="CA3459" s="6"/>
      <c r="CB3459" s="6"/>
      <c r="CC3459" s="6"/>
      <c r="CD3459" s="6"/>
      <c r="CE3459" s="6"/>
      <c r="CF3459" s="6"/>
      <c r="CG3459" s="6"/>
      <c r="CH3459" s="6"/>
      <c r="CI3459" s="6"/>
      <c r="CJ3459" s="6"/>
      <c r="CK3459" s="6"/>
      <c r="CL3459" s="6"/>
      <c r="CM3459" s="6"/>
      <c r="CN3459" s="6"/>
      <c r="CO3459" s="6"/>
      <c r="CP3459" s="6"/>
      <c r="CQ3459" s="6"/>
      <c r="CR3459" s="6"/>
      <c r="CS3459" s="6"/>
      <c r="CT3459" s="6"/>
      <c r="CU3459" s="6"/>
      <c r="CV3459" s="6"/>
      <c r="CW3459" s="6"/>
      <c r="CX3459" s="6"/>
      <c r="CY3459" s="6"/>
      <c r="CZ3459" s="6"/>
      <c r="DA3459" s="6"/>
      <c r="DB3459" s="6"/>
      <c r="DC3459" s="6"/>
      <c r="DD3459" s="6"/>
    </row>
    <row r="3460" spans="1:108" ht="12.75" hidden="1" customHeight="1" outlineLevel="4">
      <c r="A3460" s="104" t="s">
        <v>76</v>
      </c>
      <c r="B3460" s="105">
        <f t="shared" si="204"/>
        <v>1</v>
      </c>
      <c r="C3460" s="12"/>
      <c r="D3460" s="18" t="str">
        <f>"&lt;" &amp; A3460 &amp; "&gt;" &amp; TEXT(B3460,0) &amp; "&lt;/" &amp; A3460 &amp; "&gt;"</f>
        <v>&lt;AutoRefSpanFlag&gt;1&lt;/AutoRefSpanFlag&gt;</v>
      </c>
      <c r="F3460" s="6"/>
      <c r="G3460" s="6"/>
      <c r="H3460" s="6"/>
      <c r="I3460" s="6"/>
      <c r="J3460" s="6"/>
      <c r="K3460" s="6"/>
      <c r="L3460" s="6"/>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c r="BU3460" s="6"/>
      <c r="BV3460" s="6"/>
      <c r="BW3460" s="6"/>
      <c r="BX3460" s="6"/>
      <c r="BY3460" s="6"/>
      <c r="BZ3460" s="6"/>
      <c r="CA3460" s="6"/>
      <c r="CB3460" s="6"/>
      <c r="CC3460" s="6"/>
      <c r="CD3460" s="6"/>
      <c r="CE3460" s="6"/>
      <c r="CF3460" s="6"/>
      <c r="CG3460" s="6"/>
      <c r="CH3460" s="6"/>
      <c r="CI3460" s="6"/>
      <c r="CJ3460" s="6"/>
      <c r="CK3460" s="6"/>
      <c r="CL3460" s="6"/>
      <c r="CM3460" s="6"/>
      <c r="CN3460" s="6"/>
      <c r="CO3460" s="6"/>
      <c r="CP3460" s="6"/>
      <c r="CQ3460" s="6"/>
      <c r="CR3460" s="6"/>
      <c r="CS3460" s="6"/>
      <c r="CT3460" s="6"/>
      <c r="CU3460" s="6"/>
      <c r="CV3460" s="6"/>
      <c r="CW3460" s="6"/>
      <c r="CX3460" s="6"/>
      <c r="CY3460" s="6"/>
      <c r="CZ3460" s="6"/>
      <c r="DA3460" s="6"/>
      <c r="DB3460" s="6"/>
      <c r="DC3460" s="6"/>
      <c r="DD3460" s="6"/>
    </row>
    <row r="3461" spans="1:108" ht="12.75" hidden="1" customHeight="1" outlineLevel="4">
      <c r="A3461" s="104" t="s">
        <v>77</v>
      </c>
      <c r="B3461" s="105">
        <f t="shared" si="204"/>
        <v>1</v>
      </c>
      <c r="C3461" s="12"/>
      <c r="D3461" s="18" t="str">
        <f>"&lt;" &amp; A3461 &amp; "&gt;" &amp; TEXT(B3461,0) &amp; "&lt;/" &amp; A3461 &amp; "&gt;"</f>
        <v>&lt;AutoRefCbarFlag&gt;1&lt;/AutoRefCbarFlag&gt;</v>
      </c>
      <c r="F3461" s="6"/>
      <c r="G3461" s="6"/>
      <c r="H3461" s="6"/>
      <c r="I3461" s="6"/>
      <c r="J3461" s="6"/>
      <c r="K3461" s="6"/>
      <c r="L3461" s="6"/>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c r="BU3461" s="6"/>
      <c r="BV3461" s="6"/>
      <c r="BW3461" s="6"/>
      <c r="BX3461" s="6"/>
      <c r="BY3461" s="6"/>
      <c r="BZ3461" s="6"/>
      <c r="CA3461" s="6"/>
      <c r="CB3461" s="6"/>
      <c r="CC3461" s="6"/>
      <c r="CD3461" s="6"/>
      <c r="CE3461" s="6"/>
      <c r="CF3461" s="6"/>
      <c r="CG3461" s="6"/>
      <c r="CH3461" s="6"/>
      <c r="CI3461" s="6"/>
      <c r="CJ3461" s="6"/>
      <c r="CK3461" s="6"/>
      <c r="CL3461" s="6"/>
      <c r="CM3461" s="6"/>
      <c r="CN3461" s="6"/>
      <c r="CO3461" s="6"/>
      <c r="CP3461" s="6"/>
      <c r="CQ3461" s="6"/>
      <c r="CR3461" s="6"/>
      <c r="CS3461" s="6"/>
      <c r="CT3461" s="6"/>
      <c r="CU3461" s="6"/>
      <c r="CV3461" s="6"/>
      <c r="CW3461" s="6"/>
      <c r="CX3461" s="6"/>
      <c r="CY3461" s="6"/>
      <c r="CZ3461" s="6"/>
      <c r="DA3461" s="6"/>
      <c r="DB3461" s="6"/>
      <c r="DC3461" s="6"/>
      <c r="DD3461" s="6"/>
    </row>
    <row r="3462" spans="1:108" ht="12.75" hidden="1" customHeight="1" outlineLevel="4">
      <c r="A3462" s="104" t="s">
        <v>78</v>
      </c>
      <c r="B3462" s="105">
        <f t="shared" si="204"/>
        <v>0</v>
      </c>
      <c r="C3462" s="12"/>
      <c r="D3462" s="18" t="str">
        <f>"&lt;" &amp; A3462 &amp; "&gt;" &amp; TEXT(B3462,"0.000000") &amp; "&lt;/" &amp; A3462 &amp; "&gt;"</f>
        <v>&lt;AeroCenter_X&gt;0.000000&lt;/AeroCenter_X&gt;</v>
      </c>
      <c r="F3462" s="6"/>
      <c r="G3462" s="6"/>
      <c r="H3462" s="6"/>
      <c r="I3462" s="6"/>
      <c r="J3462" s="6"/>
      <c r="K3462" s="6"/>
      <c r="L3462" s="6"/>
      <c r="M3462" s="6"/>
      <c r="N3462" s="6"/>
      <c r="O3462" s="6"/>
      <c r="P3462" s="6"/>
      <c r="Q3462" s="6"/>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c r="BU3462" s="6"/>
      <c r="BV3462" s="6"/>
      <c r="BW3462" s="6"/>
      <c r="BX3462" s="6"/>
      <c r="BY3462" s="6"/>
      <c r="BZ3462" s="6"/>
      <c r="CA3462" s="6"/>
      <c r="CB3462" s="6"/>
      <c r="CC3462" s="6"/>
      <c r="CD3462" s="6"/>
      <c r="CE3462" s="6"/>
      <c r="CF3462" s="6"/>
      <c r="CG3462" s="6"/>
      <c r="CH3462" s="6"/>
      <c r="CI3462" s="6"/>
      <c r="CJ3462" s="6"/>
      <c r="CK3462" s="6"/>
      <c r="CL3462" s="6"/>
      <c r="CM3462" s="6"/>
      <c r="CN3462" s="6"/>
      <c r="CO3462" s="6"/>
      <c r="CP3462" s="6"/>
      <c r="CQ3462" s="6"/>
      <c r="CR3462" s="6"/>
      <c r="CS3462" s="6"/>
      <c r="CT3462" s="6"/>
      <c r="CU3462" s="6"/>
      <c r="CV3462" s="6"/>
      <c r="CW3462" s="6"/>
      <c r="CX3462" s="6"/>
      <c r="CY3462" s="6"/>
      <c r="CZ3462" s="6"/>
      <c r="DA3462" s="6"/>
      <c r="DB3462" s="6"/>
      <c r="DC3462" s="6"/>
      <c r="DD3462" s="6"/>
    </row>
    <row r="3463" spans="1:108" ht="12.75" hidden="1" customHeight="1" outlineLevel="4">
      <c r="A3463" s="104" t="s">
        <v>79</v>
      </c>
      <c r="B3463" s="105">
        <f t="shared" si="204"/>
        <v>0</v>
      </c>
      <c r="C3463" s="12"/>
      <c r="D3463" s="18" t="str">
        <f>"&lt;" &amp; A3463 &amp; "&gt;" &amp; TEXT(B3463,"0.000000") &amp; "&lt;/" &amp; A3463 &amp; "&gt;"</f>
        <v>&lt;AeroCenter_Y&gt;0.000000&lt;/AeroCenter_Y&gt;</v>
      </c>
      <c r="F3463" s="6"/>
      <c r="G3463" s="6"/>
      <c r="H3463" s="6"/>
      <c r="I3463" s="6"/>
      <c r="J3463" s="6"/>
      <c r="K3463" s="6"/>
      <c r="L3463" s="6"/>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c r="BU3463" s="6"/>
      <c r="BV3463" s="6"/>
      <c r="BW3463" s="6"/>
      <c r="BX3463" s="6"/>
      <c r="BY3463" s="6"/>
      <c r="BZ3463" s="6"/>
      <c r="CA3463" s="6"/>
      <c r="CB3463" s="6"/>
      <c r="CC3463" s="6"/>
      <c r="CD3463" s="6"/>
      <c r="CE3463" s="6"/>
      <c r="CF3463" s="6"/>
      <c r="CG3463" s="6"/>
      <c r="CH3463" s="6"/>
      <c r="CI3463" s="6"/>
      <c r="CJ3463" s="6"/>
      <c r="CK3463" s="6"/>
      <c r="CL3463" s="6"/>
      <c r="CM3463" s="6"/>
      <c r="CN3463" s="6"/>
      <c r="CO3463" s="6"/>
      <c r="CP3463" s="6"/>
      <c r="CQ3463" s="6"/>
      <c r="CR3463" s="6"/>
      <c r="CS3463" s="6"/>
      <c r="CT3463" s="6"/>
      <c r="CU3463" s="6"/>
      <c r="CV3463" s="6"/>
      <c r="CW3463" s="6"/>
      <c r="CX3463" s="6"/>
      <c r="CY3463" s="6"/>
      <c r="CZ3463" s="6"/>
      <c r="DA3463" s="6"/>
      <c r="DB3463" s="6"/>
      <c r="DC3463" s="6"/>
      <c r="DD3463" s="6"/>
    </row>
    <row r="3464" spans="1:108" ht="12.75" hidden="1" customHeight="1" outlineLevel="4">
      <c r="A3464" s="104" t="s">
        <v>80</v>
      </c>
      <c r="B3464" s="105">
        <f t="shared" si="204"/>
        <v>0</v>
      </c>
      <c r="C3464" s="12"/>
      <c r="D3464" s="18" t="str">
        <f>"&lt;" &amp; A3464 &amp; "&gt;" &amp; TEXT(B3464,"0.000000") &amp; "&lt;/" &amp; A3464 &amp; "&gt;"</f>
        <v>&lt;AeroCenter_Z&gt;0.000000&lt;/AeroCenter_Z&gt;</v>
      </c>
      <c r="F3464" s="6"/>
      <c r="G3464" s="6"/>
      <c r="H3464" s="6"/>
      <c r="I3464" s="6"/>
      <c r="J3464" s="6"/>
      <c r="K3464" s="6"/>
      <c r="L3464" s="6"/>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c r="BU3464" s="6"/>
      <c r="BV3464" s="6"/>
      <c r="BW3464" s="6"/>
      <c r="BX3464" s="6"/>
      <c r="BY3464" s="6"/>
      <c r="BZ3464" s="6"/>
      <c r="CA3464" s="6"/>
      <c r="CB3464" s="6"/>
      <c r="CC3464" s="6"/>
      <c r="CD3464" s="6"/>
      <c r="CE3464" s="6"/>
      <c r="CF3464" s="6"/>
      <c r="CG3464" s="6"/>
      <c r="CH3464" s="6"/>
      <c r="CI3464" s="6"/>
      <c r="CJ3464" s="6"/>
      <c r="CK3464" s="6"/>
      <c r="CL3464" s="6"/>
      <c r="CM3464" s="6"/>
      <c r="CN3464" s="6"/>
      <c r="CO3464" s="6"/>
      <c r="CP3464" s="6"/>
      <c r="CQ3464" s="6"/>
      <c r="CR3464" s="6"/>
      <c r="CS3464" s="6"/>
      <c r="CT3464" s="6"/>
      <c r="CU3464" s="6"/>
      <c r="CV3464" s="6"/>
      <c r="CW3464" s="6"/>
      <c r="CX3464" s="6"/>
      <c r="CY3464" s="6"/>
      <c r="CZ3464" s="6"/>
      <c r="DA3464" s="6"/>
      <c r="DB3464" s="6"/>
      <c r="DC3464" s="6"/>
      <c r="DD3464" s="6"/>
    </row>
    <row r="3465" spans="1:108" ht="12.75" hidden="1" customHeight="1" outlineLevel="4">
      <c r="A3465" s="104" t="s">
        <v>81</v>
      </c>
      <c r="B3465" s="105">
        <f t="shared" si="204"/>
        <v>1</v>
      </c>
      <c r="C3465" s="12"/>
      <c r="D3465" s="18" t="str">
        <f>"&lt;" &amp; A3465 &amp; "&gt;" &amp; TEXT(B3465,0) &amp; "&lt;/" &amp; A3465 &amp; "&gt;"</f>
        <v>&lt;AutoAeroCenterFlag&gt;1&lt;/AutoAeroCenterFlag&gt;</v>
      </c>
      <c r="F3465" s="6"/>
      <c r="G3465" s="6"/>
      <c r="H3465" s="6"/>
      <c r="I3465" s="6"/>
      <c r="J3465" s="6"/>
      <c r="K3465" s="6"/>
      <c r="L3465" s="6"/>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c r="BU3465" s="6"/>
      <c r="BV3465" s="6"/>
      <c r="BW3465" s="6"/>
      <c r="BX3465" s="6"/>
      <c r="BY3465" s="6"/>
      <c r="BZ3465" s="6"/>
      <c r="CA3465" s="6"/>
      <c r="CB3465" s="6"/>
      <c r="CC3465" s="6"/>
      <c r="CD3465" s="6"/>
      <c r="CE3465" s="6"/>
      <c r="CF3465" s="6"/>
      <c r="CG3465" s="6"/>
      <c r="CH3465" s="6"/>
      <c r="CI3465" s="6"/>
      <c r="CJ3465" s="6"/>
      <c r="CK3465" s="6"/>
      <c r="CL3465" s="6"/>
      <c r="CM3465" s="6"/>
      <c r="CN3465" s="6"/>
      <c r="CO3465" s="6"/>
      <c r="CP3465" s="6"/>
      <c r="CQ3465" s="6"/>
      <c r="CR3465" s="6"/>
      <c r="CS3465" s="6"/>
      <c r="CT3465" s="6"/>
      <c r="CU3465" s="6"/>
      <c r="CV3465" s="6"/>
      <c r="CW3465" s="6"/>
      <c r="CX3465" s="6"/>
      <c r="CY3465" s="6"/>
      <c r="CZ3465" s="6"/>
      <c r="DA3465" s="6"/>
      <c r="DB3465" s="6"/>
      <c r="DC3465" s="6"/>
      <c r="DD3465" s="6"/>
    </row>
    <row r="3466" spans="1:108" ht="12.75" hidden="1" customHeight="1" outlineLevel="4">
      <c r="A3466" s="104" t="s">
        <v>82</v>
      </c>
      <c r="B3466" s="105">
        <f t="shared" si="204"/>
        <v>0</v>
      </c>
      <c r="C3466" s="12"/>
      <c r="D3466" s="18" t="str">
        <f>"&lt;" &amp; A3466 &amp; "&gt;" &amp; TEXT(B3466,0) &amp; "&lt;/" &amp; A3466 &amp; "&gt;"</f>
        <v>&lt;WakeActiveFlag&gt;0&lt;/WakeActiveFlag&gt;</v>
      </c>
      <c r="F3466" s="6"/>
      <c r="G3466" s="6"/>
      <c r="H3466" s="6"/>
      <c r="I3466" s="6"/>
      <c r="J3466" s="6"/>
      <c r="K3466" s="6"/>
      <c r="L3466" s="6"/>
      <c r="M3466" s="6"/>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c r="BU3466" s="6"/>
      <c r="BV3466" s="6"/>
      <c r="BW3466" s="6"/>
      <c r="BX3466" s="6"/>
      <c r="BY3466" s="6"/>
      <c r="BZ3466" s="6"/>
      <c r="CA3466" s="6"/>
      <c r="CB3466" s="6"/>
      <c r="CC3466" s="6"/>
      <c r="CD3466" s="6"/>
      <c r="CE3466" s="6"/>
      <c r="CF3466" s="6"/>
      <c r="CG3466" s="6"/>
      <c r="CH3466" s="6"/>
      <c r="CI3466" s="6"/>
      <c r="CJ3466" s="6"/>
      <c r="CK3466" s="6"/>
      <c r="CL3466" s="6"/>
      <c r="CM3466" s="6"/>
      <c r="CN3466" s="6"/>
      <c r="CO3466" s="6"/>
      <c r="CP3466" s="6"/>
      <c r="CQ3466" s="6"/>
      <c r="CR3466" s="6"/>
      <c r="CS3466" s="6"/>
      <c r="CT3466" s="6"/>
      <c r="CU3466" s="6"/>
      <c r="CV3466" s="6"/>
      <c r="CW3466" s="6"/>
      <c r="CX3466" s="6"/>
      <c r="CY3466" s="6"/>
      <c r="CZ3466" s="6"/>
      <c r="DA3466" s="6"/>
      <c r="DB3466" s="6"/>
      <c r="DC3466" s="6"/>
      <c r="DD3466" s="6"/>
    </row>
    <row r="3467" spans="1:108" ht="12.75" hidden="1" customHeight="1" outlineLevel="4">
      <c r="A3467" s="104" t="s">
        <v>83</v>
      </c>
      <c r="B3467" s="105">
        <f t="shared" si="204"/>
        <v>0</v>
      </c>
      <c r="C3467" s="12"/>
      <c r="D3467" s="18" t="str">
        <f>"&lt;" &amp; A3467 &amp; "&gt;" &amp; TEXT(B3467,0) &amp; "&lt;/" &amp; A3467 &amp; "&gt;"</f>
        <v>&lt;PosAttachFlag&gt;0&lt;/PosAttachFlag&gt;</v>
      </c>
      <c r="F3467" s="6"/>
      <c r="G3467" s="6"/>
      <c r="H3467" s="6"/>
      <c r="I3467" s="6"/>
      <c r="J3467" s="6"/>
      <c r="K3467" s="6"/>
      <c r="L3467" s="6"/>
      <c r="M3467" s="6"/>
      <c r="N3467" s="6"/>
      <c r="O3467" s="6"/>
      <c r="P3467" s="6"/>
      <c r="Q3467" s="6"/>
      <c r="R3467" s="6"/>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c r="BU3467" s="6"/>
      <c r="BV3467" s="6"/>
      <c r="BW3467" s="6"/>
      <c r="BX3467" s="6"/>
      <c r="BY3467" s="6"/>
      <c r="BZ3467" s="6"/>
      <c r="CA3467" s="6"/>
      <c r="CB3467" s="6"/>
      <c r="CC3467" s="6"/>
      <c r="CD3467" s="6"/>
      <c r="CE3467" s="6"/>
      <c r="CF3467" s="6"/>
      <c r="CG3467" s="6"/>
      <c r="CH3467" s="6"/>
      <c r="CI3467" s="6"/>
      <c r="CJ3467" s="6"/>
      <c r="CK3467" s="6"/>
      <c r="CL3467" s="6"/>
      <c r="CM3467" s="6"/>
      <c r="CN3467" s="6"/>
      <c r="CO3467" s="6"/>
      <c r="CP3467" s="6"/>
      <c r="CQ3467" s="6"/>
      <c r="CR3467" s="6"/>
      <c r="CS3467" s="6"/>
      <c r="CT3467" s="6"/>
      <c r="CU3467" s="6"/>
      <c r="CV3467" s="6"/>
      <c r="CW3467" s="6"/>
      <c r="CX3467" s="6"/>
      <c r="CY3467" s="6"/>
      <c r="CZ3467" s="6"/>
      <c r="DA3467" s="6"/>
      <c r="DB3467" s="6"/>
      <c r="DC3467" s="6"/>
      <c r="DD3467" s="6"/>
    </row>
    <row r="3468" spans="1:108" ht="12.75" hidden="1" customHeight="1" outlineLevel="4">
      <c r="A3468" s="104" t="s">
        <v>84</v>
      </c>
      <c r="B3468" s="105">
        <f t="shared" si="204"/>
        <v>0</v>
      </c>
      <c r="C3468" s="12"/>
      <c r="D3468" s="18" t="str">
        <f>"&lt;" &amp; A3468 &amp; "&gt;" &amp; TEXT(B3468,"0.000000") &amp; "&lt;/" &amp; A3468 &amp; "&gt;"</f>
        <v>&lt;U_Attach&gt;0.000000&lt;/U_Attach&gt;</v>
      </c>
      <c r="F3468" s="6"/>
      <c r="G3468" s="6"/>
      <c r="H3468" s="6"/>
      <c r="I3468" s="6"/>
      <c r="J3468" s="6"/>
      <c r="K3468" s="6"/>
      <c r="L3468" s="6"/>
      <c r="M3468" s="6"/>
      <c r="N3468" s="6"/>
      <c r="O3468" s="6"/>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c r="BU3468" s="6"/>
      <c r="BV3468" s="6"/>
      <c r="BW3468" s="6"/>
      <c r="BX3468" s="6"/>
      <c r="BY3468" s="6"/>
      <c r="BZ3468" s="6"/>
      <c r="CA3468" s="6"/>
      <c r="CB3468" s="6"/>
      <c r="CC3468" s="6"/>
      <c r="CD3468" s="6"/>
      <c r="CE3468" s="6"/>
      <c r="CF3468" s="6"/>
      <c r="CG3468" s="6"/>
      <c r="CH3468" s="6"/>
      <c r="CI3468" s="6"/>
      <c r="CJ3468" s="6"/>
      <c r="CK3468" s="6"/>
      <c r="CL3468" s="6"/>
      <c r="CM3468" s="6"/>
      <c r="CN3468" s="6"/>
      <c r="CO3468" s="6"/>
      <c r="CP3468" s="6"/>
      <c r="CQ3468" s="6"/>
      <c r="CR3468" s="6"/>
      <c r="CS3468" s="6"/>
      <c r="CT3468" s="6"/>
      <c r="CU3468" s="6"/>
      <c r="CV3468" s="6"/>
      <c r="CW3468" s="6"/>
      <c r="CX3468" s="6"/>
      <c r="CY3468" s="6"/>
      <c r="CZ3468" s="6"/>
      <c r="DA3468" s="6"/>
      <c r="DB3468" s="6"/>
      <c r="DC3468" s="6"/>
      <c r="DD3468" s="6"/>
    </row>
    <row r="3469" spans="1:108" ht="12.75" hidden="1" customHeight="1" outlineLevel="4">
      <c r="A3469" s="104" t="s">
        <v>85</v>
      </c>
      <c r="B3469" s="105">
        <f t="shared" si="204"/>
        <v>0</v>
      </c>
      <c r="C3469" s="12"/>
      <c r="D3469" s="18" t="str">
        <f>"&lt;" &amp; A3469 &amp; "&gt;" &amp; TEXT(B3469,"0.000000") &amp; "&lt;/" &amp; A3469 &amp; "&gt;"</f>
        <v>&lt;V_Attach&gt;0.000000&lt;/V_Attach&gt;</v>
      </c>
      <c r="F3469" s="6"/>
      <c r="G3469" s="6"/>
      <c r="H3469" s="6"/>
      <c r="I3469" s="6"/>
      <c r="J3469" s="6"/>
      <c r="K3469" s="6"/>
      <c r="L3469" s="6"/>
      <c r="M3469" s="6"/>
      <c r="N3469" s="6"/>
      <c r="O3469" s="6"/>
      <c r="P3469" s="6"/>
      <c r="Q3469" s="6"/>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c r="BU3469" s="6"/>
      <c r="BV3469" s="6"/>
      <c r="BW3469" s="6"/>
      <c r="BX3469" s="6"/>
      <c r="BY3469" s="6"/>
      <c r="BZ3469" s="6"/>
      <c r="CA3469" s="6"/>
      <c r="CB3469" s="6"/>
      <c r="CC3469" s="6"/>
      <c r="CD3469" s="6"/>
      <c r="CE3469" s="6"/>
      <c r="CF3469" s="6"/>
      <c r="CG3469" s="6"/>
      <c r="CH3469" s="6"/>
      <c r="CI3469" s="6"/>
      <c r="CJ3469" s="6"/>
      <c r="CK3469" s="6"/>
      <c r="CL3469" s="6"/>
      <c r="CM3469" s="6"/>
      <c r="CN3469" s="6"/>
      <c r="CO3469" s="6"/>
      <c r="CP3469" s="6"/>
      <c r="CQ3469" s="6"/>
      <c r="CR3469" s="6"/>
      <c r="CS3469" s="6"/>
      <c r="CT3469" s="6"/>
      <c r="CU3469" s="6"/>
      <c r="CV3469" s="6"/>
      <c r="CW3469" s="6"/>
      <c r="CX3469" s="6"/>
      <c r="CY3469" s="6"/>
      <c r="CZ3469" s="6"/>
      <c r="DA3469" s="6"/>
      <c r="DB3469" s="6"/>
      <c r="DC3469" s="6"/>
      <c r="DD3469" s="6"/>
    </row>
    <row r="3470" spans="1:108" ht="12.75" hidden="1" customHeight="1" outlineLevel="4">
      <c r="A3470" s="104" t="s">
        <v>86</v>
      </c>
      <c r="B3470" s="105">
        <v>291434</v>
      </c>
      <c r="C3470" s="12"/>
      <c r="D3470" s="18" t="str">
        <f>"&lt;" &amp; A3470 &amp; "&gt;" &amp; TEXT(B3470,0) &amp; "&lt;/" &amp; A3470 &amp; "&gt;"</f>
        <v>&lt;PtrID&gt;291434&lt;/PtrID&gt;</v>
      </c>
      <c r="F3470" s="6"/>
      <c r="G3470" s="6"/>
      <c r="H3470" s="6"/>
      <c r="I3470" s="6"/>
      <c r="J3470" s="6"/>
      <c r="K3470" s="6"/>
      <c r="L3470" s="6"/>
      <c r="M3470" s="6"/>
      <c r="N3470" s="6"/>
      <c r="O3470" s="6"/>
      <c r="P3470" s="6"/>
      <c r="Q3470" s="6"/>
      <c r="R3470" s="6"/>
      <c r="S3470" s="6"/>
      <c r="T3470" s="6"/>
      <c r="U3470" s="6"/>
      <c r="V3470" s="6"/>
      <c r="W3470" s="6"/>
      <c r="X3470" s="6"/>
      <c r="Y3470" s="6"/>
      <c r="Z3470" s="6"/>
      <c r="AA3470" s="6"/>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c r="BU3470" s="6"/>
      <c r="BV3470" s="6"/>
      <c r="BW3470" s="6"/>
      <c r="BX3470" s="6"/>
      <c r="BY3470" s="6"/>
      <c r="BZ3470" s="6"/>
      <c r="CA3470" s="6"/>
      <c r="CB3470" s="6"/>
      <c r="CC3470" s="6"/>
      <c r="CD3470" s="6"/>
      <c r="CE3470" s="6"/>
      <c r="CF3470" s="6"/>
      <c r="CG3470" s="6"/>
      <c r="CH3470" s="6"/>
      <c r="CI3470" s="6"/>
      <c r="CJ3470" s="6"/>
      <c r="CK3470" s="6"/>
      <c r="CL3470" s="6"/>
      <c r="CM3470" s="6"/>
      <c r="CN3470" s="6"/>
      <c r="CO3470" s="6"/>
      <c r="CP3470" s="6"/>
      <c r="CQ3470" s="6"/>
      <c r="CR3470" s="6"/>
      <c r="CS3470" s="6"/>
      <c r="CT3470" s="6"/>
      <c r="CU3470" s="6"/>
      <c r="CV3470" s="6"/>
      <c r="CW3470" s="6"/>
      <c r="CX3470" s="6"/>
      <c r="CY3470" s="6"/>
      <c r="CZ3470" s="6"/>
      <c r="DA3470" s="6"/>
      <c r="DB3470" s="6"/>
      <c r="DC3470" s="6"/>
      <c r="DD3470" s="6"/>
    </row>
    <row r="3471" spans="1:108" ht="12.75" hidden="1" customHeight="1" outlineLevel="4">
      <c r="A3471" s="104" t="s">
        <v>87</v>
      </c>
      <c r="B3471" s="105">
        <v>0</v>
      </c>
      <c r="C3471" s="12"/>
      <c r="D3471" s="18" t="str">
        <f>"&lt;" &amp; A3471 &amp; "&gt;" &amp; TEXT(B3471,0) &amp; "&lt;/" &amp; A3471 &amp; "&gt;"</f>
        <v>&lt;Parent_PtrID&gt;0&lt;/Parent_PtrID&gt;</v>
      </c>
      <c r="F3471" s="6"/>
      <c r="G3471" s="6"/>
      <c r="H3471" s="6"/>
      <c r="I3471" s="6"/>
      <c r="J3471" s="6"/>
      <c r="K3471" s="6"/>
      <c r="L3471" s="6"/>
      <c r="M3471" s="6"/>
      <c r="N3471" s="6"/>
      <c r="O3471" s="6"/>
      <c r="P3471" s="6"/>
      <c r="Q3471" s="6"/>
      <c r="R3471" s="6"/>
      <c r="S3471" s="6"/>
      <c r="T3471" s="6"/>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c r="BU3471" s="6"/>
      <c r="BV3471" s="6"/>
      <c r="BW3471" s="6"/>
      <c r="BX3471" s="6"/>
      <c r="BY3471" s="6"/>
      <c r="BZ3471" s="6"/>
      <c r="CA3471" s="6"/>
      <c r="CB3471" s="6"/>
      <c r="CC3471" s="6"/>
      <c r="CD3471" s="6"/>
      <c r="CE3471" s="6"/>
      <c r="CF3471" s="6"/>
      <c r="CG3471" s="6"/>
      <c r="CH3471" s="6"/>
      <c r="CI3471" s="6"/>
      <c r="CJ3471" s="6"/>
      <c r="CK3471" s="6"/>
      <c r="CL3471" s="6"/>
      <c r="CM3471" s="6"/>
      <c r="CN3471" s="6"/>
      <c r="CO3471" s="6"/>
      <c r="CP3471" s="6"/>
      <c r="CQ3471" s="6"/>
      <c r="CR3471" s="6"/>
      <c r="CS3471" s="6"/>
      <c r="CT3471" s="6"/>
      <c r="CU3471" s="6"/>
      <c r="CV3471" s="6"/>
      <c r="CW3471" s="6"/>
      <c r="CX3471" s="6"/>
      <c r="CY3471" s="6"/>
      <c r="CZ3471" s="6"/>
      <c r="DA3471" s="6"/>
      <c r="DB3471" s="6"/>
      <c r="DC3471" s="6"/>
      <c r="DD3471" s="6"/>
    </row>
    <row r="3472" spans="1:108" ht="12.75" hidden="1" customHeight="1" outlineLevel="4">
      <c r="A3472" s="104" t="s">
        <v>88</v>
      </c>
      <c r="C3472" s="12"/>
      <c r="D3472" s="6" t="str">
        <f>"&lt;" &amp; A3472 &amp; "&gt;"</f>
        <v>&lt;/General_Parms&gt;</v>
      </c>
      <c r="F3472" s="6"/>
      <c r="G3472" s="6"/>
      <c r="H3472" s="6"/>
      <c r="I3472" s="6"/>
      <c r="J3472" s="6"/>
      <c r="K3472" s="6"/>
      <c r="L3472" s="6"/>
      <c r="M3472" s="6"/>
      <c r="N3472" s="6"/>
      <c r="O3472" s="6"/>
      <c r="P3472" s="6"/>
      <c r="Q3472" s="6"/>
      <c r="R3472" s="6"/>
      <c r="S3472" s="6"/>
      <c r="T3472" s="6"/>
      <c r="U3472" s="6"/>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c r="BU3472" s="6"/>
      <c r="BV3472" s="6"/>
      <c r="BW3472" s="6"/>
      <c r="BX3472" s="6"/>
      <c r="BY3472" s="6"/>
      <c r="BZ3472" s="6"/>
      <c r="CA3472" s="6"/>
      <c r="CB3472" s="6"/>
      <c r="CC3472" s="6"/>
      <c r="CD3472" s="6"/>
      <c r="CE3472" s="6"/>
      <c r="CF3472" s="6"/>
      <c r="CG3472" s="6"/>
      <c r="CH3472" s="6"/>
      <c r="CI3472" s="6"/>
      <c r="CJ3472" s="6"/>
      <c r="CK3472" s="6"/>
      <c r="CL3472" s="6"/>
      <c r="CM3472" s="6"/>
      <c r="CN3472" s="6"/>
      <c r="CO3472" s="6"/>
      <c r="CP3472" s="6"/>
      <c r="CQ3472" s="6"/>
      <c r="CR3472" s="6"/>
      <c r="CS3472" s="6"/>
      <c r="CT3472" s="6"/>
      <c r="CU3472" s="6"/>
      <c r="CV3472" s="6"/>
      <c r="CW3472" s="6"/>
      <c r="CX3472" s="6"/>
      <c r="CY3472" s="6"/>
      <c r="CZ3472" s="6"/>
      <c r="DA3472" s="6"/>
      <c r="DB3472" s="6"/>
      <c r="DC3472" s="6"/>
      <c r="DD3472" s="6"/>
    </row>
    <row r="3473" spans="1:108" ht="12.75" hidden="1" customHeight="1" outlineLevel="3" collapsed="1">
      <c r="A3473" s="104" t="s">
        <v>285</v>
      </c>
      <c r="C3473" s="12"/>
      <c r="D3473" s="6" t="str">
        <f>"&lt;" &amp; A3473 &amp; "&gt;"</f>
        <v>&lt;Duct_Parms&gt;</v>
      </c>
      <c r="F3473" s="6"/>
      <c r="G3473" s="6"/>
      <c r="H3473" s="6"/>
      <c r="I3473" s="6"/>
      <c r="J3473" s="6"/>
      <c r="K3473" s="6"/>
      <c r="L3473" s="6"/>
      <c r="M3473" s="6"/>
      <c r="N3473" s="6"/>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c r="BU3473" s="6"/>
      <c r="BV3473" s="6"/>
      <c r="BW3473" s="6"/>
      <c r="BX3473" s="6"/>
      <c r="BY3473" s="6"/>
      <c r="BZ3473" s="6"/>
      <c r="CA3473" s="6"/>
      <c r="CB3473" s="6"/>
      <c r="CC3473" s="6"/>
      <c r="CD3473" s="6"/>
      <c r="CE3473" s="6"/>
      <c r="CF3473" s="6"/>
      <c r="CG3473" s="6"/>
      <c r="CH3473" s="6"/>
      <c r="CI3473" s="6"/>
      <c r="CJ3473" s="6"/>
      <c r="CK3473" s="6"/>
      <c r="CL3473" s="6"/>
      <c r="CM3473" s="6"/>
      <c r="CN3473" s="6"/>
      <c r="CO3473" s="6"/>
      <c r="CP3473" s="6"/>
      <c r="CQ3473" s="6"/>
      <c r="CR3473" s="6"/>
      <c r="CS3473" s="6"/>
      <c r="CT3473" s="6"/>
      <c r="CU3473" s="6"/>
      <c r="CV3473" s="6"/>
      <c r="CW3473" s="6"/>
      <c r="CX3473" s="6"/>
      <c r="CY3473" s="6"/>
      <c r="CZ3473" s="6"/>
      <c r="DA3473" s="6"/>
      <c r="DB3473" s="6"/>
      <c r="DC3473" s="6"/>
      <c r="DD3473" s="6"/>
    </row>
    <row r="3474" spans="1:108" ht="12.75" hidden="1" customHeight="1" outlineLevel="4">
      <c r="A3474" s="104" t="s">
        <v>286</v>
      </c>
      <c r="B3474" s="105">
        <f t="shared" ref="B3474:B3480" si="205">B3393</f>
        <v>0.3</v>
      </c>
      <c r="C3474" s="12"/>
      <c r="D3474" s="18" t="str">
        <f t="shared" ref="D3474:D3480" si="206">"&lt;" &amp; A3474 &amp; "&gt;" &amp; TEXT(B3474,"0.000000") &amp; "&lt;/" &amp; A3474 &amp; "&gt;"</f>
        <v>&lt;Length&gt;0.300000&lt;/Length&gt;</v>
      </c>
      <c r="F3474" s="6"/>
      <c r="G3474" s="6"/>
      <c r="H3474" s="6"/>
      <c r="I3474" s="6"/>
      <c r="J3474" s="6"/>
      <c r="K3474" s="6"/>
      <c r="L3474" s="6"/>
      <c r="M3474" s="6"/>
      <c r="N3474" s="6"/>
      <c r="O3474" s="6"/>
      <c r="P3474" s="6"/>
      <c r="Q3474" s="6"/>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c r="BU3474" s="6"/>
      <c r="BV3474" s="6"/>
      <c r="BW3474" s="6"/>
      <c r="BX3474" s="6"/>
      <c r="BY3474" s="6"/>
      <c r="BZ3474" s="6"/>
      <c r="CA3474" s="6"/>
      <c r="CB3474" s="6"/>
      <c r="CC3474" s="6"/>
      <c r="CD3474" s="6"/>
      <c r="CE3474" s="6"/>
      <c r="CF3474" s="6"/>
      <c r="CG3474" s="6"/>
      <c r="CH3474" s="6"/>
      <c r="CI3474" s="6"/>
      <c r="CJ3474" s="6"/>
      <c r="CK3474" s="6"/>
      <c r="CL3474" s="6"/>
      <c r="CM3474" s="6"/>
      <c r="CN3474" s="6"/>
      <c r="CO3474" s="6"/>
      <c r="CP3474" s="6"/>
      <c r="CQ3474" s="6"/>
      <c r="CR3474" s="6"/>
      <c r="CS3474" s="6"/>
      <c r="CT3474" s="6"/>
      <c r="CU3474" s="6"/>
      <c r="CV3474" s="6"/>
      <c r="CW3474" s="6"/>
      <c r="CX3474" s="6"/>
      <c r="CY3474" s="6"/>
      <c r="CZ3474" s="6"/>
      <c r="DA3474" s="6"/>
      <c r="DB3474" s="6"/>
      <c r="DC3474" s="6"/>
      <c r="DD3474" s="6"/>
    </row>
    <row r="3475" spans="1:108" ht="12.75" hidden="1" customHeight="1" outlineLevel="4">
      <c r="A3475" s="104" t="s">
        <v>287</v>
      </c>
      <c r="B3475" s="105">
        <f t="shared" si="205"/>
        <v>0.3</v>
      </c>
      <c r="C3475" s="12"/>
      <c r="D3475" s="18" t="str">
        <f t="shared" si="206"/>
        <v>&lt;Chord&gt;0.300000&lt;/Chord&gt;</v>
      </c>
      <c r="F3475" s="6"/>
      <c r="G3475" s="6"/>
      <c r="H3475" s="6"/>
      <c r="I3475" s="6"/>
      <c r="J3475" s="6"/>
      <c r="K3475" s="6"/>
      <c r="L3475" s="6"/>
      <c r="M3475" s="6"/>
      <c r="N3475" s="6"/>
      <c r="O3475" s="6"/>
      <c r="P3475" s="6"/>
      <c r="Q3475" s="6"/>
      <c r="R3475" s="6"/>
      <c r="S3475" s="6"/>
      <c r="T3475" s="6"/>
      <c r="U3475" s="6"/>
      <c r="V3475" s="6"/>
      <c r="W3475" s="6"/>
      <c r="X3475" s="6"/>
      <c r="Y3475" s="6"/>
      <c r="Z3475" s="6"/>
      <c r="AA3475" s="6"/>
      <c r="AB3475" s="6"/>
      <c r="AC3475" s="6"/>
      <c r="AD3475" s="6"/>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c r="BU3475" s="6"/>
      <c r="BV3475" s="6"/>
      <c r="BW3475" s="6"/>
      <c r="BX3475" s="6"/>
      <c r="BY3475" s="6"/>
      <c r="BZ3475" s="6"/>
      <c r="CA3475" s="6"/>
      <c r="CB3475" s="6"/>
      <c r="CC3475" s="6"/>
      <c r="CD3475" s="6"/>
      <c r="CE3475" s="6"/>
      <c r="CF3475" s="6"/>
      <c r="CG3475" s="6"/>
      <c r="CH3475" s="6"/>
      <c r="CI3475" s="6"/>
      <c r="CJ3475" s="6"/>
      <c r="CK3475" s="6"/>
      <c r="CL3475" s="6"/>
      <c r="CM3475" s="6"/>
      <c r="CN3475" s="6"/>
      <c r="CO3475" s="6"/>
      <c r="CP3475" s="6"/>
      <c r="CQ3475" s="6"/>
      <c r="CR3475" s="6"/>
      <c r="CS3475" s="6"/>
      <c r="CT3475" s="6"/>
      <c r="CU3475" s="6"/>
      <c r="CV3475" s="6"/>
      <c r="CW3475" s="6"/>
      <c r="CX3475" s="6"/>
      <c r="CY3475" s="6"/>
      <c r="CZ3475" s="6"/>
      <c r="DA3475" s="6"/>
      <c r="DB3475" s="6"/>
      <c r="DC3475" s="6"/>
      <c r="DD3475" s="6"/>
    </row>
    <row r="3476" spans="1:108" ht="12.75" hidden="1" customHeight="1" outlineLevel="4">
      <c r="A3476" s="104" t="s">
        <v>288</v>
      </c>
      <c r="B3476" s="105">
        <f t="shared" si="205"/>
        <v>1</v>
      </c>
      <c r="C3476" s="12"/>
      <c r="D3476" s="18" t="str">
        <f t="shared" si="206"/>
        <v>&lt;Inlet_Dia&gt;1.000000&lt;/Inlet_Dia&gt;</v>
      </c>
      <c r="F3476" s="6"/>
      <c r="G3476" s="6"/>
      <c r="H3476" s="6"/>
      <c r="I3476" s="6"/>
      <c r="J3476" s="6"/>
      <c r="K3476" s="6"/>
      <c r="L3476" s="6"/>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c r="BU3476" s="6"/>
      <c r="BV3476" s="6"/>
      <c r="BW3476" s="6"/>
      <c r="BX3476" s="6"/>
      <c r="BY3476" s="6"/>
      <c r="BZ3476" s="6"/>
      <c r="CA3476" s="6"/>
      <c r="CB3476" s="6"/>
      <c r="CC3476" s="6"/>
      <c r="CD3476" s="6"/>
      <c r="CE3476" s="6"/>
      <c r="CF3476" s="6"/>
      <c r="CG3476" s="6"/>
      <c r="CH3476" s="6"/>
      <c r="CI3476" s="6"/>
      <c r="CJ3476" s="6"/>
      <c r="CK3476" s="6"/>
      <c r="CL3476" s="6"/>
      <c r="CM3476" s="6"/>
      <c r="CN3476" s="6"/>
      <c r="CO3476" s="6"/>
      <c r="CP3476" s="6"/>
      <c r="CQ3476" s="6"/>
      <c r="CR3476" s="6"/>
      <c r="CS3476" s="6"/>
      <c r="CT3476" s="6"/>
      <c r="CU3476" s="6"/>
      <c r="CV3476" s="6"/>
      <c r="CW3476" s="6"/>
      <c r="CX3476" s="6"/>
      <c r="CY3476" s="6"/>
      <c r="CZ3476" s="6"/>
      <c r="DA3476" s="6"/>
      <c r="DB3476" s="6"/>
      <c r="DC3476" s="6"/>
      <c r="DD3476" s="6"/>
    </row>
    <row r="3477" spans="1:108" ht="12.75" hidden="1" customHeight="1" outlineLevel="4">
      <c r="A3477" s="104" t="s">
        <v>289</v>
      </c>
      <c r="B3477" s="105">
        <f t="shared" si="205"/>
        <v>0.78539800000000004</v>
      </c>
      <c r="C3477" s="12"/>
      <c r="D3477" s="18" t="str">
        <f t="shared" si="206"/>
        <v>&lt;Inlet_Area&gt;0.785398&lt;/Inlet_Area&gt;</v>
      </c>
      <c r="F3477" s="6"/>
      <c r="G3477" s="6"/>
      <c r="H3477" s="6"/>
      <c r="I3477" s="6"/>
      <c r="J3477" s="6"/>
      <c r="K3477" s="6"/>
      <c r="L3477" s="6"/>
      <c r="M3477" s="6"/>
      <c r="N3477" s="6"/>
      <c r="O3477" s="6"/>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c r="BU3477" s="6"/>
      <c r="BV3477" s="6"/>
      <c r="BW3477" s="6"/>
      <c r="BX3477" s="6"/>
      <c r="BY3477" s="6"/>
      <c r="BZ3477" s="6"/>
      <c r="CA3477" s="6"/>
      <c r="CB3477" s="6"/>
      <c r="CC3477" s="6"/>
      <c r="CD3477" s="6"/>
      <c r="CE3477" s="6"/>
      <c r="CF3477" s="6"/>
      <c r="CG3477" s="6"/>
      <c r="CH3477" s="6"/>
      <c r="CI3477" s="6"/>
      <c r="CJ3477" s="6"/>
      <c r="CK3477" s="6"/>
      <c r="CL3477" s="6"/>
      <c r="CM3477" s="6"/>
      <c r="CN3477" s="6"/>
      <c r="CO3477" s="6"/>
      <c r="CP3477" s="6"/>
      <c r="CQ3477" s="6"/>
      <c r="CR3477" s="6"/>
      <c r="CS3477" s="6"/>
      <c r="CT3477" s="6"/>
      <c r="CU3477" s="6"/>
      <c r="CV3477" s="6"/>
      <c r="CW3477" s="6"/>
      <c r="CX3477" s="6"/>
      <c r="CY3477" s="6"/>
      <c r="CZ3477" s="6"/>
      <c r="DA3477" s="6"/>
      <c r="DB3477" s="6"/>
      <c r="DC3477" s="6"/>
      <c r="DD3477" s="6"/>
    </row>
    <row r="3478" spans="1:108" ht="12.75" hidden="1" customHeight="1" outlineLevel="4">
      <c r="A3478" s="104" t="s">
        <v>290</v>
      </c>
      <c r="B3478" s="105">
        <f t="shared" si="205"/>
        <v>1</v>
      </c>
      <c r="C3478" s="12"/>
      <c r="D3478" s="18" t="str">
        <f t="shared" si="206"/>
        <v>&lt;Outlet_Dia&gt;1.000000&lt;/Outlet_Dia&gt;</v>
      </c>
      <c r="F3478" s="6"/>
      <c r="G3478" s="6"/>
      <c r="H3478" s="6"/>
      <c r="I3478" s="6"/>
      <c r="J3478" s="6"/>
      <c r="K3478" s="6"/>
      <c r="L3478" s="6"/>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c r="BU3478" s="6"/>
      <c r="BV3478" s="6"/>
      <c r="BW3478" s="6"/>
      <c r="BX3478" s="6"/>
      <c r="BY3478" s="6"/>
      <c r="BZ3478" s="6"/>
      <c r="CA3478" s="6"/>
      <c r="CB3478" s="6"/>
      <c r="CC3478" s="6"/>
      <c r="CD3478" s="6"/>
      <c r="CE3478" s="6"/>
      <c r="CF3478" s="6"/>
      <c r="CG3478" s="6"/>
      <c r="CH3478" s="6"/>
      <c r="CI3478" s="6"/>
      <c r="CJ3478" s="6"/>
      <c r="CK3478" s="6"/>
      <c r="CL3478" s="6"/>
      <c r="CM3478" s="6"/>
      <c r="CN3478" s="6"/>
      <c r="CO3478" s="6"/>
      <c r="CP3478" s="6"/>
      <c r="CQ3478" s="6"/>
      <c r="CR3478" s="6"/>
      <c r="CS3478" s="6"/>
      <c r="CT3478" s="6"/>
      <c r="CU3478" s="6"/>
      <c r="CV3478" s="6"/>
      <c r="CW3478" s="6"/>
      <c r="CX3478" s="6"/>
      <c r="CY3478" s="6"/>
      <c r="CZ3478" s="6"/>
      <c r="DA3478" s="6"/>
      <c r="DB3478" s="6"/>
      <c r="DC3478" s="6"/>
      <c r="DD3478" s="6"/>
    </row>
    <row r="3479" spans="1:108" ht="12.75" hidden="1" customHeight="1" outlineLevel="4">
      <c r="A3479" s="104" t="s">
        <v>291</v>
      </c>
      <c r="B3479" s="105">
        <f t="shared" si="205"/>
        <v>0.78539800000000004</v>
      </c>
      <c r="C3479" s="12"/>
      <c r="D3479" s="18" t="str">
        <f t="shared" si="206"/>
        <v>&lt;Outlet_Area&gt;0.785398&lt;/Outlet_Area&gt;</v>
      </c>
      <c r="F3479" s="6"/>
      <c r="G3479" s="6"/>
      <c r="H3479" s="6"/>
      <c r="I3479" s="6"/>
      <c r="J3479" s="6"/>
      <c r="K3479" s="6"/>
      <c r="L3479" s="6"/>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c r="BU3479" s="6"/>
      <c r="BV3479" s="6"/>
      <c r="BW3479" s="6"/>
      <c r="BX3479" s="6"/>
      <c r="BY3479" s="6"/>
      <c r="BZ3479" s="6"/>
      <c r="CA3479" s="6"/>
      <c r="CB3479" s="6"/>
      <c r="CC3479" s="6"/>
      <c r="CD3479" s="6"/>
      <c r="CE3479" s="6"/>
      <c r="CF3479" s="6"/>
      <c r="CG3479" s="6"/>
      <c r="CH3479" s="6"/>
      <c r="CI3479" s="6"/>
      <c r="CJ3479" s="6"/>
      <c r="CK3479" s="6"/>
      <c r="CL3479" s="6"/>
      <c r="CM3479" s="6"/>
      <c r="CN3479" s="6"/>
      <c r="CO3479" s="6"/>
      <c r="CP3479" s="6"/>
      <c r="CQ3479" s="6"/>
      <c r="CR3479" s="6"/>
      <c r="CS3479" s="6"/>
      <c r="CT3479" s="6"/>
      <c r="CU3479" s="6"/>
      <c r="CV3479" s="6"/>
      <c r="CW3479" s="6"/>
      <c r="CX3479" s="6"/>
      <c r="CY3479" s="6"/>
      <c r="CZ3479" s="6"/>
      <c r="DA3479" s="6"/>
      <c r="DB3479" s="6"/>
      <c r="DC3479" s="6"/>
      <c r="DD3479" s="6"/>
    </row>
    <row r="3480" spans="1:108" ht="12.75" hidden="1" customHeight="1" outlineLevel="4">
      <c r="A3480" s="104" t="s">
        <v>292</v>
      </c>
      <c r="B3480" s="105">
        <f t="shared" si="205"/>
        <v>1</v>
      </c>
      <c r="C3480" s="12"/>
      <c r="D3480" s="18" t="str">
        <f t="shared" si="206"/>
        <v>&lt;Inlet_Outlet&gt;1.000000&lt;/Inlet_Outlet&gt;</v>
      </c>
      <c r="F3480" s="6"/>
      <c r="G3480" s="6"/>
      <c r="H3480" s="6"/>
      <c r="I3480" s="6"/>
      <c r="J3480" s="6"/>
      <c r="K3480" s="6"/>
      <c r="L3480" s="6"/>
      <c r="M3480" s="6"/>
      <c r="N3480" s="6"/>
      <c r="O3480" s="6"/>
      <c r="P3480" s="6"/>
      <c r="Q3480" s="6"/>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c r="BU3480" s="6"/>
      <c r="BV3480" s="6"/>
      <c r="BW3480" s="6"/>
      <c r="BX3480" s="6"/>
      <c r="BY3480" s="6"/>
      <c r="BZ3480" s="6"/>
      <c r="CA3480" s="6"/>
      <c r="CB3480" s="6"/>
      <c r="CC3480" s="6"/>
      <c r="CD3480" s="6"/>
      <c r="CE3480" s="6"/>
      <c r="CF3480" s="6"/>
      <c r="CG3480" s="6"/>
      <c r="CH3480" s="6"/>
      <c r="CI3480" s="6"/>
      <c r="CJ3480" s="6"/>
      <c r="CK3480" s="6"/>
      <c r="CL3480" s="6"/>
      <c r="CM3480" s="6"/>
      <c r="CN3480" s="6"/>
      <c r="CO3480" s="6"/>
      <c r="CP3480" s="6"/>
      <c r="CQ3480" s="6"/>
      <c r="CR3480" s="6"/>
      <c r="CS3480" s="6"/>
      <c r="CT3480" s="6"/>
      <c r="CU3480" s="6"/>
      <c r="CV3480" s="6"/>
      <c r="CW3480" s="6"/>
      <c r="CX3480" s="6"/>
      <c r="CY3480" s="6"/>
      <c r="CZ3480" s="6"/>
      <c r="DA3480" s="6"/>
      <c r="DB3480" s="6"/>
      <c r="DC3480" s="6"/>
      <c r="DD3480" s="6"/>
    </row>
    <row r="3481" spans="1:108" ht="12.75" hidden="1" customHeight="1" outlineLevel="4">
      <c r="A3481" s="104" t="s">
        <v>293</v>
      </c>
      <c r="C3481" s="12"/>
      <c r="D3481" s="6" t="str">
        <f>"&lt;" &amp; A3481 &amp; "&gt;"</f>
        <v>&lt;/Duct_Parms&gt;</v>
      </c>
      <c r="F3481" s="6"/>
      <c r="G3481" s="6"/>
      <c r="H3481" s="6"/>
      <c r="I3481" s="6"/>
      <c r="J3481" s="6"/>
      <c r="K3481" s="6"/>
      <c r="L3481" s="6"/>
      <c r="M3481" s="6"/>
      <c r="N3481" s="6"/>
      <c r="O3481" s="6"/>
      <c r="P3481" s="6"/>
      <c r="Q3481" s="6"/>
      <c r="R3481" s="6"/>
      <c r="S3481" s="6"/>
      <c r="T3481" s="6"/>
      <c r="U3481" s="6"/>
      <c r="V3481" s="6"/>
      <c r="W3481" s="6"/>
      <c r="X3481" s="6"/>
      <c r="Y3481" s="6"/>
      <c r="Z3481" s="6"/>
      <c r="AA3481" s="6"/>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c r="BU3481" s="6"/>
      <c r="BV3481" s="6"/>
      <c r="BW3481" s="6"/>
      <c r="BX3481" s="6"/>
      <c r="BY3481" s="6"/>
      <c r="BZ3481" s="6"/>
      <c r="CA3481" s="6"/>
      <c r="CB3481" s="6"/>
      <c r="CC3481" s="6"/>
      <c r="CD3481" s="6"/>
      <c r="CE3481" s="6"/>
      <c r="CF3481" s="6"/>
      <c r="CG3481" s="6"/>
      <c r="CH3481" s="6"/>
      <c r="CI3481" s="6"/>
      <c r="CJ3481" s="6"/>
      <c r="CK3481" s="6"/>
      <c r="CL3481" s="6"/>
      <c r="CM3481" s="6"/>
      <c r="CN3481" s="6"/>
      <c r="CO3481" s="6"/>
      <c r="CP3481" s="6"/>
      <c r="CQ3481" s="6"/>
      <c r="CR3481" s="6"/>
      <c r="CS3481" s="6"/>
      <c r="CT3481" s="6"/>
      <c r="CU3481" s="6"/>
      <c r="CV3481" s="6"/>
      <c r="CW3481" s="6"/>
      <c r="CX3481" s="6"/>
      <c r="CY3481" s="6"/>
      <c r="CZ3481" s="6"/>
      <c r="DA3481" s="6"/>
      <c r="DB3481" s="6"/>
      <c r="DC3481" s="6"/>
      <c r="DD3481" s="6"/>
    </row>
    <row r="3482" spans="1:108" ht="12.75" hidden="1" customHeight="1" outlineLevel="3" collapsed="1">
      <c r="A3482" s="104" t="s">
        <v>2</v>
      </c>
      <c r="C3482" s="12"/>
      <c r="D3482" s="6" t="str">
        <f>"&lt;" &amp; A3482 &amp; "&gt;"</f>
        <v>&lt;Airfoil&gt;</v>
      </c>
      <c r="F3482" s="6"/>
      <c r="G3482" s="6"/>
      <c r="H3482" s="6"/>
      <c r="I3482" s="6"/>
      <c r="J3482" s="6"/>
      <c r="K3482" s="6"/>
      <c r="L3482" s="6"/>
      <c r="M3482" s="6"/>
      <c r="N3482" s="6"/>
      <c r="O3482" s="6"/>
      <c r="P3482" s="6"/>
      <c r="Q3482" s="6"/>
      <c r="R3482" s="6"/>
      <c r="S3482" s="6"/>
      <c r="T3482" s="6"/>
      <c r="U3482" s="6"/>
      <c r="V3482" s="6"/>
      <c r="W3482" s="6"/>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c r="BU3482" s="6"/>
      <c r="BV3482" s="6"/>
      <c r="BW3482" s="6"/>
      <c r="BX3482" s="6"/>
      <c r="BY3482" s="6"/>
      <c r="BZ3482" s="6"/>
      <c r="CA3482" s="6"/>
      <c r="CB3482" s="6"/>
      <c r="CC3482" s="6"/>
      <c r="CD3482" s="6"/>
      <c r="CE3482" s="6"/>
      <c r="CF3482" s="6"/>
      <c r="CG3482" s="6"/>
      <c r="CH3482" s="6"/>
      <c r="CI3482" s="6"/>
      <c r="CJ3482" s="6"/>
      <c r="CK3482" s="6"/>
      <c r="CL3482" s="6"/>
      <c r="CM3482" s="6"/>
      <c r="CN3482" s="6"/>
      <c r="CO3482" s="6"/>
      <c r="CP3482" s="6"/>
      <c r="CQ3482" s="6"/>
      <c r="CR3482" s="6"/>
      <c r="CS3482" s="6"/>
      <c r="CT3482" s="6"/>
      <c r="CU3482" s="6"/>
      <c r="CV3482" s="6"/>
      <c r="CW3482" s="6"/>
      <c r="CX3482" s="6"/>
      <c r="CY3482" s="6"/>
      <c r="CZ3482" s="6"/>
      <c r="DA3482" s="6"/>
      <c r="DB3482" s="6"/>
      <c r="DC3482" s="6"/>
      <c r="DD3482" s="6"/>
    </row>
    <row r="3483" spans="1:108" ht="12.75" hidden="1" customHeight="1" outlineLevel="4">
      <c r="A3483" s="104" t="s">
        <v>14</v>
      </c>
      <c r="B3483" s="105">
        <f t="shared" ref="B3483:B3501" si="207">B3402</f>
        <v>1</v>
      </c>
      <c r="C3483" s="12"/>
      <c r="D3483" s="18" t="str">
        <f>"&lt;" &amp; A3483 &amp; "&gt;" &amp; TEXT(B3483,0) &amp; "&lt;/" &amp; A3483 &amp; "&gt;"</f>
        <v>&lt;Type&gt;1&lt;/Type&gt;</v>
      </c>
      <c r="F3483" s="6"/>
      <c r="G3483" s="6"/>
      <c r="H3483" s="6"/>
      <c r="I3483" s="6"/>
      <c r="J3483" s="6"/>
      <c r="K3483" s="6"/>
      <c r="L3483" s="6"/>
      <c r="M3483" s="6"/>
      <c r="N3483" s="6"/>
      <c r="O3483" s="6"/>
      <c r="P3483" s="6"/>
      <c r="Q3483" s="6"/>
      <c r="R3483" s="6"/>
      <c r="S3483" s="6"/>
      <c r="T3483" s="6"/>
      <c r="U3483" s="6"/>
      <c r="V3483" s="6"/>
      <c r="W3483" s="6"/>
      <c r="X3483" s="6"/>
      <c r="Y3483" s="6"/>
      <c r="Z3483" s="6"/>
      <c r="AA3483" s="6"/>
      <c r="AB3483" s="6"/>
      <c r="AC3483" s="6"/>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c r="BU3483" s="6"/>
      <c r="BV3483" s="6"/>
      <c r="BW3483" s="6"/>
      <c r="BX3483" s="6"/>
      <c r="BY3483" s="6"/>
      <c r="BZ3483" s="6"/>
      <c r="CA3483" s="6"/>
      <c r="CB3483" s="6"/>
      <c r="CC3483" s="6"/>
      <c r="CD3483" s="6"/>
      <c r="CE3483" s="6"/>
      <c r="CF3483" s="6"/>
      <c r="CG3483" s="6"/>
      <c r="CH3483" s="6"/>
      <c r="CI3483" s="6"/>
      <c r="CJ3483" s="6"/>
      <c r="CK3483" s="6"/>
      <c r="CL3483" s="6"/>
      <c r="CM3483" s="6"/>
      <c r="CN3483" s="6"/>
      <c r="CO3483" s="6"/>
      <c r="CP3483" s="6"/>
      <c r="CQ3483" s="6"/>
      <c r="CR3483" s="6"/>
      <c r="CS3483" s="6"/>
      <c r="CT3483" s="6"/>
      <c r="CU3483" s="6"/>
      <c r="CV3483" s="6"/>
      <c r="CW3483" s="6"/>
      <c r="CX3483" s="6"/>
      <c r="CY3483" s="6"/>
      <c r="CZ3483" s="6"/>
      <c r="DA3483" s="6"/>
      <c r="DB3483" s="6"/>
      <c r="DC3483" s="6"/>
      <c r="DD3483" s="6"/>
    </row>
    <row r="3484" spans="1:108" ht="12.75" hidden="1" customHeight="1" outlineLevel="4">
      <c r="A3484" s="104" t="s">
        <v>102</v>
      </c>
      <c r="B3484" s="105">
        <f t="shared" si="207"/>
        <v>0</v>
      </c>
      <c r="C3484" s="12"/>
      <c r="D3484" s="18" t="str">
        <f>"&lt;" &amp; A3484 &amp; "&gt;" &amp; TEXT(B3484,0) &amp; "&lt;/" &amp; A3484 &amp; "&gt;"</f>
        <v>&lt;Inverted_Flag&gt;0&lt;/Inverted_Flag&gt;</v>
      </c>
      <c r="F3484" s="6"/>
      <c r="G3484" s="6"/>
      <c r="H3484" s="6"/>
      <c r="I3484" s="6"/>
      <c r="J3484" s="6"/>
      <c r="K3484" s="6"/>
      <c r="L3484" s="6"/>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c r="BU3484" s="6"/>
      <c r="BV3484" s="6"/>
      <c r="BW3484" s="6"/>
      <c r="BX3484" s="6"/>
      <c r="BY3484" s="6"/>
      <c r="BZ3484" s="6"/>
      <c r="CA3484" s="6"/>
      <c r="CB3484" s="6"/>
      <c r="CC3484" s="6"/>
      <c r="CD3484" s="6"/>
      <c r="CE3484" s="6"/>
      <c r="CF3484" s="6"/>
      <c r="CG3484" s="6"/>
      <c r="CH3484" s="6"/>
      <c r="CI3484" s="6"/>
      <c r="CJ3484" s="6"/>
      <c r="CK3484" s="6"/>
      <c r="CL3484" s="6"/>
      <c r="CM3484" s="6"/>
      <c r="CN3484" s="6"/>
      <c r="CO3484" s="6"/>
      <c r="CP3484" s="6"/>
      <c r="CQ3484" s="6"/>
      <c r="CR3484" s="6"/>
      <c r="CS3484" s="6"/>
      <c r="CT3484" s="6"/>
      <c r="CU3484" s="6"/>
      <c r="CV3484" s="6"/>
      <c r="CW3484" s="6"/>
      <c r="CX3484" s="6"/>
      <c r="CY3484" s="6"/>
      <c r="CZ3484" s="6"/>
      <c r="DA3484" s="6"/>
      <c r="DB3484" s="6"/>
      <c r="DC3484" s="6"/>
      <c r="DD3484" s="6"/>
    </row>
    <row r="3485" spans="1:108" ht="12.75" hidden="1" customHeight="1" outlineLevel="4">
      <c r="A3485" s="104" t="s">
        <v>4</v>
      </c>
      <c r="B3485" s="105">
        <f t="shared" si="207"/>
        <v>0</v>
      </c>
      <c r="C3485" s="12"/>
      <c r="D3485" s="18" t="str">
        <f t="shared" ref="D3485:D3490" si="208">"&lt;" &amp; A3485 &amp; "&gt;" &amp; TEXT(B3485,"0.000000") &amp; "&lt;/" &amp; A3485 &amp; "&gt;"</f>
        <v>&lt;Camber&gt;0.000000&lt;/Camber&gt;</v>
      </c>
      <c r="F3485" s="6"/>
      <c r="G3485" s="6"/>
      <c r="H3485" s="6"/>
      <c r="I3485" s="6"/>
      <c r="J3485" s="6"/>
      <c r="K3485" s="6"/>
      <c r="L3485" s="6"/>
      <c r="M3485" s="6"/>
      <c r="N3485" s="6"/>
      <c r="O3485" s="6"/>
      <c r="P3485" s="6"/>
      <c r="Q3485" s="6"/>
      <c r="R3485" s="6"/>
      <c r="S3485" s="6"/>
      <c r="T3485" s="6"/>
      <c r="U3485" s="6"/>
      <c r="V3485" s="6"/>
      <c r="W3485" s="6"/>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c r="BU3485" s="6"/>
      <c r="BV3485" s="6"/>
      <c r="BW3485" s="6"/>
      <c r="BX3485" s="6"/>
      <c r="BY3485" s="6"/>
      <c r="BZ3485" s="6"/>
      <c r="CA3485" s="6"/>
      <c r="CB3485" s="6"/>
      <c r="CC3485" s="6"/>
      <c r="CD3485" s="6"/>
      <c r="CE3485" s="6"/>
      <c r="CF3485" s="6"/>
      <c r="CG3485" s="6"/>
      <c r="CH3485" s="6"/>
      <c r="CI3485" s="6"/>
      <c r="CJ3485" s="6"/>
      <c r="CK3485" s="6"/>
      <c r="CL3485" s="6"/>
      <c r="CM3485" s="6"/>
      <c r="CN3485" s="6"/>
      <c r="CO3485" s="6"/>
      <c r="CP3485" s="6"/>
      <c r="CQ3485" s="6"/>
      <c r="CR3485" s="6"/>
      <c r="CS3485" s="6"/>
      <c r="CT3485" s="6"/>
      <c r="CU3485" s="6"/>
      <c r="CV3485" s="6"/>
      <c r="CW3485" s="6"/>
      <c r="CX3485" s="6"/>
      <c r="CY3485" s="6"/>
      <c r="CZ3485" s="6"/>
      <c r="DA3485" s="6"/>
      <c r="DB3485" s="6"/>
      <c r="DC3485" s="6"/>
      <c r="DD3485" s="6"/>
    </row>
    <row r="3486" spans="1:108" ht="12.75" hidden="1" customHeight="1" outlineLevel="4">
      <c r="A3486" s="104" t="s">
        <v>103</v>
      </c>
      <c r="B3486" s="105">
        <f t="shared" si="207"/>
        <v>0.5</v>
      </c>
      <c r="C3486" s="12"/>
      <c r="D3486" s="18" t="str">
        <f t="shared" si="208"/>
        <v>&lt;Camber_Loc&gt;0.500000&lt;/Camber_Loc&gt;</v>
      </c>
      <c r="F3486" s="6"/>
      <c r="G3486" s="6"/>
      <c r="H3486" s="6"/>
      <c r="I3486" s="6"/>
      <c r="J3486" s="6"/>
      <c r="K3486" s="6"/>
      <c r="L3486" s="6"/>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c r="BU3486" s="6"/>
      <c r="BV3486" s="6"/>
      <c r="BW3486" s="6"/>
      <c r="BX3486" s="6"/>
      <c r="BY3486" s="6"/>
      <c r="BZ3486" s="6"/>
      <c r="CA3486" s="6"/>
      <c r="CB3486" s="6"/>
      <c r="CC3486" s="6"/>
      <c r="CD3486" s="6"/>
      <c r="CE3486" s="6"/>
      <c r="CF3486" s="6"/>
      <c r="CG3486" s="6"/>
      <c r="CH3486" s="6"/>
      <c r="CI3486" s="6"/>
      <c r="CJ3486" s="6"/>
      <c r="CK3486" s="6"/>
      <c r="CL3486" s="6"/>
      <c r="CM3486" s="6"/>
      <c r="CN3486" s="6"/>
      <c r="CO3486" s="6"/>
      <c r="CP3486" s="6"/>
      <c r="CQ3486" s="6"/>
      <c r="CR3486" s="6"/>
      <c r="CS3486" s="6"/>
      <c r="CT3486" s="6"/>
      <c r="CU3486" s="6"/>
      <c r="CV3486" s="6"/>
      <c r="CW3486" s="6"/>
      <c r="CX3486" s="6"/>
      <c r="CY3486" s="6"/>
      <c r="CZ3486" s="6"/>
      <c r="DA3486" s="6"/>
      <c r="DB3486" s="6"/>
      <c r="DC3486" s="6"/>
      <c r="DD3486" s="6"/>
    </row>
    <row r="3487" spans="1:108" ht="12.75" hidden="1" customHeight="1" outlineLevel="4">
      <c r="A3487" s="104" t="s">
        <v>5</v>
      </c>
      <c r="B3487" s="105">
        <f t="shared" si="207"/>
        <v>0.1</v>
      </c>
      <c r="C3487" s="12"/>
      <c r="D3487" s="18" t="str">
        <f t="shared" si="208"/>
        <v>&lt;Thickness&gt;0.100000&lt;/Thickness&gt;</v>
      </c>
      <c r="F3487" s="6"/>
      <c r="G3487" s="6"/>
      <c r="H3487" s="6"/>
      <c r="I3487" s="6"/>
      <c r="J3487" s="6"/>
      <c r="K3487" s="6"/>
      <c r="L3487" s="6"/>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c r="BU3487" s="6"/>
      <c r="BV3487" s="6"/>
      <c r="BW3487" s="6"/>
      <c r="BX3487" s="6"/>
      <c r="BY3487" s="6"/>
      <c r="BZ3487" s="6"/>
      <c r="CA3487" s="6"/>
      <c r="CB3487" s="6"/>
      <c r="CC3487" s="6"/>
      <c r="CD3487" s="6"/>
      <c r="CE3487" s="6"/>
      <c r="CF3487" s="6"/>
      <c r="CG3487" s="6"/>
      <c r="CH3487" s="6"/>
      <c r="CI3487" s="6"/>
      <c r="CJ3487" s="6"/>
      <c r="CK3487" s="6"/>
      <c r="CL3487" s="6"/>
      <c r="CM3487" s="6"/>
      <c r="CN3487" s="6"/>
      <c r="CO3487" s="6"/>
      <c r="CP3487" s="6"/>
      <c r="CQ3487" s="6"/>
      <c r="CR3487" s="6"/>
      <c r="CS3487" s="6"/>
      <c r="CT3487" s="6"/>
      <c r="CU3487" s="6"/>
      <c r="CV3487" s="6"/>
      <c r="CW3487" s="6"/>
      <c r="CX3487" s="6"/>
      <c r="CY3487" s="6"/>
      <c r="CZ3487" s="6"/>
      <c r="DA3487" s="6"/>
      <c r="DB3487" s="6"/>
      <c r="DC3487" s="6"/>
      <c r="DD3487" s="6"/>
    </row>
    <row r="3488" spans="1:108" ht="12.75" hidden="1" customHeight="1" outlineLevel="4">
      <c r="A3488" s="104" t="s">
        <v>104</v>
      </c>
      <c r="B3488" s="105">
        <f t="shared" si="207"/>
        <v>0.3</v>
      </c>
      <c r="C3488" s="12"/>
      <c r="D3488" s="18" t="str">
        <f t="shared" si="208"/>
        <v>&lt;Thickness_Loc&gt;0.300000&lt;/Thickness_Loc&gt;</v>
      </c>
      <c r="F3488" s="6"/>
      <c r="G3488" s="6"/>
      <c r="H3488" s="6"/>
      <c r="I3488" s="6"/>
      <c r="J3488" s="6"/>
      <c r="K3488" s="6"/>
      <c r="L3488" s="6"/>
      <c r="M3488" s="6"/>
      <c r="N3488" s="6"/>
      <c r="O3488" s="6"/>
      <c r="P3488" s="6"/>
      <c r="Q3488" s="6"/>
      <c r="R3488" s="6"/>
      <c r="S3488" s="6"/>
      <c r="T3488" s="6"/>
      <c r="U3488" s="6"/>
      <c r="V3488" s="6"/>
      <c r="W3488" s="6"/>
      <c r="X3488" s="6"/>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c r="BU3488" s="6"/>
      <c r="BV3488" s="6"/>
      <c r="BW3488" s="6"/>
      <c r="BX3488" s="6"/>
      <c r="BY3488" s="6"/>
      <c r="BZ3488" s="6"/>
      <c r="CA3488" s="6"/>
      <c r="CB3488" s="6"/>
      <c r="CC3488" s="6"/>
      <c r="CD3488" s="6"/>
      <c r="CE3488" s="6"/>
      <c r="CF3488" s="6"/>
      <c r="CG3488" s="6"/>
      <c r="CH3488" s="6"/>
      <c r="CI3488" s="6"/>
      <c r="CJ3488" s="6"/>
      <c r="CK3488" s="6"/>
      <c r="CL3488" s="6"/>
      <c r="CM3488" s="6"/>
      <c r="CN3488" s="6"/>
      <c r="CO3488" s="6"/>
      <c r="CP3488" s="6"/>
      <c r="CQ3488" s="6"/>
      <c r="CR3488" s="6"/>
      <c r="CS3488" s="6"/>
      <c r="CT3488" s="6"/>
      <c r="CU3488" s="6"/>
      <c r="CV3488" s="6"/>
      <c r="CW3488" s="6"/>
      <c r="CX3488" s="6"/>
      <c r="CY3488" s="6"/>
      <c r="CZ3488" s="6"/>
      <c r="DA3488" s="6"/>
      <c r="DB3488" s="6"/>
      <c r="DC3488" s="6"/>
      <c r="DD3488" s="6"/>
    </row>
    <row r="3489" spans="1:108" ht="12.75" hidden="1" customHeight="1" outlineLevel="4">
      <c r="A3489" s="104" t="s">
        <v>105</v>
      </c>
      <c r="B3489" s="105">
        <f t="shared" si="207"/>
        <v>1.1018999999999999E-2</v>
      </c>
      <c r="C3489" s="12"/>
      <c r="D3489" s="18" t="str">
        <f t="shared" si="208"/>
        <v>&lt;Radius_Le&gt;0.011019&lt;/Radius_Le&gt;</v>
      </c>
      <c r="F3489" s="6"/>
      <c r="G3489" s="6"/>
      <c r="H3489" s="6"/>
      <c r="I3489" s="6"/>
      <c r="J3489" s="6"/>
      <c r="K3489" s="6"/>
      <c r="L3489" s="6"/>
      <c r="M3489" s="6"/>
      <c r="N3489" s="6"/>
      <c r="O3489" s="6"/>
      <c r="P3489" s="6"/>
      <c r="Q3489" s="6"/>
      <c r="R3489" s="6"/>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c r="BU3489" s="6"/>
      <c r="BV3489" s="6"/>
      <c r="BW3489" s="6"/>
      <c r="BX3489" s="6"/>
      <c r="BY3489" s="6"/>
      <c r="BZ3489" s="6"/>
      <c r="CA3489" s="6"/>
      <c r="CB3489" s="6"/>
      <c r="CC3489" s="6"/>
      <c r="CD3489" s="6"/>
      <c r="CE3489" s="6"/>
      <c r="CF3489" s="6"/>
      <c r="CG3489" s="6"/>
      <c r="CH3489" s="6"/>
      <c r="CI3489" s="6"/>
      <c r="CJ3489" s="6"/>
      <c r="CK3489" s="6"/>
      <c r="CL3489" s="6"/>
      <c r="CM3489" s="6"/>
      <c r="CN3489" s="6"/>
      <c r="CO3489" s="6"/>
      <c r="CP3489" s="6"/>
      <c r="CQ3489" s="6"/>
      <c r="CR3489" s="6"/>
      <c r="CS3489" s="6"/>
      <c r="CT3489" s="6"/>
      <c r="CU3489" s="6"/>
      <c r="CV3489" s="6"/>
      <c r="CW3489" s="6"/>
      <c r="CX3489" s="6"/>
      <c r="CY3489" s="6"/>
      <c r="CZ3489" s="6"/>
      <c r="DA3489" s="6"/>
      <c r="DB3489" s="6"/>
      <c r="DC3489" s="6"/>
      <c r="DD3489" s="6"/>
    </row>
    <row r="3490" spans="1:108" ht="12.75" hidden="1" customHeight="1" outlineLevel="4">
      <c r="A3490" s="104" t="s">
        <v>106</v>
      </c>
      <c r="B3490" s="105">
        <f t="shared" si="207"/>
        <v>0</v>
      </c>
      <c r="C3490" s="12"/>
      <c r="D3490" s="18" t="str">
        <f t="shared" si="208"/>
        <v>&lt;Radius_Te&gt;0.000000&lt;/Radius_Te&gt;</v>
      </c>
      <c r="F3490" s="6"/>
      <c r="G3490" s="6"/>
      <c r="H3490" s="6"/>
      <c r="I3490" s="6"/>
      <c r="J3490" s="6"/>
      <c r="K3490" s="6"/>
      <c r="L3490" s="6"/>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c r="BU3490" s="6"/>
      <c r="BV3490" s="6"/>
      <c r="BW3490" s="6"/>
      <c r="BX3490" s="6"/>
      <c r="BY3490" s="6"/>
      <c r="BZ3490" s="6"/>
      <c r="CA3490" s="6"/>
      <c r="CB3490" s="6"/>
      <c r="CC3490" s="6"/>
      <c r="CD3490" s="6"/>
      <c r="CE3490" s="6"/>
      <c r="CF3490" s="6"/>
      <c r="CG3490" s="6"/>
      <c r="CH3490" s="6"/>
      <c r="CI3490" s="6"/>
      <c r="CJ3490" s="6"/>
      <c r="CK3490" s="6"/>
      <c r="CL3490" s="6"/>
      <c r="CM3490" s="6"/>
      <c r="CN3490" s="6"/>
      <c r="CO3490" s="6"/>
      <c r="CP3490" s="6"/>
      <c r="CQ3490" s="6"/>
      <c r="CR3490" s="6"/>
      <c r="CS3490" s="6"/>
      <c r="CT3490" s="6"/>
      <c r="CU3490" s="6"/>
      <c r="CV3490" s="6"/>
      <c r="CW3490" s="6"/>
      <c r="CX3490" s="6"/>
      <c r="CY3490" s="6"/>
      <c r="CZ3490" s="6"/>
      <c r="DA3490" s="6"/>
      <c r="DB3490" s="6"/>
      <c r="DC3490" s="6"/>
      <c r="DD3490" s="6"/>
    </row>
    <row r="3491" spans="1:108" ht="12.75" hidden="1" customHeight="1" outlineLevel="4">
      <c r="A3491" s="104" t="s">
        <v>107</v>
      </c>
      <c r="B3491" s="105">
        <f t="shared" si="207"/>
        <v>63</v>
      </c>
      <c r="C3491" s="12"/>
      <c r="D3491" s="18" t="str">
        <f>"&lt;" &amp; A3491 &amp; "&gt;" &amp; TEXT(B3491,0) &amp; "&lt;/" &amp; A3491 &amp; "&gt;"</f>
        <v>&lt;Six_Series&gt;63&lt;/Six_Series&gt;</v>
      </c>
      <c r="F3491" s="6"/>
      <c r="G3491" s="6"/>
      <c r="H3491" s="6"/>
      <c r="I3491" s="6"/>
      <c r="J3491" s="6"/>
      <c r="K3491" s="6"/>
      <c r="L3491" s="6"/>
      <c r="M3491" s="6"/>
      <c r="N3491" s="6"/>
      <c r="O3491" s="6"/>
      <c r="P3491" s="6"/>
      <c r="Q3491" s="6"/>
      <c r="R3491" s="6"/>
      <c r="S3491" s="6"/>
      <c r="T3491" s="6"/>
      <c r="U3491" s="6"/>
      <c r="V3491" s="6"/>
      <c r="W3491" s="6"/>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c r="BU3491" s="6"/>
      <c r="BV3491" s="6"/>
      <c r="BW3491" s="6"/>
      <c r="BX3491" s="6"/>
      <c r="BY3491" s="6"/>
      <c r="BZ3491" s="6"/>
      <c r="CA3491" s="6"/>
      <c r="CB3491" s="6"/>
      <c r="CC3491" s="6"/>
      <c r="CD3491" s="6"/>
      <c r="CE3491" s="6"/>
      <c r="CF3491" s="6"/>
      <c r="CG3491" s="6"/>
      <c r="CH3491" s="6"/>
      <c r="CI3491" s="6"/>
      <c r="CJ3491" s="6"/>
      <c r="CK3491" s="6"/>
      <c r="CL3491" s="6"/>
      <c r="CM3491" s="6"/>
      <c r="CN3491" s="6"/>
      <c r="CO3491" s="6"/>
      <c r="CP3491" s="6"/>
      <c r="CQ3491" s="6"/>
      <c r="CR3491" s="6"/>
      <c r="CS3491" s="6"/>
      <c r="CT3491" s="6"/>
      <c r="CU3491" s="6"/>
      <c r="CV3491" s="6"/>
      <c r="CW3491" s="6"/>
      <c r="CX3491" s="6"/>
      <c r="CY3491" s="6"/>
      <c r="CZ3491" s="6"/>
      <c r="DA3491" s="6"/>
      <c r="DB3491" s="6"/>
      <c r="DC3491" s="6"/>
      <c r="DD3491" s="6"/>
    </row>
    <row r="3492" spans="1:108" ht="12.75" hidden="1" customHeight="1" outlineLevel="4">
      <c r="A3492" s="104" t="s">
        <v>108</v>
      </c>
      <c r="B3492" s="105">
        <f t="shared" si="207"/>
        <v>0</v>
      </c>
      <c r="C3492" s="12"/>
      <c r="D3492" s="18" t="str">
        <f>"&lt;" &amp; A3492 &amp; "&gt;" &amp; TEXT(B3492,"0.000000") &amp; "&lt;/" &amp; A3492 &amp; "&gt;"</f>
        <v>&lt;Ideal_Cl&gt;0.000000&lt;/Ideal_Cl&gt;</v>
      </c>
      <c r="F3492" s="6"/>
      <c r="G3492" s="6"/>
      <c r="H3492" s="6"/>
      <c r="I3492" s="6"/>
      <c r="J3492" s="6"/>
      <c r="K3492" s="6"/>
      <c r="L3492" s="6"/>
      <c r="M3492" s="6"/>
      <c r="N3492" s="6"/>
      <c r="O3492" s="6"/>
      <c r="P3492" s="6"/>
      <c r="Q3492" s="6"/>
      <c r="R3492" s="6"/>
      <c r="S3492" s="6"/>
      <c r="T3492" s="6"/>
      <c r="U3492" s="6"/>
      <c r="V3492" s="6"/>
      <c r="W3492" s="6"/>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c r="BU3492" s="6"/>
      <c r="BV3492" s="6"/>
      <c r="BW3492" s="6"/>
      <c r="BX3492" s="6"/>
      <c r="BY3492" s="6"/>
      <c r="BZ3492" s="6"/>
      <c r="CA3492" s="6"/>
      <c r="CB3492" s="6"/>
      <c r="CC3492" s="6"/>
      <c r="CD3492" s="6"/>
      <c r="CE3492" s="6"/>
      <c r="CF3492" s="6"/>
      <c r="CG3492" s="6"/>
      <c r="CH3492" s="6"/>
      <c r="CI3492" s="6"/>
      <c r="CJ3492" s="6"/>
      <c r="CK3492" s="6"/>
      <c r="CL3492" s="6"/>
      <c r="CM3492" s="6"/>
      <c r="CN3492" s="6"/>
      <c r="CO3492" s="6"/>
      <c r="CP3492" s="6"/>
      <c r="CQ3492" s="6"/>
      <c r="CR3492" s="6"/>
      <c r="CS3492" s="6"/>
      <c r="CT3492" s="6"/>
      <c r="CU3492" s="6"/>
      <c r="CV3492" s="6"/>
      <c r="CW3492" s="6"/>
      <c r="CX3492" s="6"/>
      <c r="CY3492" s="6"/>
      <c r="CZ3492" s="6"/>
      <c r="DA3492" s="6"/>
      <c r="DB3492" s="6"/>
      <c r="DC3492" s="6"/>
      <c r="DD3492" s="6"/>
    </row>
    <row r="3493" spans="1:108" ht="12.75" hidden="1" customHeight="1" outlineLevel="4">
      <c r="A3493" s="104" t="s">
        <v>109</v>
      </c>
      <c r="B3493" s="105">
        <f t="shared" si="207"/>
        <v>0</v>
      </c>
      <c r="C3493" s="12"/>
      <c r="D3493" s="18" t="str">
        <f>"&lt;" &amp; A3493 &amp; "&gt;" &amp; TEXT(B3493,"0.000000") &amp; "&lt;/" &amp; A3493 &amp; "&gt;"</f>
        <v>&lt;A&gt;0.000000&lt;/A&gt;</v>
      </c>
      <c r="F3493" s="6"/>
      <c r="G3493" s="6"/>
      <c r="H3493" s="6"/>
      <c r="I3493" s="6"/>
      <c r="J3493" s="6"/>
      <c r="K3493" s="6"/>
      <c r="L3493" s="6"/>
      <c r="M3493" s="6"/>
      <c r="N3493" s="6"/>
      <c r="O3493" s="6"/>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c r="BU3493" s="6"/>
      <c r="BV3493" s="6"/>
      <c r="BW3493" s="6"/>
      <c r="BX3493" s="6"/>
      <c r="BY3493" s="6"/>
      <c r="BZ3493" s="6"/>
      <c r="CA3493" s="6"/>
      <c r="CB3493" s="6"/>
      <c r="CC3493" s="6"/>
      <c r="CD3493" s="6"/>
      <c r="CE3493" s="6"/>
      <c r="CF3493" s="6"/>
      <c r="CG3493" s="6"/>
      <c r="CH3493" s="6"/>
      <c r="CI3493" s="6"/>
      <c r="CJ3493" s="6"/>
      <c r="CK3493" s="6"/>
      <c r="CL3493" s="6"/>
      <c r="CM3493" s="6"/>
      <c r="CN3493" s="6"/>
      <c r="CO3493" s="6"/>
      <c r="CP3493" s="6"/>
      <c r="CQ3493" s="6"/>
      <c r="CR3493" s="6"/>
      <c r="CS3493" s="6"/>
      <c r="CT3493" s="6"/>
      <c r="CU3493" s="6"/>
      <c r="CV3493" s="6"/>
      <c r="CW3493" s="6"/>
      <c r="CX3493" s="6"/>
      <c r="CY3493" s="6"/>
      <c r="CZ3493" s="6"/>
      <c r="DA3493" s="6"/>
      <c r="DB3493" s="6"/>
      <c r="DC3493" s="6"/>
      <c r="DD3493" s="6"/>
    </row>
    <row r="3494" spans="1:108" ht="12.75" hidden="1" customHeight="1" outlineLevel="4">
      <c r="A3494" s="104" t="s">
        <v>110</v>
      </c>
      <c r="B3494" s="105">
        <f t="shared" si="207"/>
        <v>0</v>
      </c>
      <c r="C3494" s="12"/>
      <c r="D3494" s="18" t="str">
        <f>"&lt;" &amp; A3494 &amp; "&gt;" &amp; TEXT(B3494,0) &amp; "&lt;/" &amp; A3494 &amp; "&gt;"</f>
        <v>&lt;Slat_Flag&gt;0&lt;/Slat_Flag&gt;</v>
      </c>
      <c r="F3494" s="6"/>
      <c r="G3494" s="6"/>
      <c r="H3494" s="6"/>
      <c r="I3494" s="6"/>
      <c r="J3494" s="6"/>
      <c r="K3494" s="6"/>
      <c r="L3494" s="6"/>
      <c r="M3494" s="6"/>
      <c r="N3494" s="6"/>
      <c r="O3494" s="6"/>
      <c r="P3494" s="6"/>
      <c r="Q3494" s="6"/>
      <c r="R3494" s="6"/>
      <c r="S3494" s="6"/>
      <c r="T3494" s="6"/>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c r="BU3494" s="6"/>
      <c r="BV3494" s="6"/>
      <c r="BW3494" s="6"/>
      <c r="BX3494" s="6"/>
      <c r="BY3494" s="6"/>
      <c r="BZ3494" s="6"/>
      <c r="CA3494" s="6"/>
      <c r="CB3494" s="6"/>
      <c r="CC3494" s="6"/>
      <c r="CD3494" s="6"/>
      <c r="CE3494" s="6"/>
      <c r="CF3494" s="6"/>
      <c r="CG3494" s="6"/>
      <c r="CH3494" s="6"/>
      <c r="CI3494" s="6"/>
      <c r="CJ3494" s="6"/>
      <c r="CK3494" s="6"/>
      <c r="CL3494" s="6"/>
      <c r="CM3494" s="6"/>
      <c r="CN3494" s="6"/>
      <c r="CO3494" s="6"/>
      <c r="CP3494" s="6"/>
      <c r="CQ3494" s="6"/>
      <c r="CR3494" s="6"/>
      <c r="CS3494" s="6"/>
      <c r="CT3494" s="6"/>
      <c r="CU3494" s="6"/>
      <c r="CV3494" s="6"/>
      <c r="CW3494" s="6"/>
      <c r="CX3494" s="6"/>
      <c r="CY3494" s="6"/>
      <c r="CZ3494" s="6"/>
      <c r="DA3494" s="6"/>
      <c r="DB3494" s="6"/>
      <c r="DC3494" s="6"/>
      <c r="DD3494" s="6"/>
    </row>
    <row r="3495" spans="1:108" ht="12.75" hidden="1" customHeight="1" outlineLevel="4">
      <c r="A3495" s="104" t="s">
        <v>111</v>
      </c>
      <c r="B3495" s="105">
        <f t="shared" si="207"/>
        <v>0</v>
      </c>
      <c r="C3495" s="12"/>
      <c r="D3495" s="18" t="str">
        <f>"&lt;" &amp; A3495 &amp; "&gt;" &amp; TEXT(B3495,0) &amp; "&lt;/" &amp; A3495 &amp; "&gt;"</f>
        <v>&lt;Slat_Shear_Flag&gt;0&lt;/Slat_Shear_Flag&gt;</v>
      </c>
      <c r="F3495" s="6"/>
      <c r="G3495" s="6"/>
      <c r="H3495" s="6"/>
      <c r="I3495" s="6"/>
      <c r="J3495" s="6"/>
      <c r="K3495" s="6"/>
      <c r="L3495" s="6"/>
      <c r="M3495" s="6"/>
      <c r="N3495" s="6"/>
      <c r="O3495" s="6"/>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c r="BU3495" s="6"/>
      <c r="BV3495" s="6"/>
      <c r="BW3495" s="6"/>
      <c r="BX3495" s="6"/>
      <c r="BY3495" s="6"/>
      <c r="BZ3495" s="6"/>
      <c r="CA3495" s="6"/>
      <c r="CB3495" s="6"/>
      <c r="CC3495" s="6"/>
      <c r="CD3495" s="6"/>
      <c r="CE3495" s="6"/>
      <c r="CF3495" s="6"/>
      <c r="CG3495" s="6"/>
      <c r="CH3495" s="6"/>
      <c r="CI3495" s="6"/>
      <c r="CJ3495" s="6"/>
      <c r="CK3495" s="6"/>
      <c r="CL3495" s="6"/>
      <c r="CM3495" s="6"/>
      <c r="CN3495" s="6"/>
      <c r="CO3495" s="6"/>
      <c r="CP3495" s="6"/>
      <c r="CQ3495" s="6"/>
      <c r="CR3495" s="6"/>
      <c r="CS3495" s="6"/>
      <c r="CT3495" s="6"/>
      <c r="CU3495" s="6"/>
      <c r="CV3495" s="6"/>
      <c r="CW3495" s="6"/>
      <c r="CX3495" s="6"/>
      <c r="CY3495" s="6"/>
      <c r="CZ3495" s="6"/>
      <c r="DA3495" s="6"/>
      <c r="DB3495" s="6"/>
      <c r="DC3495" s="6"/>
      <c r="DD3495" s="6"/>
    </row>
    <row r="3496" spans="1:108" ht="12.75" hidden="1" customHeight="1" outlineLevel="4">
      <c r="A3496" s="104" t="s">
        <v>112</v>
      </c>
      <c r="B3496" s="105">
        <f t="shared" si="207"/>
        <v>0.25</v>
      </c>
      <c r="C3496" s="12"/>
      <c r="D3496" s="18" t="str">
        <f>"&lt;" &amp; A3496 &amp; "&gt;" &amp; TEXT(B3496,"0.000000") &amp; "&lt;/" &amp; A3496 &amp; "&gt;"</f>
        <v>&lt;Slat_Chord&gt;0.250000&lt;/Slat_Chord&gt;</v>
      </c>
      <c r="F3496" s="6"/>
      <c r="G3496" s="6"/>
      <c r="H3496" s="6"/>
      <c r="I3496" s="6"/>
      <c r="J3496" s="6"/>
      <c r="K3496" s="6"/>
      <c r="L3496" s="6"/>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c r="BU3496" s="6"/>
      <c r="BV3496" s="6"/>
      <c r="BW3496" s="6"/>
      <c r="BX3496" s="6"/>
      <c r="BY3496" s="6"/>
      <c r="BZ3496" s="6"/>
      <c r="CA3496" s="6"/>
      <c r="CB3496" s="6"/>
      <c r="CC3496" s="6"/>
      <c r="CD3496" s="6"/>
      <c r="CE3496" s="6"/>
      <c r="CF3496" s="6"/>
      <c r="CG3496" s="6"/>
      <c r="CH3496" s="6"/>
      <c r="CI3496" s="6"/>
      <c r="CJ3496" s="6"/>
      <c r="CK3496" s="6"/>
      <c r="CL3496" s="6"/>
      <c r="CM3496" s="6"/>
      <c r="CN3496" s="6"/>
      <c r="CO3496" s="6"/>
      <c r="CP3496" s="6"/>
      <c r="CQ3496" s="6"/>
      <c r="CR3496" s="6"/>
      <c r="CS3496" s="6"/>
      <c r="CT3496" s="6"/>
      <c r="CU3496" s="6"/>
      <c r="CV3496" s="6"/>
      <c r="CW3496" s="6"/>
      <c r="CX3496" s="6"/>
      <c r="CY3496" s="6"/>
      <c r="CZ3496" s="6"/>
      <c r="DA3496" s="6"/>
      <c r="DB3496" s="6"/>
      <c r="DC3496" s="6"/>
      <c r="DD3496" s="6"/>
    </row>
    <row r="3497" spans="1:108" ht="12.75" hidden="1" customHeight="1" outlineLevel="4">
      <c r="A3497" s="104" t="s">
        <v>113</v>
      </c>
      <c r="B3497" s="105">
        <f t="shared" si="207"/>
        <v>10</v>
      </c>
      <c r="C3497" s="12"/>
      <c r="D3497" s="18" t="str">
        <f>"&lt;" &amp; A3497 &amp; "&gt;" &amp; TEXT(B3497,"0.000000") &amp; "&lt;/" &amp; A3497 &amp; "&gt;"</f>
        <v>&lt;Slat_Angle&gt;10.000000&lt;/Slat_Angle&gt;</v>
      </c>
      <c r="F3497" s="6"/>
      <c r="G3497" s="6"/>
      <c r="H3497" s="6"/>
      <c r="I3497" s="6"/>
      <c r="J3497" s="6"/>
      <c r="K3497" s="6"/>
      <c r="L3497" s="6"/>
      <c r="M3497" s="6"/>
      <c r="N3497" s="6"/>
      <c r="O3497" s="6"/>
      <c r="P3497" s="6"/>
      <c r="Q3497" s="6"/>
      <c r="R3497" s="6"/>
      <c r="S3497" s="6"/>
      <c r="T3497" s="6"/>
      <c r="U3497" s="6"/>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c r="BU3497" s="6"/>
      <c r="BV3497" s="6"/>
      <c r="BW3497" s="6"/>
      <c r="BX3497" s="6"/>
      <c r="BY3497" s="6"/>
      <c r="BZ3497" s="6"/>
      <c r="CA3497" s="6"/>
      <c r="CB3497" s="6"/>
      <c r="CC3497" s="6"/>
      <c r="CD3497" s="6"/>
      <c r="CE3497" s="6"/>
      <c r="CF3497" s="6"/>
      <c r="CG3497" s="6"/>
      <c r="CH3497" s="6"/>
      <c r="CI3497" s="6"/>
      <c r="CJ3497" s="6"/>
      <c r="CK3497" s="6"/>
      <c r="CL3497" s="6"/>
      <c r="CM3497" s="6"/>
      <c r="CN3497" s="6"/>
      <c r="CO3497" s="6"/>
      <c r="CP3497" s="6"/>
      <c r="CQ3497" s="6"/>
      <c r="CR3497" s="6"/>
      <c r="CS3497" s="6"/>
      <c r="CT3497" s="6"/>
      <c r="CU3497" s="6"/>
      <c r="CV3497" s="6"/>
      <c r="CW3497" s="6"/>
      <c r="CX3497" s="6"/>
      <c r="CY3497" s="6"/>
      <c r="CZ3497" s="6"/>
      <c r="DA3497" s="6"/>
      <c r="DB3497" s="6"/>
      <c r="DC3497" s="6"/>
      <c r="DD3497" s="6"/>
    </row>
    <row r="3498" spans="1:108" ht="12.75" hidden="1" customHeight="1" outlineLevel="4">
      <c r="A3498" s="104" t="s">
        <v>114</v>
      </c>
      <c r="B3498" s="105">
        <f t="shared" si="207"/>
        <v>0</v>
      </c>
      <c r="C3498" s="12"/>
      <c r="D3498" s="18" t="str">
        <f>"&lt;" &amp; A3498 &amp; "&gt;" &amp; TEXT(B3498,0) &amp; "&lt;/" &amp; A3498 &amp; "&gt;"</f>
        <v>&lt;Flap_Flag&gt;0&lt;/Flap_Flag&gt;</v>
      </c>
      <c r="F3498" s="6"/>
      <c r="G3498" s="6"/>
      <c r="H3498" s="6"/>
      <c r="I3498" s="6"/>
      <c r="J3498" s="6"/>
      <c r="K3498" s="6"/>
      <c r="L3498" s="6"/>
      <c r="M3498" s="6"/>
      <c r="N3498" s="6"/>
      <c r="O3498" s="6"/>
      <c r="P3498" s="6"/>
      <c r="Q3498" s="6"/>
      <c r="R3498" s="6"/>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c r="BU3498" s="6"/>
      <c r="BV3498" s="6"/>
      <c r="BW3498" s="6"/>
      <c r="BX3498" s="6"/>
      <c r="BY3498" s="6"/>
      <c r="BZ3498" s="6"/>
      <c r="CA3498" s="6"/>
      <c r="CB3498" s="6"/>
      <c r="CC3498" s="6"/>
      <c r="CD3498" s="6"/>
      <c r="CE3498" s="6"/>
      <c r="CF3498" s="6"/>
      <c r="CG3498" s="6"/>
      <c r="CH3498" s="6"/>
      <c r="CI3498" s="6"/>
      <c r="CJ3498" s="6"/>
      <c r="CK3498" s="6"/>
      <c r="CL3498" s="6"/>
      <c r="CM3498" s="6"/>
      <c r="CN3498" s="6"/>
      <c r="CO3498" s="6"/>
      <c r="CP3498" s="6"/>
      <c r="CQ3498" s="6"/>
      <c r="CR3498" s="6"/>
      <c r="CS3498" s="6"/>
      <c r="CT3498" s="6"/>
      <c r="CU3498" s="6"/>
      <c r="CV3498" s="6"/>
      <c r="CW3498" s="6"/>
      <c r="CX3498" s="6"/>
      <c r="CY3498" s="6"/>
      <c r="CZ3498" s="6"/>
      <c r="DA3498" s="6"/>
      <c r="DB3498" s="6"/>
      <c r="DC3498" s="6"/>
      <c r="DD3498" s="6"/>
    </row>
    <row r="3499" spans="1:108" ht="12.75" hidden="1" customHeight="1" outlineLevel="4">
      <c r="A3499" s="104" t="s">
        <v>115</v>
      </c>
      <c r="B3499" s="105">
        <f t="shared" si="207"/>
        <v>0</v>
      </c>
      <c r="C3499" s="12"/>
      <c r="D3499" s="18" t="str">
        <f>"&lt;" &amp; A3499 &amp; "&gt;" &amp; TEXT(B3499,0) &amp; "&lt;/" &amp; A3499 &amp; "&gt;"</f>
        <v>&lt;Flap_Shear_Flag&gt;0&lt;/Flap_Shear_Flag&gt;</v>
      </c>
      <c r="F3499" s="6"/>
      <c r="G3499" s="6"/>
      <c r="H3499" s="6"/>
      <c r="I3499" s="6"/>
      <c r="J3499" s="6"/>
      <c r="K3499" s="6"/>
      <c r="L3499" s="6"/>
      <c r="M3499" s="6"/>
      <c r="N3499" s="6"/>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c r="BU3499" s="6"/>
      <c r="BV3499" s="6"/>
      <c r="BW3499" s="6"/>
      <c r="BX3499" s="6"/>
      <c r="BY3499" s="6"/>
      <c r="BZ3499" s="6"/>
      <c r="CA3499" s="6"/>
      <c r="CB3499" s="6"/>
      <c r="CC3499" s="6"/>
      <c r="CD3499" s="6"/>
      <c r="CE3499" s="6"/>
      <c r="CF3499" s="6"/>
      <c r="CG3499" s="6"/>
      <c r="CH3499" s="6"/>
      <c r="CI3499" s="6"/>
      <c r="CJ3499" s="6"/>
      <c r="CK3499" s="6"/>
      <c r="CL3499" s="6"/>
      <c r="CM3499" s="6"/>
      <c r="CN3499" s="6"/>
      <c r="CO3499" s="6"/>
      <c r="CP3499" s="6"/>
      <c r="CQ3499" s="6"/>
      <c r="CR3499" s="6"/>
      <c r="CS3499" s="6"/>
      <c r="CT3499" s="6"/>
      <c r="CU3499" s="6"/>
      <c r="CV3499" s="6"/>
      <c r="CW3499" s="6"/>
      <c r="CX3499" s="6"/>
      <c r="CY3499" s="6"/>
      <c r="CZ3499" s="6"/>
      <c r="DA3499" s="6"/>
      <c r="DB3499" s="6"/>
      <c r="DC3499" s="6"/>
      <c r="DD3499" s="6"/>
    </row>
    <row r="3500" spans="1:108" ht="12.75" hidden="1" customHeight="1" outlineLevel="4">
      <c r="A3500" s="104" t="s">
        <v>116</v>
      </c>
      <c r="B3500" s="105">
        <f t="shared" si="207"/>
        <v>0.25</v>
      </c>
      <c r="C3500" s="12"/>
      <c r="D3500" s="18" t="str">
        <f>"&lt;" &amp; A3500 &amp; "&gt;" &amp; TEXT(B3500,"0.000000") &amp; "&lt;/" &amp; A3500 &amp; "&gt;"</f>
        <v>&lt;Flap_Chord&gt;0.250000&lt;/Flap_Chord&gt;</v>
      </c>
      <c r="F3500" s="6"/>
      <c r="G3500" s="6"/>
      <c r="H3500" s="6"/>
      <c r="I3500" s="6"/>
      <c r="J3500" s="6"/>
      <c r="K3500" s="6"/>
      <c r="L3500" s="6"/>
      <c r="M3500" s="6"/>
      <c r="N3500" s="6"/>
      <c r="O3500" s="6"/>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c r="BU3500" s="6"/>
      <c r="BV3500" s="6"/>
      <c r="BW3500" s="6"/>
      <c r="BX3500" s="6"/>
      <c r="BY3500" s="6"/>
      <c r="BZ3500" s="6"/>
      <c r="CA3500" s="6"/>
      <c r="CB3500" s="6"/>
      <c r="CC3500" s="6"/>
      <c r="CD3500" s="6"/>
      <c r="CE3500" s="6"/>
      <c r="CF3500" s="6"/>
      <c r="CG3500" s="6"/>
      <c r="CH3500" s="6"/>
      <c r="CI3500" s="6"/>
      <c r="CJ3500" s="6"/>
      <c r="CK3500" s="6"/>
      <c r="CL3500" s="6"/>
      <c r="CM3500" s="6"/>
      <c r="CN3500" s="6"/>
      <c r="CO3500" s="6"/>
      <c r="CP3500" s="6"/>
      <c r="CQ3500" s="6"/>
      <c r="CR3500" s="6"/>
      <c r="CS3500" s="6"/>
      <c r="CT3500" s="6"/>
      <c r="CU3500" s="6"/>
      <c r="CV3500" s="6"/>
      <c r="CW3500" s="6"/>
      <c r="CX3500" s="6"/>
      <c r="CY3500" s="6"/>
      <c r="CZ3500" s="6"/>
      <c r="DA3500" s="6"/>
      <c r="DB3500" s="6"/>
      <c r="DC3500" s="6"/>
      <c r="DD3500" s="6"/>
    </row>
    <row r="3501" spans="1:108" ht="12.75" hidden="1" customHeight="1" outlineLevel="4">
      <c r="A3501" s="104" t="s">
        <v>117</v>
      </c>
      <c r="B3501" s="105">
        <f t="shared" si="207"/>
        <v>10</v>
      </c>
      <c r="C3501" s="12"/>
      <c r="D3501" s="18" t="str">
        <f>"&lt;" &amp; A3501 &amp; "&gt;" &amp; TEXT(B3501,"0.000000") &amp; "&lt;/" &amp; A3501 &amp; "&gt;"</f>
        <v>&lt;Flap_Angle&gt;10.000000&lt;/Flap_Angle&gt;</v>
      </c>
      <c r="F3501" s="6"/>
      <c r="G3501" s="6"/>
      <c r="H3501" s="6"/>
      <c r="I3501" s="6"/>
      <c r="J3501" s="6"/>
      <c r="K3501" s="6"/>
      <c r="L3501" s="6"/>
      <c r="M3501" s="6"/>
      <c r="N3501" s="6"/>
      <c r="O3501" s="6"/>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c r="BU3501" s="6"/>
      <c r="BV3501" s="6"/>
      <c r="BW3501" s="6"/>
      <c r="BX3501" s="6"/>
      <c r="BY3501" s="6"/>
      <c r="BZ3501" s="6"/>
      <c r="CA3501" s="6"/>
      <c r="CB3501" s="6"/>
      <c r="CC3501" s="6"/>
      <c r="CD3501" s="6"/>
      <c r="CE3501" s="6"/>
      <c r="CF3501" s="6"/>
      <c r="CG3501" s="6"/>
      <c r="CH3501" s="6"/>
      <c r="CI3501" s="6"/>
      <c r="CJ3501" s="6"/>
      <c r="CK3501" s="6"/>
      <c r="CL3501" s="6"/>
      <c r="CM3501" s="6"/>
      <c r="CN3501" s="6"/>
      <c r="CO3501" s="6"/>
      <c r="CP3501" s="6"/>
      <c r="CQ3501" s="6"/>
      <c r="CR3501" s="6"/>
      <c r="CS3501" s="6"/>
      <c r="CT3501" s="6"/>
      <c r="CU3501" s="6"/>
      <c r="CV3501" s="6"/>
      <c r="CW3501" s="6"/>
      <c r="CX3501" s="6"/>
      <c r="CY3501" s="6"/>
      <c r="CZ3501" s="6"/>
      <c r="DA3501" s="6"/>
      <c r="DB3501" s="6"/>
      <c r="DC3501" s="6"/>
      <c r="DD3501" s="6"/>
    </row>
    <row r="3502" spans="1:108" ht="12.75" hidden="1" customHeight="1" outlineLevel="4">
      <c r="A3502" s="104" t="s">
        <v>118</v>
      </c>
      <c r="C3502" s="12"/>
      <c r="D3502" s="6" t="str">
        <f>"&lt;" &amp; A3502 &amp; "&gt;"</f>
        <v>&lt;/Airfoil&gt;</v>
      </c>
      <c r="F3502" s="6"/>
      <c r="G3502" s="6"/>
      <c r="H3502" s="6"/>
      <c r="I3502" s="6"/>
      <c r="J3502" s="6"/>
      <c r="K3502" s="6"/>
      <c r="L3502" s="6"/>
      <c r="M3502" s="6"/>
      <c r="N3502" s="6"/>
      <c r="O3502" s="6"/>
      <c r="P3502" s="6"/>
      <c r="Q3502" s="6"/>
      <c r="R3502" s="6"/>
      <c r="S3502" s="6"/>
      <c r="T3502" s="6"/>
      <c r="U3502" s="6"/>
      <c r="V3502" s="6"/>
      <c r="W3502" s="6"/>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c r="BU3502" s="6"/>
      <c r="BV3502" s="6"/>
      <c r="BW3502" s="6"/>
      <c r="BX3502" s="6"/>
      <c r="BY3502" s="6"/>
      <c r="BZ3502" s="6"/>
      <c r="CA3502" s="6"/>
      <c r="CB3502" s="6"/>
      <c r="CC3502" s="6"/>
      <c r="CD3502" s="6"/>
      <c r="CE3502" s="6"/>
      <c r="CF3502" s="6"/>
      <c r="CG3502" s="6"/>
      <c r="CH3502" s="6"/>
      <c r="CI3502" s="6"/>
      <c r="CJ3502" s="6"/>
      <c r="CK3502" s="6"/>
      <c r="CL3502" s="6"/>
      <c r="CM3502" s="6"/>
      <c r="CN3502" s="6"/>
      <c r="CO3502" s="6"/>
      <c r="CP3502" s="6"/>
      <c r="CQ3502" s="6"/>
      <c r="CR3502" s="6"/>
      <c r="CS3502" s="6"/>
      <c r="CT3502" s="6"/>
      <c r="CU3502" s="6"/>
      <c r="CV3502" s="6"/>
      <c r="CW3502" s="6"/>
      <c r="CX3502" s="6"/>
      <c r="CY3502" s="6"/>
      <c r="CZ3502" s="6"/>
      <c r="DA3502" s="6"/>
      <c r="DB3502" s="6"/>
      <c r="DC3502" s="6"/>
      <c r="DD3502" s="6"/>
    </row>
    <row r="3503" spans="1:108" ht="12.75" hidden="1" customHeight="1" outlineLevel="3">
      <c r="A3503" s="104" t="s">
        <v>138</v>
      </c>
      <c r="C3503" s="12" t="str">
        <f>C3423</f>
        <v>Yes</v>
      </c>
      <c r="D3503" s="133" t="str">
        <f>IF(C3503="Yes",("&lt;"&amp;A3503&amp;"&gt;"),("&lt;"&amp;A3503&amp;"--&gt;"))</f>
        <v>&lt;/Component&gt;</v>
      </c>
      <c r="F3503" s="6"/>
      <c r="G3503" s="6"/>
      <c r="H3503" s="6"/>
      <c r="I3503" s="6"/>
      <c r="J3503" s="6"/>
      <c r="K3503" s="6"/>
      <c r="L3503" s="6"/>
      <c r="M3503" s="6"/>
      <c r="N3503" s="6"/>
      <c r="O3503" s="6"/>
      <c r="P3503" s="6"/>
      <c r="Q3503" s="6"/>
      <c r="R3503" s="6"/>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c r="BU3503" s="6"/>
      <c r="BV3503" s="6"/>
      <c r="BW3503" s="6"/>
      <c r="BX3503" s="6"/>
      <c r="BY3503" s="6"/>
      <c r="BZ3503" s="6"/>
      <c r="CA3503" s="6"/>
      <c r="CB3503" s="6"/>
      <c r="CC3503" s="6"/>
      <c r="CD3503" s="6"/>
      <c r="CE3503" s="6"/>
      <c r="CF3503" s="6"/>
      <c r="CG3503" s="6"/>
      <c r="CH3503" s="6"/>
      <c r="CI3503" s="6"/>
      <c r="CJ3503" s="6"/>
      <c r="CK3503" s="6"/>
      <c r="CL3503" s="6"/>
      <c r="CM3503" s="6"/>
      <c r="CN3503" s="6"/>
      <c r="CO3503" s="6"/>
      <c r="CP3503" s="6"/>
      <c r="CQ3503" s="6"/>
      <c r="CR3503" s="6"/>
      <c r="CS3503" s="6"/>
      <c r="CT3503" s="6"/>
      <c r="CU3503" s="6"/>
      <c r="CV3503" s="6"/>
      <c r="CW3503" s="6"/>
      <c r="CX3503" s="6"/>
      <c r="CY3503" s="6"/>
      <c r="CZ3503" s="6"/>
      <c r="DA3503" s="6"/>
      <c r="DB3503" s="6"/>
      <c r="DC3503" s="6"/>
      <c r="DD3503" s="6"/>
    </row>
    <row r="3504" spans="1:108" s="23" customFormat="1" outlineLevel="2" collapsed="1">
      <c r="A3504" s="104" t="s">
        <v>40</v>
      </c>
      <c r="B3504" s="110" t="str">
        <f>B3507</f>
        <v>Gear2</v>
      </c>
      <c r="C3504" s="27" t="s">
        <v>11</v>
      </c>
      <c r="D3504" s="6" t="str">
        <f>IF(C3504="Yes",("&lt;"&amp;A3504&amp;"&gt;"),("&lt;!--"&amp;A3504&amp;"&gt;"))</f>
        <v>&lt;Component&gt;</v>
      </c>
      <c r="E3504"/>
      <c r="F3504" s="6"/>
      <c r="G3504" s="6"/>
      <c r="H3504" s="6"/>
      <c r="I3504" s="6"/>
      <c r="J3504" s="6"/>
      <c r="K3504" s="6"/>
      <c r="L3504" s="6"/>
      <c r="M3504" s="6"/>
      <c r="N3504" s="6"/>
      <c r="O3504" s="6"/>
      <c r="P3504" s="6"/>
      <c r="Q3504" s="6"/>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c r="BU3504" s="6"/>
      <c r="BV3504" s="6"/>
      <c r="BW3504" s="6"/>
      <c r="BX3504" s="6"/>
      <c r="BY3504" s="6"/>
      <c r="BZ3504" s="6"/>
      <c r="CA3504" s="6"/>
      <c r="CB3504" s="6"/>
      <c r="CC3504" s="6"/>
      <c r="CD3504" s="6"/>
      <c r="CE3504" s="6"/>
      <c r="CF3504" s="6"/>
      <c r="CG3504" s="6"/>
      <c r="CH3504" s="6"/>
      <c r="CI3504" s="6"/>
      <c r="CJ3504" s="6"/>
      <c r="CK3504" s="6"/>
      <c r="CL3504" s="6"/>
      <c r="CM3504" s="6"/>
      <c r="CN3504" s="6"/>
      <c r="CO3504" s="6"/>
      <c r="CP3504" s="6"/>
      <c r="CQ3504" s="6"/>
      <c r="CR3504" s="6"/>
      <c r="CS3504" s="6"/>
      <c r="CT3504" s="6"/>
      <c r="CU3504" s="6"/>
      <c r="CV3504" s="6"/>
      <c r="CW3504" s="6"/>
      <c r="CX3504" s="6"/>
      <c r="CY3504" s="6"/>
      <c r="CZ3504" s="6"/>
      <c r="DA3504" s="6"/>
      <c r="DB3504" s="6"/>
      <c r="DC3504" s="6"/>
      <c r="DD3504" s="6"/>
    </row>
    <row r="3505" spans="1:108" ht="12.75" hidden="1" customHeight="1" outlineLevel="4">
      <c r="A3505" s="104" t="s">
        <v>14</v>
      </c>
      <c r="B3505" s="6" t="s">
        <v>284</v>
      </c>
      <c r="C3505" s="12"/>
      <c r="D3505" s="18" t="str">
        <f>"&lt;" &amp; A3505 &amp; "&gt;" &amp; TEXT(B3505,"0.000000") &amp; "&lt;/" &amp; A3505 &amp; "&gt;"</f>
        <v>&lt;Type&gt;Duct&lt;/Type&gt;</v>
      </c>
      <c r="F3505" s="6"/>
      <c r="G3505" s="6"/>
      <c r="H3505" s="6"/>
      <c r="I3505" s="6"/>
      <c r="J3505" s="6"/>
      <c r="K3505" s="6"/>
      <c r="L3505" s="6"/>
      <c r="M3505" s="6"/>
      <c r="N3505" s="6"/>
      <c r="O3505" s="6"/>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c r="BU3505" s="6"/>
      <c r="BV3505" s="6"/>
      <c r="BW3505" s="6"/>
      <c r="BX3505" s="6"/>
      <c r="BY3505" s="6"/>
      <c r="BZ3505" s="6"/>
      <c r="CA3505" s="6"/>
      <c r="CB3505" s="6"/>
      <c r="CC3505" s="6"/>
      <c r="CD3505" s="6"/>
      <c r="CE3505" s="6"/>
      <c r="CF3505" s="6"/>
      <c r="CG3505" s="6"/>
      <c r="CH3505" s="6"/>
      <c r="CI3505" s="6"/>
      <c r="CJ3505" s="6"/>
      <c r="CK3505" s="6"/>
      <c r="CL3505" s="6"/>
      <c r="CM3505" s="6"/>
      <c r="CN3505" s="6"/>
      <c r="CO3505" s="6"/>
      <c r="CP3505" s="6"/>
      <c r="CQ3505" s="6"/>
      <c r="CR3505" s="6"/>
      <c r="CS3505" s="6"/>
      <c r="CT3505" s="6"/>
      <c r="CU3505" s="6"/>
      <c r="CV3505" s="6"/>
      <c r="CW3505" s="6"/>
      <c r="CX3505" s="6"/>
      <c r="CY3505" s="6"/>
      <c r="CZ3505" s="6"/>
      <c r="DA3505" s="6"/>
      <c r="DB3505" s="6"/>
      <c r="DC3505" s="6"/>
      <c r="DD3505" s="6"/>
    </row>
    <row r="3506" spans="1:108" ht="12.75" hidden="1" customHeight="1" outlineLevel="4">
      <c r="A3506" s="104" t="s">
        <v>42</v>
      </c>
      <c r="C3506" s="12"/>
      <c r="D3506" s="6" t="str">
        <f>"&lt;" &amp; A3506 &amp; "&gt;"</f>
        <v>&lt;General_Parms&gt;</v>
      </c>
      <c r="F3506" s="6"/>
      <c r="G3506" s="6"/>
      <c r="H3506" s="6"/>
      <c r="I3506" s="6"/>
      <c r="J3506" s="6"/>
      <c r="K3506" s="6"/>
      <c r="L3506" s="6"/>
      <c r="M3506" s="6"/>
      <c r="N3506" s="6"/>
      <c r="O3506" s="6"/>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c r="BU3506" s="6"/>
      <c r="BV3506" s="6"/>
      <c r="BW3506" s="6"/>
      <c r="BX3506" s="6"/>
      <c r="BY3506" s="6"/>
      <c r="BZ3506" s="6"/>
      <c r="CA3506" s="6"/>
      <c r="CB3506" s="6"/>
      <c r="CC3506" s="6"/>
      <c r="CD3506" s="6"/>
      <c r="CE3506" s="6"/>
      <c r="CF3506" s="6"/>
      <c r="CG3506" s="6"/>
      <c r="CH3506" s="6"/>
      <c r="CI3506" s="6"/>
      <c r="CJ3506" s="6"/>
      <c r="CK3506" s="6"/>
      <c r="CL3506" s="6"/>
      <c r="CM3506" s="6"/>
      <c r="CN3506" s="6"/>
      <c r="CO3506" s="6"/>
      <c r="CP3506" s="6"/>
      <c r="CQ3506" s="6"/>
      <c r="CR3506" s="6"/>
      <c r="CS3506" s="6"/>
      <c r="CT3506" s="6"/>
      <c r="CU3506" s="6"/>
      <c r="CV3506" s="6"/>
      <c r="CW3506" s="6"/>
      <c r="CX3506" s="6"/>
      <c r="CY3506" s="6"/>
      <c r="CZ3506" s="6"/>
      <c r="DA3506" s="6"/>
      <c r="DB3506" s="6"/>
      <c r="DC3506" s="6"/>
      <c r="DD3506" s="6"/>
    </row>
    <row r="3507" spans="1:108" ht="12.75" hidden="1" customHeight="1" outlineLevel="5">
      <c r="A3507" s="104" t="s">
        <v>1</v>
      </c>
      <c r="B3507" s="119" t="str">
        <f>"Gear2"</f>
        <v>Gear2</v>
      </c>
      <c r="C3507" s="12"/>
      <c r="D3507" s="18" t="str">
        <f>"&lt;" &amp; A3507 &amp; "&gt;" &amp; TEXT(B3507,"0.000000") &amp; "&lt;/" &amp; A3507 &amp; "&gt;"</f>
        <v>&lt;Name&gt;Gear2&lt;/Name&gt;</v>
      </c>
      <c r="F3507" s="6"/>
      <c r="G3507" s="6"/>
      <c r="H3507" s="6"/>
      <c r="I3507" s="6"/>
      <c r="J3507" s="6"/>
      <c r="K3507" s="6"/>
      <c r="L3507" s="6"/>
      <c r="M3507" s="6"/>
      <c r="N3507" s="6"/>
      <c r="O3507" s="6"/>
      <c r="P3507" s="6"/>
      <c r="Q3507" s="6"/>
      <c r="R3507" s="6"/>
      <c r="S3507" s="6"/>
      <c r="T3507" s="6"/>
      <c r="U3507" s="6"/>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c r="BU3507" s="6"/>
      <c r="BV3507" s="6"/>
      <c r="BW3507" s="6"/>
      <c r="BX3507" s="6"/>
      <c r="BY3507" s="6"/>
      <c r="BZ3507" s="6"/>
      <c r="CA3507" s="6"/>
      <c r="CB3507" s="6"/>
      <c r="CC3507" s="6"/>
      <c r="CD3507" s="6"/>
      <c r="CE3507" s="6"/>
      <c r="CF3507" s="6"/>
      <c r="CG3507" s="6"/>
      <c r="CH3507" s="6"/>
      <c r="CI3507" s="6"/>
      <c r="CJ3507" s="6"/>
      <c r="CK3507" s="6"/>
      <c r="CL3507" s="6"/>
      <c r="CM3507" s="6"/>
      <c r="CN3507" s="6"/>
      <c r="CO3507" s="6"/>
      <c r="CP3507" s="6"/>
      <c r="CQ3507" s="6"/>
      <c r="CR3507" s="6"/>
      <c r="CS3507" s="6"/>
      <c r="CT3507" s="6"/>
      <c r="CU3507" s="6"/>
      <c r="CV3507" s="6"/>
      <c r="CW3507" s="6"/>
      <c r="CX3507" s="6"/>
      <c r="CY3507" s="6"/>
      <c r="CZ3507" s="6"/>
      <c r="DA3507" s="6"/>
      <c r="DB3507" s="6"/>
      <c r="DC3507" s="6"/>
      <c r="DD3507" s="6"/>
    </row>
    <row r="3508" spans="1:108" ht="12.75" hidden="1" customHeight="1" outlineLevel="5">
      <c r="A3508" s="104" t="s">
        <v>43</v>
      </c>
      <c r="B3508" s="105">
        <f>B3346</f>
        <v>127</v>
      </c>
      <c r="C3508" s="12"/>
      <c r="D3508" s="18" t="str">
        <f>"&lt;" &amp; A3508 &amp; "&gt;" &amp; TEXT(B3508,"0.000000") &amp; "&lt;/" &amp; A3508 &amp; "&gt;"</f>
        <v>&lt;ColorR&gt;127.000000&lt;/ColorR&gt;</v>
      </c>
      <c r="F3508" s="6"/>
      <c r="G3508" s="6"/>
      <c r="H3508" s="6"/>
      <c r="I3508" s="6"/>
      <c r="J3508" s="6"/>
      <c r="K3508" s="6"/>
      <c r="L3508" s="6"/>
      <c r="M3508" s="6"/>
      <c r="N3508" s="6"/>
      <c r="O3508" s="6"/>
      <c r="P3508" s="6"/>
      <c r="Q3508" s="6"/>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c r="BU3508" s="6"/>
      <c r="BV3508" s="6"/>
      <c r="BW3508" s="6"/>
      <c r="BX3508" s="6"/>
      <c r="BY3508" s="6"/>
      <c r="BZ3508" s="6"/>
      <c r="CA3508" s="6"/>
      <c r="CB3508" s="6"/>
      <c r="CC3508" s="6"/>
      <c r="CD3508" s="6"/>
      <c r="CE3508" s="6"/>
      <c r="CF3508" s="6"/>
      <c r="CG3508" s="6"/>
      <c r="CH3508" s="6"/>
      <c r="CI3508" s="6"/>
      <c r="CJ3508" s="6"/>
      <c r="CK3508" s="6"/>
      <c r="CL3508" s="6"/>
      <c r="CM3508" s="6"/>
      <c r="CN3508" s="6"/>
      <c r="CO3508" s="6"/>
      <c r="CP3508" s="6"/>
      <c r="CQ3508" s="6"/>
      <c r="CR3508" s="6"/>
      <c r="CS3508" s="6"/>
      <c r="CT3508" s="6"/>
      <c r="CU3508" s="6"/>
      <c r="CV3508" s="6"/>
      <c r="CW3508" s="6"/>
      <c r="CX3508" s="6"/>
      <c r="CY3508" s="6"/>
      <c r="CZ3508" s="6"/>
      <c r="DA3508" s="6"/>
      <c r="DB3508" s="6"/>
      <c r="DC3508" s="6"/>
      <c r="DD3508" s="6"/>
    </row>
    <row r="3509" spans="1:108" ht="12.75" hidden="1" customHeight="1" outlineLevel="5">
      <c r="A3509" s="104" t="s">
        <v>44</v>
      </c>
      <c r="B3509" s="105">
        <f t="shared" ref="B3509:B3520" si="209">B3347</f>
        <v>127</v>
      </c>
      <c r="C3509" s="12"/>
      <c r="D3509" s="18" t="str">
        <f>"&lt;" &amp; A3509 &amp; "&gt;" &amp; TEXT(B3509,"0.000000") &amp; "&lt;/" &amp; A3509 &amp; "&gt;"</f>
        <v>&lt;ColorG&gt;127.000000&lt;/ColorG&gt;</v>
      </c>
      <c r="F3509" s="6"/>
      <c r="G3509" s="6"/>
      <c r="H3509" s="6"/>
      <c r="I3509" s="6"/>
      <c r="J3509" s="6"/>
      <c r="K3509" s="6"/>
      <c r="L3509" s="6"/>
      <c r="M3509" s="6"/>
      <c r="N3509" s="6"/>
      <c r="O3509" s="6"/>
      <c r="P3509" s="6"/>
      <c r="Q3509" s="6"/>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c r="BU3509" s="6"/>
      <c r="BV3509" s="6"/>
      <c r="BW3509" s="6"/>
      <c r="BX3509" s="6"/>
      <c r="BY3509" s="6"/>
      <c r="BZ3509" s="6"/>
      <c r="CA3509" s="6"/>
      <c r="CB3509" s="6"/>
      <c r="CC3509" s="6"/>
      <c r="CD3509" s="6"/>
      <c r="CE3509" s="6"/>
      <c r="CF3509" s="6"/>
      <c r="CG3509" s="6"/>
      <c r="CH3509" s="6"/>
      <c r="CI3509" s="6"/>
      <c r="CJ3509" s="6"/>
      <c r="CK3509" s="6"/>
      <c r="CL3509" s="6"/>
      <c r="CM3509" s="6"/>
      <c r="CN3509" s="6"/>
      <c r="CO3509" s="6"/>
      <c r="CP3509" s="6"/>
      <c r="CQ3509" s="6"/>
      <c r="CR3509" s="6"/>
      <c r="CS3509" s="6"/>
      <c r="CT3509" s="6"/>
      <c r="CU3509" s="6"/>
      <c r="CV3509" s="6"/>
      <c r="CW3509" s="6"/>
      <c r="CX3509" s="6"/>
      <c r="CY3509" s="6"/>
      <c r="CZ3509" s="6"/>
      <c r="DA3509" s="6"/>
      <c r="DB3509" s="6"/>
      <c r="DC3509" s="6"/>
      <c r="DD3509" s="6"/>
    </row>
    <row r="3510" spans="1:108" ht="12.75" hidden="1" customHeight="1" outlineLevel="5">
      <c r="A3510" s="104" t="s">
        <v>45</v>
      </c>
      <c r="B3510" s="105">
        <f t="shared" si="209"/>
        <v>127</v>
      </c>
      <c r="C3510" s="12"/>
      <c r="D3510" s="18" t="str">
        <f>"&lt;" &amp; A3510 &amp; "&gt;" &amp; TEXT(B3510,"0.000000") &amp; "&lt;/" &amp; A3510 &amp; "&gt;"</f>
        <v>&lt;ColorB&gt;127.000000&lt;/ColorB&gt;</v>
      </c>
      <c r="F3510" s="6"/>
      <c r="G3510" s="6"/>
      <c r="H3510" s="6"/>
      <c r="I3510" s="6"/>
      <c r="J3510" s="6"/>
      <c r="K3510" s="6"/>
      <c r="L3510" s="6"/>
      <c r="M3510" s="6"/>
      <c r="N3510" s="6"/>
      <c r="O3510" s="6"/>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c r="BU3510" s="6"/>
      <c r="BV3510" s="6"/>
      <c r="BW3510" s="6"/>
      <c r="BX3510" s="6"/>
      <c r="BY3510" s="6"/>
      <c r="BZ3510" s="6"/>
      <c r="CA3510" s="6"/>
      <c r="CB3510" s="6"/>
      <c r="CC3510" s="6"/>
      <c r="CD3510" s="6"/>
      <c r="CE3510" s="6"/>
      <c r="CF3510" s="6"/>
      <c r="CG3510" s="6"/>
      <c r="CH3510" s="6"/>
      <c r="CI3510" s="6"/>
      <c r="CJ3510" s="6"/>
      <c r="CK3510" s="6"/>
      <c r="CL3510" s="6"/>
      <c r="CM3510" s="6"/>
      <c r="CN3510" s="6"/>
      <c r="CO3510" s="6"/>
      <c r="CP3510" s="6"/>
      <c r="CQ3510" s="6"/>
      <c r="CR3510" s="6"/>
      <c r="CS3510" s="6"/>
      <c r="CT3510" s="6"/>
      <c r="CU3510" s="6"/>
      <c r="CV3510" s="6"/>
      <c r="CW3510" s="6"/>
      <c r="CX3510" s="6"/>
      <c r="CY3510" s="6"/>
      <c r="CZ3510" s="6"/>
      <c r="DA3510" s="6"/>
      <c r="DB3510" s="6"/>
      <c r="DC3510" s="6"/>
      <c r="DD3510" s="6"/>
    </row>
    <row r="3511" spans="1:108" ht="12.75" hidden="1" customHeight="1" outlineLevel="5">
      <c r="A3511" s="104" t="s">
        <v>46</v>
      </c>
      <c r="B3511" s="105">
        <f t="shared" si="209"/>
        <v>0</v>
      </c>
      <c r="C3511" s="12"/>
      <c r="D3511" s="18" t="str">
        <f t="shared" ref="D3511:D3520" si="210">"&lt;" &amp; A3511 &amp; "&gt;" &amp; TEXT(B3511,0) &amp; "&lt;/" &amp; A3511 &amp; "&gt;"</f>
        <v>&lt;Symmetry&gt;0&lt;/Symmetry&gt;</v>
      </c>
      <c r="F3511" s="6"/>
      <c r="G3511" s="6"/>
      <c r="H3511" s="6"/>
      <c r="I3511" s="6"/>
      <c r="J3511" s="6"/>
      <c r="K3511" s="6"/>
      <c r="L3511" s="6"/>
      <c r="M3511" s="6"/>
      <c r="N3511" s="6"/>
      <c r="O3511" s="6"/>
      <c r="P3511" s="6"/>
      <c r="Q3511" s="6"/>
      <c r="R3511" s="6"/>
      <c r="S3511" s="6"/>
      <c r="T3511" s="6"/>
      <c r="U3511" s="6"/>
      <c r="V3511" s="6"/>
      <c r="W3511" s="6"/>
      <c r="X3511" s="6"/>
      <c r="Y3511" s="6"/>
      <c r="Z3511" s="6"/>
      <c r="AA3511" s="6"/>
      <c r="AB3511" s="6"/>
      <c r="AC3511" s="6"/>
      <c r="AD3511" s="6"/>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c r="BU3511" s="6"/>
      <c r="BV3511" s="6"/>
      <c r="BW3511" s="6"/>
      <c r="BX3511" s="6"/>
      <c r="BY3511" s="6"/>
      <c r="BZ3511" s="6"/>
      <c r="CA3511" s="6"/>
      <c r="CB3511" s="6"/>
      <c r="CC3511" s="6"/>
      <c r="CD3511" s="6"/>
      <c r="CE3511" s="6"/>
      <c r="CF3511" s="6"/>
      <c r="CG3511" s="6"/>
      <c r="CH3511" s="6"/>
      <c r="CI3511" s="6"/>
      <c r="CJ3511" s="6"/>
      <c r="CK3511" s="6"/>
      <c r="CL3511" s="6"/>
      <c r="CM3511" s="6"/>
      <c r="CN3511" s="6"/>
      <c r="CO3511" s="6"/>
      <c r="CP3511" s="6"/>
      <c r="CQ3511" s="6"/>
      <c r="CR3511" s="6"/>
      <c r="CS3511" s="6"/>
      <c r="CT3511" s="6"/>
      <c r="CU3511" s="6"/>
      <c r="CV3511" s="6"/>
      <c r="CW3511" s="6"/>
      <c r="CX3511" s="6"/>
      <c r="CY3511" s="6"/>
      <c r="CZ3511" s="6"/>
      <c r="DA3511" s="6"/>
      <c r="DB3511" s="6"/>
      <c r="DC3511" s="6"/>
      <c r="DD3511" s="6"/>
    </row>
    <row r="3512" spans="1:108" ht="12.75" hidden="1" customHeight="1" outlineLevel="5">
      <c r="A3512" s="104" t="s">
        <v>47</v>
      </c>
      <c r="B3512" s="105">
        <f t="shared" si="209"/>
        <v>0</v>
      </c>
      <c r="C3512" s="12"/>
      <c r="D3512" s="18" t="str">
        <f t="shared" si="210"/>
        <v>&lt;RelXFormFlag&gt;0&lt;/RelXFormFlag&gt;</v>
      </c>
      <c r="F3512" s="6"/>
      <c r="G3512" s="6"/>
      <c r="H3512" s="6"/>
      <c r="I3512" s="6"/>
      <c r="J3512" s="6"/>
      <c r="K3512" s="6"/>
      <c r="L3512" s="6"/>
      <c r="M3512" s="6"/>
      <c r="N3512" s="6"/>
      <c r="O3512" s="6"/>
      <c r="P3512" s="6"/>
      <c r="Q3512" s="6"/>
      <c r="R3512" s="6"/>
      <c r="S3512" s="6"/>
      <c r="T3512" s="6"/>
      <c r="U3512" s="6"/>
      <c r="V3512" s="6"/>
      <c r="W3512" s="6"/>
      <c r="X3512" s="6"/>
      <c r="Y3512" s="6"/>
      <c r="Z3512" s="6"/>
      <c r="AA3512" s="6"/>
      <c r="AB3512" s="6"/>
      <c r="AC3512" s="6"/>
      <c r="AD3512" s="6"/>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c r="BU3512" s="6"/>
      <c r="BV3512" s="6"/>
      <c r="BW3512" s="6"/>
      <c r="BX3512" s="6"/>
      <c r="BY3512" s="6"/>
      <c r="BZ3512" s="6"/>
      <c r="CA3512" s="6"/>
      <c r="CB3512" s="6"/>
      <c r="CC3512" s="6"/>
      <c r="CD3512" s="6"/>
      <c r="CE3512" s="6"/>
      <c r="CF3512" s="6"/>
      <c r="CG3512" s="6"/>
      <c r="CH3512" s="6"/>
      <c r="CI3512" s="6"/>
      <c r="CJ3512" s="6"/>
      <c r="CK3512" s="6"/>
      <c r="CL3512" s="6"/>
      <c r="CM3512" s="6"/>
      <c r="CN3512" s="6"/>
      <c r="CO3512" s="6"/>
      <c r="CP3512" s="6"/>
      <c r="CQ3512" s="6"/>
      <c r="CR3512" s="6"/>
      <c r="CS3512" s="6"/>
      <c r="CT3512" s="6"/>
      <c r="CU3512" s="6"/>
      <c r="CV3512" s="6"/>
      <c r="CW3512" s="6"/>
      <c r="CX3512" s="6"/>
      <c r="CY3512" s="6"/>
      <c r="CZ3512" s="6"/>
      <c r="DA3512" s="6"/>
      <c r="DB3512" s="6"/>
      <c r="DC3512" s="6"/>
      <c r="DD3512" s="6"/>
    </row>
    <row r="3513" spans="1:108" ht="12.75" hidden="1" customHeight="1" outlineLevel="5">
      <c r="A3513" s="104" t="s">
        <v>48</v>
      </c>
      <c r="B3513" s="105">
        <f t="shared" si="209"/>
        <v>0</v>
      </c>
      <c r="C3513" s="12"/>
      <c r="D3513" s="18" t="str">
        <f t="shared" si="210"/>
        <v>&lt;MaterialID&gt;0&lt;/MaterialID&gt;</v>
      </c>
      <c r="F3513" s="6"/>
      <c r="G3513" s="6"/>
      <c r="H3513" s="6"/>
      <c r="I3513" s="6"/>
      <c r="J3513" s="6"/>
      <c r="K3513" s="6"/>
      <c r="L3513" s="6"/>
      <c r="M3513" s="6"/>
      <c r="N3513" s="6"/>
      <c r="O3513" s="6"/>
      <c r="P3513" s="6"/>
      <c r="Q3513" s="6"/>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c r="BU3513" s="6"/>
      <c r="BV3513" s="6"/>
      <c r="BW3513" s="6"/>
      <c r="BX3513" s="6"/>
      <c r="BY3513" s="6"/>
      <c r="BZ3513" s="6"/>
      <c r="CA3513" s="6"/>
      <c r="CB3513" s="6"/>
      <c r="CC3513" s="6"/>
      <c r="CD3513" s="6"/>
      <c r="CE3513" s="6"/>
      <c r="CF3513" s="6"/>
      <c r="CG3513" s="6"/>
      <c r="CH3513" s="6"/>
      <c r="CI3513" s="6"/>
      <c r="CJ3513" s="6"/>
      <c r="CK3513" s="6"/>
      <c r="CL3513" s="6"/>
      <c r="CM3513" s="6"/>
      <c r="CN3513" s="6"/>
      <c r="CO3513" s="6"/>
      <c r="CP3513" s="6"/>
      <c r="CQ3513" s="6"/>
      <c r="CR3513" s="6"/>
      <c r="CS3513" s="6"/>
      <c r="CT3513" s="6"/>
      <c r="CU3513" s="6"/>
      <c r="CV3513" s="6"/>
      <c r="CW3513" s="6"/>
      <c r="CX3513" s="6"/>
      <c r="CY3513" s="6"/>
      <c r="CZ3513" s="6"/>
      <c r="DA3513" s="6"/>
      <c r="DB3513" s="6"/>
      <c r="DC3513" s="6"/>
      <c r="DD3513" s="6"/>
    </row>
    <row r="3514" spans="1:108" ht="12.75" hidden="1" customHeight="1" outlineLevel="5">
      <c r="A3514" s="104" t="s">
        <v>49</v>
      </c>
      <c r="B3514" s="105">
        <f t="shared" si="209"/>
        <v>1</v>
      </c>
      <c r="C3514" s="12"/>
      <c r="D3514" s="18" t="str">
        <f t="shared" si="210"/>
        <v>&lt;OutputFlag&gt;1&lt;/OutputFlag&gt;</v>
      </c>
      <c r="F3514" s="6"/>
      <c r="G3514" s="6"/>
      <c r="H3514" s="6"/>
      <c r="I3514" s="6"/>
      <c r="J3514" s="6"/>
      <c r="K3514" s="6"/>
      <c r="L3514" s="6"/>
      <c r="M3514" s="6"/>
      <c r="N3514" s="6"/>
      <c r="O3514" s="6"/>
      <c r="P3514" s="6"/>
      <c r="Q3514" s="6"/>
      <c r="R3514" s="6"/>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c r="BU3514" s="6"/>
      <c r="BV3514" s="6"/>
      <c r="BW3514" s="6"/>
      <c r="BX3514" s="6"/>
      <c r="BY3514" s="6"/>
      <c r="BZ3514" s="6"/>
      <c r="CA3514" s="6"/>
      <c r="CB3514" s="6"/>
      <c r="CC3514" s="6"/>
      <c r="CD3514" s="6"/>
      <c r="CE3514" s="6"/>
      <c r="CF3514" s="6"/>
      <c r="CG3514" s="6"/>
      <c r="CH3514" s="6"/>
      <c r="CI3514" s="6"/>
      <c r="CJ3514" s="6"/>
      <c r="CK3514" s="6"/>
      <c r="CL3514" s="6"/>
      <c r="CM3514" s="6"/>
      <c r="CN3514" s="6"/>
      <c r="CO3514" s="6"/>
      <c r="CP3514" s="6"/>
      <c r="CQ3514" s="6"/>
      <c r="CR3514" s="6"/>
      <c r="CS3514" s="6"/>
      <c r="CT3514" s="6"/>
      <c r="CU3514" s="6"/>
      <c r="CV3514" s="6"/>
      <c r="CW3514" s="6"/>
      <c r="CX3514" s="6"/>
      <c r="CY3514" s="6"/>
      <c r="CZ3514" s="6"/>
      <c r="DA3514" s="6"/>
      <c r="DB3514" s="6"/>
      <c r="DC3514" s="6"/>
      <c r="DD3514" s="6"/>
    </row>
    <row r="3515" spans="1:108" ht="12.75" hidden="1" customHeight="1" outlineLevel="5">
      <c r="A3515" s="104" t="s">
        <v>50</v>
      </c>
      <c r="B3515" s="105">
        <f t="shared" si="209"/>
        <v>0</v>
      </c>
      <c r="C3515" s="12"/>
      <c r="D3515" s="18" t="str">
        <f t="shared" si="210"/>
        <v>&lt;OutputNameID&gt;0&lt;/OutputNameID&gt;</v>
      </c>
      <c r="F3515" s="6"/>
      <c r="G3515" s="6"/>
      <c r="H3515" s="6"/>
      <c r="I3515" s="6"/>
      <c r="J3515" s="6"/>
      <c r="K3515" s="6"/>
      <c r="L3515" s="6"/>
      <c r="M3515" s="6"/>
      <c r="N3515" s="6"/>
      <c r="O3515" s="6"/>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c r="BU3515" s="6"/>
      <c r="BV3515" s="6"/>
      <c r="BW3515" s="6"/>
      <c r="BX3515" s="6"/>
      <c r="BY3515" s="6"/>
      <c r="BZ3515" s="6"/>
      <c r="CA3515" s="6"/>
      <c r="CB3515" s="6"/>
      <c r="CC3515" s="6"/>
      <c r="CD3515" s="6"/>
      <c r="CE3515" s="6"/>
      <c r="CF3515" s="6"/>
      <c r="CG3515" s="6"/>
      <c r="CH3515" s="6"/>
      <c r="CI3515" s="6"/>
      <c r="CJ3515" s="6"/>
      <c r="CK3515" s="6"/>
      <c r="CL3515" s="6"/>
      <c r="CM3515" s="6"/>
      <c r="CN3515" s="6"/>
      <c r="CO3515" s="6"/>
      <c r="CP3515" s="6"/>
      <c r="CQ3515" s="6"/>
      <c r="CR3515" s="6"/>
      <c r="CS3515" s="6"/>
      <c r="CT3515" s="6"/>
      <c r="CU3515" s="6"/>
      <c r="CV3515" s="6"/>
      <c r="CW3515" s="6"/>
      <c r="CX3515" s="6"/>
      <c r="CY3515" s="6"/>
      <c r="CZ3515" s="6"/>
      <c r="DA3515" s="6"/>
      <c r="DB3515" s="6"/>
      <c r="DC3515" s="6"/>
      <c r="DD3515" s="6"/>
    </row>
    <row r="3516" spans="1:108" ht="12.75" hidden="1" customHeight="1" outlineLevel="5">
      <c r="A3516" s="104" t="s">
        <v>51</v>
      </c>
      <c r="B3516" s="105">
        <f t="shared" si="209"/>
        <v>1</v>
      </c>
      <c r="C3516" s="12"/>
      <c r="D3516" s="18" t="str">
        <f t="shared" si="210"/>
        <v>&lt;DisplayChildrenFlag&gt;1&lt;/DisplayChildrenFlag&gt;</v>
      </c>
      <c r="F3516" s="6"/>
      <c r="G3516" s="6"/>
      <c r="H3516" s="6"/>
      <c r="I3516" s="6"/>
      <c r="J3516" s="6"/>
      <c r="K3516" s="6"/>
      <c r="L3516" s="6"/>
      <c r="M3516" s="6"/>
      <c r="N3516" s="6"/>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c r="BU3516" s="6"/>
      <c r="BV3516" s="6"/>
      <c r="BW3516" s="6"/>
      <c r="BX3516" s="6"/>
      <c r="BY3516" s="6"/>
      <c r="BZ3516" s="6"/>
      <c r="CA3516" s="6"/>
      <c r="CB3516" s="6"/>
      <c r="CC3516" s="6"/>
      <c r="CD3516" s="6"/>
      <c r="CE3516" s="6"/>
      <c r="CF3516" s="6"/>
      <c r="CG3516" s="6"/>
      <c r="CH3516" s="6"/>
      <c r="CI3516" s="6"/>
      <c r="CJ3516" s="6"/>
      <c r="CK3516" s="6"/>
      <c r="CL3516" s="6"/>
      <c r="CM3516" s="6"/>
      <c r="CN3516" s="6"/>
      <c r="CO3516" s="6"/>
      <c r="CP3516" s="6"/>
      <c r="CQ3516" s="6"/>
      <c r="CR3516" s="6"/>
      <c r="CS3516" s="6"/>
      <c r="CT3516" s="6"/>
      <c r="CU3516" s="6"/>
      <c r="CV3516" s="6"/>
      <c r="CW3516" s="6"/>
      <c r="CX3516" s="6"/>
      <c r="CY3516" s="6"/>
      <c r="CZ3516" s="6"/>
      <c r="DA3516" s="6"/>
      <c r="DB3516" s="6"/>
      <c r="DC3516" s="6"/>
      <c r="DD3516" s="6"/>
    </row>
    <row r="3517" spans="1:108" ht="12.75" hidden="1" customHeight="1" outlineLevel="5">
      <c r="A3517" s="104" t="s">
        <v>52</v>
      </c>
      <c r="B3517" s="105">
        <f t="shared" si="209"/>
        <v>21</v>
      </c>
      <c r="C3517" s="12"/>
      <c r="D3517" s="18" t="str">
        <f t="shared" si="210"/>
        <v>&lt;NumPnts&gt;21&lt;/NumPnts&gt;</v>
      </c>
      <c r="F3517" s="6"/>
      <c r="G3517" s="6"/>
      <c r="H3517" s="6"/>
      <c r="I3517" s="6"/>
      <c r="J3517" s="6"/>
      <c r="K3517" s="6"/>
      <c r="L3517" s="6"/>
      <c r="M3517" s="6"/>
      <c r="N3517" s="6"/>
      <c r="O3517" s="6"/>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c r="BU3517" s="6"/>
      <c r="BV3517" s="6"/>
      <c r="BW3517" s="6"/>
      <c r="BX3517" s="6"/>
      <c r="BY3517" s="6"/>
      <c r="BZ3517" s="6"/>
      <c r="CA3517" s="6"/>
      <c r="CB3517" s="6"/>
      <c r="CC3517" s="6"/>
      <c r="CD3517" s="6"/>
      <c r="CE3517" s="6"/>
      <c r="CF3517" s="6"/>
      <c r="CG3517" s="6"/>
      <c r="CH3517" s="6"/>
      <c r="CI3517" s="6"/>
      <c r="CJ3517" s="6"/>
      <c r="CK3517" s="6"/>
      <c r="CL3517" s="6"/>
      <c r="CM3517" s="6"/>
      <c r="CN3517" s="6"/>
      <c r="CO3517" s="6"/>
      <c r="CP3517" s="6"/>
      <c r="CQ3517" s="6"/>
      <c r="CR3517" s="6"/>
      <c r="CS3517" s="6"/>
      <c r="CT3517" s="6"/>
      <c r="CU3517" s="6"/>
      <c r="CV3517" s="6"/>
      <c r="CW3517" s="6"/>
      <c r="CX3517" s="6"/>
      <c r="CY3517" s="6"/>
      <c r="CZ3517" s="6"/>
      <c r="DA3517" s="6"/>
      <c r="DB3517" s="6"/>
      <c r="DC3517" s="6"/>
      <c r="DD3517" s="6"/>
    </row>
    <row r="3518" spans="1:108" ht="12.75" hidden="1" customHeight="1" outlineLevel="5">
      <c r="A3518" s="104" t="s">
        <v>53</v>
      </c>
      <c r="B3518" s="105">
        <f t="shared" si="209"/>
        <v>41</v>
      </c>
      <c r="C3518" s="12"/>
      <c r="D3518" s="18" t="str">
        <f t="shared" si="210"/>
        <v>&lt;NumXsecs&gt;41&lt;/NumXsecs&gt;</v>
      </c>
      <c r="F3518" s="6"/>
      <c r="G3518" s="6"/>
      <c r="H3518" s="6"/>
      <c r="I3518" s="6"/>
      <c r="J3518" s="6"/>
      <c r="K3518" s="6"/>
      <c r="L3518" s="6"/>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c r="BU3518" s="6"/>
      <c r="BV3518" s="6"/>
      <c r="BW3518" s="6"/>
      <c r="BX3518" s="6"/>
      <c r="BY3518" s="6"/>
      <c r="BZ3518" s="6"/>
      <c r="CA3518" s="6"/>
      <c r="CB3518" s="6"/>
      <c r="CC3518" s="6"/>
      <c r="CD3518" s="6"/>
      <c r="CE3518" s="6"/>
      <c r="CF3518" s="6"/>
      <c r="CG3518" s="6"/>
      <c r="CH3518" s="6"/>
      <c r="CI3518" s="6"/>
      <c r="CJ3518" s="6"/>
      <c r="CK3518" s="6"/>
      <c r="CL3518" s="6"/>
      <c r="CM3518" s="6"/>
      <c r="CN3518" s="6"/>
      <c r="CO3518" s="6"/>
      <c r="CP3518" s="6"/>
      <c r="CQ3518" s="6"/>
      <c r="CR3518" s="6"/>
      <c r="CS3518" s="6"/>
      <c r="CT3518" s="6"/>
      <c r="CU3518" s="6"/>
      <c r="CV3518" s="6"/>
      <c r="CW3518" s="6"/>
      <c r="CX3518" s="6"/>
      <c r="CY3518" s="6"/>
      <c r="CZ3518" s="6"/>
      <c r="DA3518" s="6"/>
      <c r="DB3518" s="6"/>
      <c r="DC3518" s="6"/>
      <c r="DD3518" s="6"/>
    </row>
    <row r="3519" spans="1:108" ht="12.75" hidden="1" customHeight="1" outlineLevel="5">
      <c r="A3519" s="104" t="s">
        <v>54</v>
      </c>
      <c r="B3519" s="105">
        <f t="shared" si="209"/>
        <v>0</v>
      </c>
      <c r="C3519" s="12"/>
      <c r="D3519" s="18" t="str">
        <f t="shared" si="210"/>
        <v>&lt;MassPrior&gt;0&lt;/MassPrior&gt;</v>
      </c>
      <c r="F3519" s="6"/>
      <c r="G3519" s="6"/>
      <c r="H3519" s="6"/>
      <c r="I3519" s="6"/>
      <c r="J3519" s="6"/>
      <c r="K3519" s="6"/>
      <c r="L3519" s="6"/>
      <c r="M3519" s="6"/>
      <c r="N3519" s="6"/>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c r="BU3519" s="6"/>
      <c r="BV3519" s="6"/>
      <c r="BW3519" s="6"/>
      <c r="BX3519" s="6"/>
      <c r="BY3519" s="6"/>
      <c r="BZ3519" s="6"/>
      <c r="CA3519" s="6"/>
      <c r="CB3519" s="6"/>
      <c r="CC3519" s="6"/>
      <c r="CD3519" s="6"/>
      <c r="CE3519" s="6"/>
      <c r="CF3519" s="6"/>
      <c r="CG3519" s="6"/>
      <c r="CH3519" s="6"/>
      <c r="CI3519" s="6"/>
      <c r="CJ3519" s="6"/>
      <c r="CK3519" s="6"/>
      <c r="CL3519" s="6"/>
      <c r="CM3519" s="6"/>
      <c r="CN3519" s="6"/>
      <c r="CO3519" s="6"/>
      <c r="CP3519" s="6"/>
      <c r="CQ3519" s="6"/>
      <c r="CR3519" s="6"/>
      <c r="CS3519" s="6"/>
      <c r="CT3519" s="6"/>
      <c r="CU3519" s="6"/>
      <c r="CV3519" s="6"/>
      <c r="CW3519" s="6"/>
      <c r="CX3519" s="6"/>
      <c r="CY3519" s="6"/>
      <c r="CZ3519" s="6"/>
      <c r="DA3519" s="6"/>
      <c r="DB3519" s="6"/>
      <c r="DC3519" s="6"/>
      <c r="DD3519" s="6"/>
    </row>
    <row r="3520" spans="1:108" ht="12.75" hidden="1" customHeight="1" outlineLevel="5">
      <c r="A3520" s="104" t="s">
        <v>55</v>
      </c>
      <c r="B3520" s="105">
        <f t="shared" si="209"/>
        <v>0</v>
      </c>
      <c r="C3520" s="12"/>
      <c r="D3520" s="18" t="str">
        <f t="shared" si="210"/>
        <v>&lt;ShellFlag&gt;0&lt;/ShellFlag&gt;</v>
      </c>
      <c r="F3520" s="6"/>
      <c r="G3520" s="6"/>
      <c r="H3520" s="6"/>
      <c r="I3520" s="6"/>
      <c r="J3520" s="6"/>
      <c r="K3520" s="6"/>
      <c r="L3520" s="6"/>
      <c r="M3520" s="6"/>
      <c r="N3520" s="6"/>
      <c r="O3520" s="6"/>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c r="BU3520" s="6"/>
      <c r="BV3520" s="6"/>
      <c r="BW3520" s="6"/>
      <c r="BX3520" s="6"/>
      <c r="BY3520" s="6"/>
      <c r="BZ3520" s="6"/>
      <c r="CA3520" s="6"/>
      <c r="CB3520" s="6"/>
      <c r="CC3520" s="6"/>
      <c r="CD3520" s="6"/>
      <c r="CE3520" s="6"/>
      <c r="CF3520" s="6"/>
      <c r="CG3520" s="6"/>
      <c r="CH3520" s="6"/>
      <c r="CI3520" s="6"/>
      <c r="CJ3520" s="6"/>
      <c r="CK3520" s="6"/>
      <c r="CL3520" s="6"/>
      <c r="CM3520" s="6"/>
      <c r="CN3520" s="6"/>
      <c r="CO3520" s="6"/>
      <c r="CP3520" s="6"/>
      <c r="CQ3520" s="6"/>
      <c r="CR3520" s="6"/>
      <c r="CS3520" s="6"/>
      <c r="CT3520" s="6"/>
      <c r="CU3520" s="6"/>
      <c r="CV3520" s="6"/>
      <c r="CW3520" s="6"/>
      <c r="CX3520" s="6"/>
      <c r="CY3520" s="6"/>
      <c r="CZ3520" s="6"/>
      <c r="DA3520" s="6"/>
      <c r="DB3520" s="6"/>
      <c r="DC3520" s="6"/>
      <c r="DD3520" s="6"/>
    </row>
    <row r="3521" spans="1:108" ht="12.75" hidden="1" customHeight="1" outlineLevel="5">
      <c r="A3521" s="104" t="s">
        <v>56</v>
      </c>
      <c r="B3521" s="92">
        <f>pos_LG3.x</f>
        <v>3.96</v>
      </c>
      <c r="C3521" s="12"/>
      <c r="D3521" s="18" t="str">
        <f t="shared" ref="D3521:D3535" si="211">"&lt;" &amp; A3521 &amp; "&gt;" &amp; TEXT(B3521,"0.000000") &amp; "&lt;/" &amp; A3521 &amp; "&gt;"</f>
        <v>&lt;Tran_X&gt;3.960000&lt;/Tran_X&gt;</v>
      </c>
      <c r="F3521" s="6"/>
      <c r="G3521" s="6"/>
      <c r="H3521" s="6"/>
      <c r="I3521" s="6"/>
      <c r="J3521" s="6"/>
      <c r="K3521" s="6"/>
      <c r="L3521" s="6"/>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c r="BU3521" s="6"/>
      <c r="BV3521" s="6"/>
      <c r="BW3521" s="6"/>
      <c r="BX3521" s="6"/>
      <c r="BY3521" s="6"/>
      <c r="BZ3521" s="6"/>
      <c r="CA3521" s="6"/>
      <c r="CB3521" s="6"/>
      <c r="CC3521" s="6"/>
      <c r="CD3521" s="6"/>
      <c r="CE3521" s="6"/>
      <c r="CF3521" s="6"/>
      <c r="CG3521" s="6"/>
      <c r="CH3521" s="6"/>
      <c r="CI3521" s="6"/>
      <c r="CJ3521" s="6"/>
      <c r="CK3521" s="6"/>
      <c r="CL3521" s="6"/>
      <c r="CM3521" s="6"/>
      <c r="CN3521" s="6"/>
      <c r="CO3521" s="6"/>
      <c r="CP3521" s="6"/>
      <c r="CQ3521" s="6"/>
      <c r="CR3521" s="6"/>
      <c r="CS3521" s="6"/>
      <c r="CT3521" s="6"/>
      <c r="CU3521" s="6"/>
      <c r="CV3521" s="6"/>
      <c r="CW3521" s="6"/>
      <c r="CX3521" s="6"/>
      <c r="CY3521" s="6"/>
      <c r="CZ3521" s="6"/>
      <c r="DA3521" s="6"/>
      <c r="DB3521" s="6"/>
      <c r="DC3521" s="6"/>
      <c r="DD3521" s="6"/>
    </row>
    <row r="3522" spans="1:108" ht="12.75" hidden="1" customHeight="1" outlineLevel="5">
      <c r="A3522" s="104" t="s">
        <v>57</v>
      </c>
      <c r="B3522" s="92">
        <f>pos_LG3.y</f>
        <v>-0.15</v>
      </c>
      <c r="C3522" s="12"/>
      <c r="D3522" s="18" t="str">
        <f t="shared" si="211"/>
        <v>&lt;Tran_Y&gt;-0.150000&lt;/Tran_Y&gt;</v>
      </c>
      <c r="F3522" s="6"/>
      <c r="G3522" s="6"/>
      <c r="H3522" s="6"/>
      <c r="I3522" s="6"/>
      <c r="J3522" s="6"/>
      <c r="K3522" s="6"/>
      <c r="L3522" s="6"/>
      <c r="M3522" s="6"/>
      <c r="N3522" s="6"/>
      <c r="O3522" s="6"/>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c r="BU3522" s="6"/>
      <c r="BV3522" s="6"/>
      <c r="BW3522" s="6"/>
      <c r="BX3522" s="6"/>
      <c r="BY3522" s="6"/>
      <c r="BZ3522" s="6"/>
      <c r="CA3522" s="6"/>
      <c r="CB3522" s="6"/>
      <c r="CC3522" s="6"/>
      <c r="CD3522" s="6"/>
      <c r="CE3522" s="6"/>
      <c r="CF3522" s="6"/>
      <c r="CG3522" s="6"/>
      <c r="CH3522" s="6"/>
      <c r="CI3522" s="6"/>
      <c r="CJ3522" s="6"/>
      <c r="CK3522" s="6"/>
      <c r="CL3522" s="6"/>
      <c r="CM3522" s="6"/>
      <c r="CN3522" s="6"/>
      <c r="CO3522" s="6"/>
      <c r="CP3522" s="6"/>
      <c r="CQ3522" s="6"/>
      <c r="CR3522" s="6"/>
      <c r="CS3522" s="6"/>
      <c r="CT3522" s="6"/>
      <c r="CU3522" s="6"/>
      <c r="CV3522" s="6"/>
      <c r="CW3522" s="6"/>
      <c r="CX3522" s="6"/>
      <c r="CY3522" s="6"/>
      <c r="CZ3522" s="6"/>
      <c r="DA3522" s="6"/>
      <c r="DB3522" s="6"/>
      <c r="DC3522" s="6"/>
      <c r="DD3522" s="6"/>
    </row>
    <row r="3523" spans="1:108" ht="12.75" hidden="1" customHeight="1" outlineLevel="5">
      <c r="A3523" s="104" t="s">
        <v>58</v>
      </c>
      <c r="B3523" s="92">
        <f>pos_LG3.z</f>
        <v>-4.125</v>
      </c>
      <c r="C3523" s="12"/>
      <c r="D3523" s="18" t="str">
        <f t="shared" si="211"/>
        <v>&lt;Tran_Z&gt;-4.125000&lt;/Tran_Z&gt;</v>
      </c>
      <c r="F3523" s="6"/>
      <c r="G3523" s="6"/>
      <c r="H3523" s="6"/>
      <c r="I3523" s="6"/>
      <c r="J3523" s="6"/>
      <c r="K3523" s="6"/>
      <c r="L3523" s="6"/>
      <c r="M3523" s="6"/>
      <c r="N3523" s="6"/>
      <c r="O3523" s="6"/>
      <c r="P3523" s="6"/>
      <c r="Q3523" s="6"/>
      <c r="R3523" s="6"/>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c r="BU3523" s="6"/>
      <c r="BV3523" s="6"/>
      <c r="BW3523" s="6"/>
      <c r="BX3523" s="6"/>
      <c r="BY3523" s="6"/>
      <c r="BZ3523" s="6"/>
      <c r="CA3523" s="6"/>
      <c r="CB3523" s="6"/>
      <c r="CC3523" s="6"/>
      <c r="CD3523" s="6"/>
      <c r="CE3523" s="6"/>
      <c r="CF3523" s="6"/>
      <c r="CG3523" s="6"/>
      <c r="CH3523" s="6"/>
      <c r="CI3523" s="6"/>
      <c r="CJ3523" s="6"/>
      <c r="CK3523" s="6"/>
      <c r="CL3523" s="6"/>
      <c r="CM3523" s="6"/>
      <c r="CN3523" s="6"/>
      <c r="CO3523" s="6"/>
      <c r="CP3523" s="6"/>
      <c r="CQ3523" s="6"/>
      <c r="CR3523" s="6"/>
      <c r="CS3523" s="6"/>
      <c r="CT3523" s="6"/>
      <c r="CU3523" s="6"/>
      <c r="CV3523" s="6"/>
      <c r="CW3523" s="6"/>
      <c r="CX3523" s="6"/>
      <c r="CY3523" s="6"/>
      <c r="CZ3523" s="6"/>
      <c r="DA3523" s="6"/>
      <c r="DB3523" s="6"/>
      <c r="DC3523" s="6"/>
      <c r="DD3523" s="6"/>
    </row>
    <row r="3524" spans="1:108" ht="12.75" hidden="1" customHeight="1" outlineLevel="5">
      <c r="A3524" s="104" t="s">
        <v>59</v>
      </c>
      <c r="B3524" s="105">
        <f t="shared" ref="B3524:B3550" si="212">B3362</f>
        <v>0</v>
      </c>
      <c r="C3524" s="12"/>
      <c r="D3524" s="18" t="str">
        <f t="shared" si="211"/>
        <v>&lt;TranRel_X&gt;0.000000&lt;/TranRel_X&gt;</v>
      </c>
      <c r="F3524" s="6"/>
      <c r="G3524" s="6"/>
      <c r="H3524" s="6"/>
      <c r="I3524" s="6"/>
      <c r="J3524" s="6"/>
      <c r="K3524" s="6"/>
      <c r="L3524" s="6"/>
      <c r="M3524" s="6"/>
      <c r="N3524" s="6"/>
      <c r="O3524" s="6"/>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c r="BU3524" s="6"/>
      <c r="BV3524" s="6"/>
      <c r="BW3524" s="6"/>
      <c r="BX3524" s="6"/>
      <c r="BY3524" s="6"/>
      <c r="BZ3524" s="6"/>
      <c r="CA3524" s="6"/>
      <c r="CB3524" s="6"/>
      <c r="CC3524" s="6"/>
      <c r="CD3524" s="6"/>
      <c r="CE3524" s="6"/>
      <c r="CF3524" s="6"/>
      <c r="CG3524" s="6"/>
      <c r="CH3524" s="6"/>
      <c r="CI3524" s="6"/>
      <c r="CJ3524" s="6"/>
      <c r="CK3524" s="6"/>
      <c r="CL3524" s="6"/>
      <c r="CM3524" s="6"/>
      <c r="CN3524" s="6"/>
      <c r="CO3524" s="6"/>
      <c r="CP3524" s="6"/>
      <c r="CQ3524" s="6"/>
      <c r="CR3524" s="6"/>
      <c r="CS3524" s="6"/>
      <c r="CT3524" s="6"/>
      <c r="CU3524" s="6"/>
      <c r="CV3524" s="6"/>
      <c r="CW3524" s="6"/>
      <c r="CX3524" s="6"/>
      <c r="CY3524" s="6"/>
      <c r="CZ3524" s="6"/>
      <c r="DA3524" s="6"/>
      <c r="DB3524" s="6"/>
      <c r="DC3524" s="6"/>
      <c r="DD3524" s="6"/>
    </row>
    <row r="3525" spans="1:108" ht="12.75" hidden="1" customHeight="1" outlineLevel="5">
      <c r="A3525" s="104" t="s">
        <v>60</v>
      </c>
      <c r="B3525" s="105">
        <f t="shared" si="212"/>
        <v>0</v>
      </c>
      <c r="C3525" s="12"/>
      <c r="D3525" s="18" t="str">
        <f t="shared" si="211"/>
        <v>&lt;TranRel_Y&gt;0.000000&lt;/TranRel_Y&gt;</v>
      </c>
      <c r="F3525" s="6"/>
      <c r="G3525" s="6"/>
      <c r="H3525" s="6"/>
      <c r="I3525" s="6"/>
      <c r="J3525" s="6"/>
      <c r="K3525" s="6"/>
      <c r="L3525" s="6"/>
      <c r="M3525" s="6"/>
      <c r="N3525" s="6"/>
      <c r="O3525" s="6"/>
      <c r="P3525" s="6"/>
      <c r="Q3525" s="6"/>
      <c r="R3525" s="6"/>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c r="BU3525" s="6"/>
      <c r="BV3525" s="6"/>
      <c r="BW3525" s="6"/>
      <c r="BX3525" s="6"/>
      <c r="BY3525" s="6"/>
      <c r="BZ3525" s="6"/>
      <c r="CA3525" s="6"/>
      <c r="CB3525" s="6"/>
      <c r="CC3525" s="6"/>
      <c r="CD3525" s="6"/>
      <c r="CE3525" s="6"/>
      <c r="CF3525" s="6"/>
      <c r="CG3525" s="6"/>
      <c r="CH3525" s="6"/>
      <c r="CI3525" s="6"/>
      <c r="CJ3525" s="6"/>
      <c r="CK3525" s="6"/>
      <c r="CL3525" s="6"/>
      <c r="CM3525" s="6"/>
      <c r="CN3525" s="6"/>
      <c r="CO3525" s="6"/>
      <c r="CP3525" s="6"/>
      <c r="CQ3525" s="6"/>
      <c r="CR3525" s="6"/>
      <c r="CS3525" s="6"/>
      <c r="CT3525" s="6"/>
      <c r="CU3525" s="6"/>
      <c r="CV3525" s="6"/>
      <c r="CW3525" s="6"/>
      <c r="CX3525" s="6"/>
      <c r="CY3525" s="6"/>
      <c r="CZ3525" s="6"/>
      <c r="DA3525" s="6"/>
      <c r="DB3525" s="6"/>
      <c r="DC3525" s="6"/>
      <c r="DD3525" s="6"/>
    </row>
    <row r="3526" spans="1:108" ht="12.75" hidden="1" customHeight="1" outlineLevel="5">
      <c r="A3526" s="104" t="s">
        <v>61</v>
      </c>
      <c r="B3526" s="105">
        <f t="shared" si="212"/>
        <v>0</v>
      </c>
      <c r="C3526" s="12"/>
      <c r="D3526" s="18" t="str">
        <f t="shared" si="211"/>
        <v>&lt;TranRel_Z&gt;0.000000&lt;/TranRel_Z&gt;</v>
      </c>
      <c r="F3526" s="6"/>
      <c r="G3526" s="6"/>
      <c r="H3526" s="6"/>
      <c r="I3526" s="6"/>
      <c r="J3526" s="6"/>
      <c r="K3526" s="6"/>
      <c r="L3526" s="6"/>
      <c r="M3526" s="6"/>
      <c r="N3526" s="6"/>
      <c r="O3526" s="6"/>
      <c r="P3526" s="6"/>
      <c r="Q3526" s="6"/>
      <c r="R3526" s="6"/>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c r="BU3526" s="6"/>
      <c r="BV3526" s="6"/>
      <c r="BW3526" s="6"/>
      <c r="BX3526" s="6"/>
      <c r="BY3526" s="6"/>
      <c r="BZ3526" s="6"/>
      <c r="CA3526" s="6"/>
      <c r="CB3526" s="6"/>
      <c r="CC3526" s="6"/>
      <c r="CD3526" s="6"/>
      <c r="CE3526" s="6"/>
      <c r="CF3526" s="6"/>
      <c r="CG3526" s="6"/>
      <c r="CH3526" s="6"/>
      <c r="CI3526" s="6"/>
      <c r="CJ3526" s="6"/>
      <c r="CK3526" s="6"/>
      <c r="CL3526" s="6"/>
      <c r="CM3526" s="6"/>
      <c r="CN3526" s="6"/>
      <c r="CO3526" s="6"/>
      <c r="CP3526" s="6"/>
      <c r="CQ3526" s="6"/>
      <c r="CR3526" s="6"/>
      <c r="CS3526" s="6"/>
      <c r="CT3526" s="6"/>
      <c r="CU3526" s="6"/>
      <c r="CV3526" s="6"/>
      <c r="CW3526" s="6"/>
      <c r="CX3526" s="6"/>
      <c r="CY3526" s="6"/>
      <c r="CZ3526" s="6"/>
      <c r="DA3526" s="6"/>
      <c r="DB3526" s="6"/>
      <c r="DC3526" s="6"/>
      <c r="DD3526" s="6"/>
    </row>
    <row r="3527" spans="1:108" ht="12.75" hidden="1" customHeight="1" outlineLevel="5">
      <c r="A3527" s="104" t="s">
        <v>62</v>
      </c>
      <c r="B3527" s="105">
        <f t="shared" si="212"/>
        <v>0</v>
      </c>
      <c r="C3527" s="12"/>
      <c r="D3527" s="18" t="str">
        <f t="shared" si="211"/>
        <v>&lt;Rot_X&gt;0.000000&lt;/Rot_X&gt;</v>
      </c>
      <c r="F3527" s="6"/>
      <c r="G3527" s="6"/>
      <c r="H3527" s="6"/>
      <c r="I3527" s="6"/>
      <c r="J3527" s="6"/>
      <c r="K3527" s="6"/>
      <c r="L3527" s="6"/>
      <c r="M3527" s="6"/>
      <c r="N3527" s="6"/>
      <c r="O3527" s="6"/>
      <c r="P3527" s="6"/>
      <c r="Q3527" s="6"/>
      <c r="R3527" s="6"/>
      <c r="S3527" s="6"/>
      <c r="T3527" s="6"/>
      <c r="U3527" s="6"/>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c r="BU3527" s="6"/>
      <c r="BV3527" s="6"/>
      <c r="BW3527" s="6"/>
      <c r="BX3527" s="6"/>
      <c r="BY3527" s="6"/>
      <c r="BZ3527" s="6"/>
      <c r="CA3527" s="6"/>
      <c r="CB3527" s="6"/>
      <c r="CC3527" s="6"/>
      <c r="CD3527" s="6"/>
      <c r="CE3527" s="6"/>
      <c r="CF3527" s="6"/>
      <c r="CG3527" s="6"/>
      <c r="CH3527" s="6"/>
      <c r="CI3527" s="6"/>
      <c r="CJ3527" s="6"/>
      <c r="CK3527" s="6"/>
      <c r="CL3527" s="6"/>
      <c r="CM3527" s="6"/>
      <c r="CN3527" s="6"/>
      <c r="CO3527" s="6"/>
      <c r="CP3527" s="6"/>
      <c r="CQ3527" s="6"/>
      <c r="CR3527" s="6"/>
      <c r="CS3527" s="6"/>
      <c r="CT3527" s="6"/>
      <c r="CU3527" s="6"/>
      <c r="CV3527" s="6"/>
      <c r="CW3527" s="6"/>
      <c r="CX3527" s="6"/>
      <c r="CY3527" s="6"/>
      <c r="CZ3527" s="6"/>
      <c r="DA3527" s="6"/>
      <c r="DB3527" s="6"/>
      <c r="DC3527" s="6"/>
      <c r="DD3527" s="6"/>
    </row>
    <row r="3528" spans="1:108" ht="12.75" hidden="1" customHeight="1" outlineLevel="5">
      <c r="A3528" s="104" t="s">
        <v>63</v>
      </c>
      <c r="B3528" s="105">
        <f t="shared" si="212"/>
        <v>0</v>
      </c>
      <c r="C3528" s="12"/>
      <c r="D3528" s="18" t="str">
        <f t="shared" si="211"/>
        <v>&lt;Rot_Y&gt;0.000000&lt;/Rot_Y&gt;</v>
      </c>
      <c r="F3528" s="6"/>
      <c r="G3528" s="6"/>
      <c r="H3528" s="6"/>
      <c r="I3528" s="6"/>
      <c r="J3528" s="6"/>
      <c r="K3528" s="6"/>
      <c r="L3528" s="6"/>
      <c r="M3528" s="6"/>
      <c r="N3528" s="6"/>
      <c r="O3528" s="6"/>
      <c r="P3528" s="6"/>
      <c r="Q3528" s="6"/>
      <c r="R3528" s="6"/>
      <c r="S3528" s="6"/>
      <c r="T3528" s="6"/>
      <c r="U3528" s="6"/>
      <c r="V3528" s="6"/>
      <c r="W3528" s="6"/>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c r="BU3528" s="6"/>
      <c r="BV3528" s="6"/>
      <c r="BW3528" s="6"/>
      <c r="BX3528" s="6"/>
      <c r="BY3528" s="6"/>
      <c r="BZ3528" s="6"/>
      <c r="CA3528" s="6"/>
      <c r="CB3528" s="6"/>
      <c r="CC3528" s="6"/>
      <c r="CD3528" s="6"/>
      <c r="CE3528" s="6"/>
      <c r="CF3528" s="6"/>
      <c r="CG3528" s="6"/>
      <c r="CH3528" s="6"/>
      <c r="CI3528" s="6"/>
      <c r="CJ3528" s="6"/>
      <c r="CK3528" s="6"/>
      <c r="CL3528" s="6"/>
      <c r="CM3528" s="6"/>
      <c r="CN3528" s="6"/>
      <c r="CO3528" s="6"/>
      <c r="CP3528" s="6"/>
      <c r="CQ3528" s="6"/>
      <c r="CR3528" s="6"/>
      <c r="CS3528" s="6"/>
      <c r="CT3528" s="6"/>
      <c r="CU3528" s="6"/>
      <c r="CV3528" s="6"/>
      <c r="CW3528" s="6"/>
      <c r="CX3528" s="6"/>
      <c r="CY3528" s="6"/>
      <c r="CZ3528" s="6"/>
      <c r="DA3528" s="6"/>
      <c r="DB3528" s="6"/>
      <c r="DC3528" s="6"/>
      <c r="DD3528" s="6"/>
    </row>
    <row r="3529" spans="1:108" ht="12.75" hidden="1" customHeight="1" outlineLevel="5">
      <c r="A3529" s="104" t="s">
        <v>64</v>
      </c>
      <c r="B3529" s="105">
        <f t="shared" si="212"/>
        <v>90</v>
      </c>
      <c r="C3529" s="12"/>
      <c r="D3529" s="18" t="str">
        <f t="shared" si="211"/>
        <v>&lt;Rot_Z&gt;90.000000&lt;/Rot_Z&gt;</v>
      </c>
      <c r="F3529" s="6"/>
      <c r="G3529" s="6"/>
      <c r="H3529" s="6"/>
      <c r="I3529" s="6"/>
      <c r="J3529" s="6"/>
      <c r="K3529" s="6"/>
      <c r="L3529" s="6"/>
      <c r="M3529" s="6"/>
      <c r="N3529" s="6"/>
      <c r="O3529" s="6"/>
      <c r="P3529" s="6"/>
      <c r="Q3529" s="6"/>
      <c r="R3529" s="6"/>
      <c r="S3529" s="6"/>
      <c r="T3529" s="6"/>
      <c r="U3529" s="6"/>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c r="BU3529" s="6"/>
      <c r="BV3529" s="6"/>
      <c r="BW3529" s="6"/>
      <c r="BX3529" s="6"/>
      <c r="BY3529" s="6"/>
      <c r="BZ3529" s="6"/>
      <c r="CA3529" s="6"/>
      <c r="CB3529" s="6"/>
      <c r="CC3529" s="6"/>
      <c r="CD3529" s="6"/>
      <c r="CE3529" s="6"/>
      <c r="CF3529" s="6"/>
      <c r="CG3529" s="6"/>
      <c r="CH3529" s="6"/>
      <c r="CI3529" s="6"/>
      <c r="CJ3529" s="6"/>
      <c r="CK3529" s="6"/>
      <c r="CL3529" s="6"/>
      <c r="CM3529" s="6"/>
      <c r="CN3529" s="6"/>
      <c r="CO3529" s="6"/>
      <c r="CP3529" s="6"/>
      <c r="CQ3529" s="6"/>
      <c r="CR3529" s="6"/>
      <c r="CS3529" s="6"/>
      <c r="CT3529" s="6"/>
      <c r="CU3529" s="6"/>
      <c r="CV3529" s="6"/>
      <c r="CW3529" s="6"/>
      <c r="CX3529" s="6"/>
      <c r="CY3529" s="6"/>
      <c r="CZ3529" s="6"/>
      <c r="DA3529" s="6"/>
      <c r="DB3529" s="6"/>
      <c r="DC3529" s="6"/>
      <c r="DD3529" s="6"/>
    </row>
    <row r="3530" spans="1:108" ht="12.75" hidden="1" customHeight="1" outlineLevel="5">
      <c r="A3530" s="104" t="s">
        <v>65</v>
      </c>
      <c r="B3530" s="105">
        <f t="shared" si="212"/>
        <v>0</v>
      </c>
      <c r="C3530" s="12"/>
      <c r="D3530" s="18" t="str">
        <f t="shared" si="211"/>
        <v>&lt;RotRel_X&gt;0.000000&lt;/RotRel_X&gt;</v>
      </c>
      <c r="F3530" s="6"/>
      <c r="G3530" s="6"/>
      <c r="H3530" s="6"/>
      <c r="I3530" s="6"/>
      <c r="J3530" s="6"/>
      <c r="K3530" s="6"/>
      <c r="L3530" s="6"/>
      <c r="M3530" s="6"/>
      <c r="N3530" s="6"/>
      <c r="O3530" s="6"/>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c r="BU3530" s="6"/>
      <c r="BV3530" s="6"/>
      <c r="BW3530" s="6"/>
      <c r="BX3530" s="6"/>
      <c r="BY3530" s="6"/>
      <c r="BZ3530" s="6"/>
      <c r="CA3530" s="6"/>
      <c r="CB3530" s="6"/>
      <c r="CC3530" s="6"/>
      <c r="CD3530" s="6"/>
      <c r="CE3530" s="6"/>
      <c r="CF3530" s="6"/>
      <c r="CG3530" s="6"/>
      <c r="CH3530" s="6"/>
      <c r="CI3530" s="6"/>
      <c r="CJ3530" s="6"/>
      <c r="CK3530" s="6"/>
      <c r="CL3530" s="6"/>
      <c r="CM3530" s="6"/>
      <c r="CN3530" s="6"/>
      <c r="CO3530" s="6"/>
      <c r="CP3530" s="6"/>
      <c r="CQ3530" s="6"/>
      <c r="CR3530" s="6"/>
      <c r="CS3530" s="6"/>
      <c r="CT3530" s="6"/>
      <c r="CU3530" s="6"/>
      <c r="CV3530" s="6"/>
      <c r="CW3530" s="6"/>
      <c r="CX3530" s="6"/>
      <c r="CY3530" s="6"/>
      <c r="CZ3530" s="6"/>
      <c r="DA3530" s="6"/>
      <c r="DB3530" s="6"/>
      <c r="DC3530" s="6"/>
      <c r="DD3530" s="6"/>
    </row>
    <row r="3531" spans="1:108" ht="12.75" hidden="1" customHeight="1" outlineLevel="5">
      <c r="A3531" s="104" t="s">
        <v>66</v>
      </c>
      <c r="B3531" s="105">
        <f t="shared" si="212"/>
        <v>0</v>
      </c>
      <c r="C3531" s="12"/>
      <c r="D3531" s="18" t="str">
        <f t="shared" si="211"/>
        <v>&lt;RotRel_Y&gt;0.000000&lt;/RotRel_Y&gt;</v>
      </c>
      <c r="F3531" s="6"/>
      <c r="G3531" s="6"/>
      <c r="H3531" s="6"/>
      <c r="I3531" s="6"/>
      <c r="J3531" s="6"/>
      <c r="K3531" s="6"/>
      <c r="L3531" s="6"/>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c r="BU3531" s="6"/>
      <c r="BV3531" s="6"/>
      <c r="BW3531" s="6"/>
      <c r="BX3531" s="6"/>
      <c r="BY3531" s="6"/>
      <c r="BZ3531" s="6"/>
      <c r="CA3531" s="6"/>
      <c r="CB3531" s="6"/>
      <c r="CC3531" s="6"/>
      <c r="CD3531" s="6"/>
      <c r="CE3531" s="6"/>
      <c r="CF3531" s="6"/>
      <c r="CG3531" s="6"/>
      <c r="CH3531" s="6"/>
      <c r="CI3531" s="6"/>
      <c r="CJ3531" s="6"/>
      <c r="CK3531" s="6"/>
      <c r="CL3531" s="6"/>
      <c r="CM3531" s="6"/>
      <c r="CN3531" s="6"/>
      <c r="CO3531" s="6"/>
      <c r="CP3531" s="6"/>
      <c r="CQ3531" s="6"/>
      <c r="CR3531" s="6"/>
      <c r="CS3531" s="6"/>
      <c r="CT3531" s="6"/>
      <c r="CU3531" s="6"/>
      <c r="CV3531" s="6"/>
      <c r="CW3531" s="6"/>
      <c r="CX3531" s="6"/>
      <c r="CY3531" s="6"/>
      <c r="CZ3531" s="6"/>
      <c r="DA3531" s="6"/>
      <c r="DB3531" s="6"/>
      <c r="DC3531" s="6"/>
      <c r="DD3531" s="6"/>
    </row>
    <row r="3532" spans="1:108" ht="12.75" hidden="1" customHeight="1" outlineLevel="5">
      <c r="A3532" s="104" t="s">
        <v>67</v>
      </c>
      <c r="B3532" s="105">
        <f t="shared" si="212"/>
        <v>0</v>
      </c>
      <c r="C3532" s="12"/>
      <c r="D3532" s="18" t="str">
        <f t="shared" si="211"/>
        <v>&lt;RotRel_Z&gt;0.000000&lt;/RotRel_Z&gt;</v>
      </c>
      <c r="F3532" s="6"/>
      <c r="G3532" s="6"/>
      <c r="H3532" s="6"/>
      <c r="I3532" s="6"/>
      <c r="J3532" s="6"/>
      <c r="K3532" s="6"/>
      <c r="L3532" s="6"/>
      <c r="M3532" s="6"/>
      <c r="N3532" s="6"/>
      <c r="O3532" s="6"/>
      <c r="P3532" s="6"/>
      <c r="Q3532" s="6"/>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c r="BU3532" s="6"/>
      <c r="BV3532" s="6"/>
      <c r="BW3532" s="6"/>
      <c r="BX3532" s="6"/>
      <c r="BY3532" s="6"/>
      <c r="BZ3532" s="6"/>
      <c r="CA3532" s="6"/>
      <c r="CB3532" s="6"/>
      <c r="CC3532" s="6"/>
      <c r="CD3532" s="6"/>
      <c r="CE3532" s="6"/>
      <c r="CF3532" s="6"/>
      <c r="CG3532" s="6"/>
      <c r="CH3532" s="6"/>
      <c r="CI3532" s="6"/>
      <c r="CJ3532" s="6"/>
      <c r="CK3532" s="6"/>
      <c r="CL3532" s="6"/>
      <c r="CM3532" s="6"/>
      <c r="CN3532" s="6"/>
      <c r="CO3532" s="6"/>
      <c r="CP3532" s="6"/>
      <c r="CQ3532" s="6"/>
      <c r="CR3532" s="6"/>
      <c r="CS3532" s="6"/>
      <c r="CT3532" s="6"/>
      <c r="CU3532" s="6"/>
      <c r="CV3532" s="6"/>
      <c r="CW3532" s="6"/>
      <c r="CX3532" s="6"/>
      <c r="CY3532" s="6"/>
      <c r="CZ3532" s="6"/>
      <c r="DA3532" s="6"/>
      <c r="DB3532" s="6"/>
      <c r="DC3532" s="6"/>
      <c r="DD3532" s="6"/>
    </row>
    <row r="3533" spans="1:108" ht="12.75" hidden="1" customHeight="1" outlineLevel="5">
      <c r="A3533" s="104" t="s">
        <v>68</v>
      </c>
      <c r="B3533" s="105">
        <f t="shared" si="212"/>
        <v>0</v>
      </c>
      <c r="C3533" s="12"/>
      <c r="D3533" s="18" t="str">
        <f t="shared" si="211"/>
        <v>&lt;Origin&gt;0.000000&lt;/Origin&gt;</v>
      </c>
      <c r="F3533" s="6"/>
      <c r="G3533" s="6"/>
      <c r="H3533" s="6"/>
      <c r="I3533" s="6"/>
      <c r="J3533" s="6"/>
      <c r="K3533" s="6"/>
      <c r="L3533" s="6"/>
      <c r="M3533" s="6"/>
      <c r="N3533" s="6"/>
      <c r="O3533" s="6"/>
      <c r="P3533" s="6"/>
      <c r="Q3533" s="6"/>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c r="BU3533" s="6"/>
      <c r="BV3533" s="6"/>
      <c r="BW3533" s="6"/>
      <c r="BX3533" s="6"/>
      <c r="BY3533" s="6"/>
      <c r="BZ3533" s="6"/>
      <c r="CA3533" s="6"/>
      <c r="CB3533" s="6"/>
      <c r="CC3533" s="6"/>
      <c r="CD3533" s="6"/>
      <c r="CE3533" s="6"/>
      <c r="CF3533" s="6"/>
      <c r="CG3533" s="6"/>
      <c r="CH3533" s="6"/>
      <c r="CI3533" s="6"/>
      <c r="CJ3533" s="6"/>
      <c r="CK3533" s="6"/>
      <c r="CL3533" s="6"/>
      <c r="CM3533" s="6"/>
      <c r="CN3533" s="6"/>
      <c r="CO3533" s="6"/>
      <c r="CP3533" s="6"/>
      <c r="CQ3533" s="6"/>
      <c r="CR3533" s="6"/>
      <c r="CS3533" s="6"/>
      <c r="CT3533" s="6"/>
      <c r="CU3533" s="6"/>
      <c r="CV3533" s="6"/>
      <c r="CW3533" s="6"/>
      <c r="CX3533" s="6"/>
      <c r="CY3533" s="6"/>
      <c r="CZ3533" s="6"/>
      <c r="DA3533" s="6"/>
      <c r="DB3533" s="6"/>
      <c r="DC3533" s="6"/>
      <c r="DD3533" s="6"/>
    </row>
    <row r="3534" spans="1:108" ht="12.75" hidden="1" customHeight="1" outlineLevel="5">
      <c r="A3534" s="104" t="s">
        <v>69</v>
      </c>
      <c r="B3534" s="105">
        <f t="shared" si="212"/>
        <v>1</v>
      </c>
      <c r="C3534" s="12"/>
      <c r="D3534" s="18" t="str">
        <f t="shared" si="211"/>
        <v>&lt;Density&gt;1.000000&lt;/Density&gt;</v>
      </c>
      <c r="F3534" s="6"/>
      <c r="G3534" s="6"/>
      <c r="H3534" s="6"/>
      <c r="I3534" s="6"/>
      <c r="J3534" s="6"/>
      <c r="K3534" s="6"/>
      <c r="L3534" s="6"/>
      <c r="M3534" s="6"/>
      <c r="N3534" s="6"/>
      <c r="O3534" s="6"/>
      <c r="P3534" s="6"/>
      <c r="Q3534" s="6"/>
      <c r="R3534" s="6"/>
      <c r="S3534" s="6"/>
      <c r="T3534" s="6"/>
      <c r="U3534" s="6"/>
      <c r="V3534" s="6"/>
      <c r="W3534" s="6"/>
      <c r="X3534" s="6"/>
      <c r="Y3534" s="6"/>
      <c r="Z3534" s="6"/>
      <c r="AA3534" s="6"/>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c r="BU3534" s="6"/>
      <c r="BV3534" s="6"/>
      <c r="BW3534" s="6"/>
      <c r="BX3534" s="6"/>
      <c r="BY3534" s="6"/>
      <c r="BZ3534" s="6"/>
      <c r="CA3534" s="6"/>
      <c r="CB3534" s="6"/>
      <c r="CC3534" s="6"/>
      <c r="CD3534" s="6"/>
      <c r="CE3534" s="6"/>
      <c r="CF3534" s="6"/>
      <c r="CG3534" s="6"/>
      <c r="CH3534" s="6"/>
      <c r="CI3534" s="6"/>
      <c r="CJ3534" s="6"/>
      <c r="CK3534" s="6"/>
      <c r="CL3534" s="6"/>
      <c r="CM3534" s="6"/>
      <c r="CN3534" s="6"/>
      <c r="CO3534" s="6"/>
      <c r="CP3534" s="6"/>
      <c r="CQ3534" s="6"/>
      <c r="CR3534" s="6"/>
      <c r="CS3534" s="6"/>
      <c r="CT3534" s="6"/>
      <c r="CU3534" s="6"/>
      <c r="CV3534" s="6"/>
      <c r="CW3534" s="6"/>
      <c r="CX3534" s="6"/>
      <c r="CY3534" s="6"/>
      <c r="CZ3534" s="6"/>
      <c r="DA3534" s="6"/>
      <c r="DB3534" s="6"/>
      <c r="DC3534" s="6"/>
      <c r="DD3534" s="6"/>
    </row>
    <row r="3535" spans="1:108" ht="12.75" hidden="1" customHeight="1" outlineLevel="5">
      <c r="A3535" s="104" t="s">
        <v>70</v>
      </c>
      <c r="B3535" s="105">
        <f t="shared" si="212"/>
        <v>1</v>
      </c>
      <c r="C3535" s="12"/>
      <c r="D3535" s="18" t="str">
        <f t="shared" si="211"/>
        <v>&lt;ShellMassArea&gt;1.000000&lt;/ShellMassArea&gt;</v>
      </c>
      <c r="F3535" s="6"/>
      <c r="G3535" s="6"/>
      <c r="H3535" s="6"/>
      <c r="I3535" s="6"/>
      <c r="J3535" s="6"/>
      <c r="K3535" s="6"/>
      <c r="L3535" s="6"/>
      <c r="M3535" s="6"/>
      <c r="N3535" s="6"/>
      <c r="O3535" s="6"/>
      <c r="P3535" s="6"/>
      <c r="Q3535" s="6"/>
      <c r="R3535" s="6"/>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c r="BU3535" s="6"/>
      <c r="BV3535" s="6"/>
      <c r="BW3535" s="6"/>
      <c r="BX3535" s="6"/>
      <c r="BY3535" s="6"/>
      <c r="BZ3535" s="6"/>
      <c r="CA3535" s="6"/>
      <c r="CB3535" s="6"/>
      <c r="CC3535" s="6"/>
      <c r="CD3535" s="6"/>
      <c r="CE3535" s="6"/>
      <c r="CF3535" s="6"/>
      <c r="CG3535" s="6"/>
      <c r="CH3535" s="6"/>
      <c r="CI3535" s="6"/>
      <c r="CJ3535" s="6"/>
      <c r="CK3535" s="6"/>
      <c r="CL3535" s="6"/>
      <c r="CM3535" s="6"/>
      <c r="CN3535" s="6"/>
      <c r="CO3535" s="6"/>
      <c r="CP3535" s="6"/>
      <c r="CQ3535" s="6"/>
      <c r="CR3535" s="6"/>
      <c r="CS3535" s="6"/>
      <c r="CT3535" s="6"/>
      <c r="CU3535" s="6"/>
      <c r="CV3535" s="6"/>
      <c r="CW3535" s="6"/>
      <c r="CX3535" s="6"/>
      <c r="CY3535" s="6"/>
      <c r="CZ3535" s="6"/>
      <c r="DA3535" s="6"/>
      <c r="DB3535" s="6"/>
      <c r="DC3535" s="6"/>
      <c r="DD3535" s="6"/>
    </row>
    <row r="3536" spans="1:108" ht="12.75" hidden="1" customHeight="1" outlineLevel="5">
      <c r="A3536" s="104" t="s">
        <v>71</v>
      </c>
      <c r="B3536" s="105">
        <f t="shared" si="212"/>
        <v>0</v>
      </c>
      <c r="C3536" s="12"/>
      <c r="D3536" s="18" t="str">
        <f>"&lt;" &amp; A3536 &amp; "&gt;" &amp; TEXT(B3536,0) &amp; "&lt;/" &amp; A3536 &amp; "&gt;"</f>
        <v>&lt;RefFlag&gt;0&lt;/RefFlag&gt;</v>
      </c>
      <c r="F3536" s="6"/>
      <c r="G3536" s="6"/>
      <c r="H3536" s="6"/>
      <c r="I3536" s="6"/>
      <c r="J3536" s="6"/>
      <c r="K3536" s="6"/>
      <c r="L3536" s="6"/>
      <c r="M3536" s="6"/>
      <c r="N3536" s="6"/>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c r="BU3536" s="6"/>
      <c r="BV3536" s="6"/>
      <c r="BW3536" s="6"/>
      <c r="BX3536" s="6"/>
      <c r="BY3536" s="6"/>
      <c r="BZ3536" s="6"/>
      <c r="CA3536" s="6"/>
      <c r="CB3536" s="6"/>
      <c r="CC3536" s="6"/>
      <c r="CD3536" s="6"/>
      <c r="CE3536" s="6"/>
      <c r="CF3536" s="6"/>
      <c r="CG3536" s="6"/>
      <c r="CH3536" s="6"/>
      <c r="CI3536" s="6"/>
      <c r="CJ3536" s="6"/>
      <c r="CK3536" s="6"/>
      <c r="CL3536" s="6"/>
      <c r="CM3536" s="6"/>
      <c r="CN3536" s="6"/>
      <c r="CO3536" s="6"/>
      <c r="CP3536" s="6"/>
      <c r="CQ3536" s="6"/>
      <c r="CR3536" s="6"/>
      <c r="CS3536" s="6"/>
      <c r="CT3536" s="6"/>
      <c r="CU3536" s="6"/>
      <c r="CV3536" s="6"/>
      <c r="CW3536" s="6"/>
      <c r="CX3536" s="6"/>
      <c r="CY3536" s="6"/>
      <c r="CZ3536" s="6"/>
      <c r="DA3536" s="6"/>
      <c r="DB3536" s="6"/>
      <c r="DC3536" s="6"/>
      <c r="DD3536" s="6"/>
    </row>
    <row r="3537" spans="1:108" ht="12.75" hidden="1" customHeight="1" outlineLevel="5">
      <c r="A3537" s="104" t="s">
        <v>72</v>
      </c>
      <c r="B3537" s="105">
        <f t="shared" si="212"/>
        <v>100</v>
      </c>
      <c r="C3537" s="12"/>
      <c r="D3537" s="18" t="str">
        <f>"&lt;" &amp; A3537 &amp; "&gt;" &amp; TEXT(B3537,"0.000000") &amp; "&lt;/" &amp; A3537 &amp; "&gt;"</f>
        <v>&lt;RefArea&gt;100.000000&lt;/RefArea&gt;</v>
      </c>
      <c r="F3537" s="6"/>
      <c r="G3537" s="6"/>
      <c r="H3537" s="6"/>
      <c r="I3537" s="6"/>
      <c r="J3537" s="6"/>
      <c r="K3537" s="6"/>
      <c r="L3537" s="6"/>
      <c r="M3537" s="6"/>
      <c r="N3537" s="6"/>
      <c r="O3537" s="6"/>
      <c r="P3537" s="6"/>
      <c r="Q3537" s="6"/>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c r="BU3537" s="6"/>
      <c r="BV3537" s="6"/>
      <c r="BW3537" s="6"/>
      <c r="BX3537" s="6"/>
      <c r="BY3537" s="6"/>
      <c r="BZ3537" s="6"/>
      <c r="CA3537" s="6"/>
      <c r="CB3537" s="6"/>
      <c r="CC3537" s="6"/>
      <c r="CD3537" s="6"/>
      <c r="CE3537" s="6"/>
      <c r="CF3537" s="6"/>
      <c r="CG3537" s="6"/>
      <c r="CH3537" s="6"/>
      <c r="CI3537" s="6"/>
      <c r="CJ3537" s="6"/>
      <c r="CK3537" s="6"/>
      <c r="CL3537" s="6"/>
      <c r="CM3537" s="6"/>
      <c r="CN3537" s="6"/>
      <c r="CO3537" s="6"/>
      <c r="CP3537" s="6"/>
      <c r="CQ3537" s="6"/>
      <c r="CR3537" s="6"/>
      <c r="CS3537" s="6"/>
      <c r="CT3537" s="6"/>
      <c r="CU3537" s="6"/>
      <c r="CV3537" s="6"/>
      <c r="CW3537" s="6"/>
      <c r="CX3537" s="6"/>
      <c r="CY3537" s="6"/>
      <c r="CZ3537" s="6"/>
      <c r="DA3537" s="6"/>
      <c r="DB3537" s="6"/>
      <c r="DC3537" s="6"/>
      <c r="DD3537" s="6"/>
    </row>
    <row r="3538" spans="1:108" ht="12.75" hidden="1" customHeight="1" outlineLevel="5">
      <c r="A3538" s="104" t="s">
        <v>73</v>
      </c>
      <c r="B3538" s="105">
        <f t="shared" si="212"/>
        <v>10</v>
      </c>
      <c r="C3538" s="12"/>
      <c r="D3538" s="18" t="str">
        <f>"&lt;" &amp; A3538 &amp; "&gt;" &amp; TEXT(B3538,"0.000000") &amp; "&lt;/" &amp; A3538 &amp; "&gt;"</f>
        <v>&lt;RefSpan&gt;10.000000&lt;/RefSpan&gt;</v>
      </c>
      <c r="F3538" s="6"/>
      <c r="G3538" s="6"/>
      <c r="H3538" s="6"/>
      <c r="I3538" s="6"/>
      <c r="J3538" s="6"/>
      <c r="K3538" s="6"/>
      <c r="L3538" s="6"/>
      <c r="M3538" s="6"/>
      <c r="N3538" s="6"/>
      <c r="O3538" s="6"/>
      <c r="P3538" s="6"/>
      <c r="Q3538" s="6"/>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c r="BU3538" s="6"/>
      <c r="BV3538" s="6"/>
      <c r="BW3538" s="6"/>
      <c r="BX3538" s="6"/>
      <c r="BY3538" s="6"/>
      <c r="BZ3538" s="6"/>
      <c r="CA3538" s="6"/>
      <c r="CB3538" s="6"/>
      <c r="CC3538" s="6"/>
      <c r="CD3538" s="6"/>
      <c r="CE3538" s="6"/>
      <c r="CF3538" s="6"/>
      <c r="CG3538" s="6"/>
      <c r="CH3538" s="6"/>
      <c r="CI3538" s="6"/>
      <c r="CJ3538" s="6"/>
      <c r="CK3538" s="6"/>
      <c r="CL3538" s="6"/>
      <c r="CM3538" s="6"/>
      <c r="CN3538" s="6"/>
      <c r="CO3538" s="6"/>
      <c r="CP3538" s="6"/>
      <c r="CQ3538" s="6"/>
      <c r="CR3538" s="6"/>
      <c r="CS3538" s="6"/>
      <c r="CT3538" s="6"/>
      <c r="CU3538" s="6"/>
      <c r="CV3538" s="6"/>
      <c r="CW3538" s="6"/>
      <c r="CX3538" s="6"/>
      <c r="CY3538" s="6"/>
      <c r="CZ3538" s="6"/>
      <c r="DA3538" s="6"/>
      <c r="DB3538" s="6"/>
      <c r="DC3538" s="6"/>
      <c r="DD3538" s="6"/>
    </row>
    <row r="3539" spans="1:108" ht="12.75" hidden="1" customHeight="1" outlineLevel="5">
      <c r="A3539" s="104" t="s">
        <v>74</v>
      </c>
      <c r="B3539" s="105">
        <f t="shared" si="212"/>
        <v>1</v>
      </c>
      <c r="C3539" s="12"/>
      <c r="D3539" s="18" t="str">
        <f>"&lt;" &amp; A3539 &amp; "&gt;" &amp; TEXT(B3539,"0.000000") &amp; "&lt;/" &amp; A3539 &amp; "&gt;"</f>
        <v>&lt;RefCbar&gt;1.000000&lt;/RefCbar&gt;</v>
      </c>
      <c r="F3539" s="6"/>
      <c r="G3539" s="6"/>
      <c r="H3539" s="6"/>
      <c r="I3539" s="6"/>
      <c r="J3539" s="6"/>
      <c r="K3539" s="6"/>
      <c r="L3539" s="6"/>
      <c r="M3539" s="6"/>
      <c r="N3539" s="6"/>
      <c r="O3539" s="6"/>
      <c r="P3539" s="6"/>
      <c r="Q3539" s="6"/>
      <c r="R3539" s="6"/>
      <c r="S3539" s="6"/>
      <c r="T3539" s="6"/>
      <c r="U3539" s="6"/>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c r="BU3539" s="6"/>
      <c r="BV3539" s="6"/>
      <c r="BW3539" s="6"/>
      <c r="BX3539" s="6"/>
      <c r="BY3539" s="6"/>
      <c r="BZ3539" s="6"/>
      <c r="CA3539" s="6"/>
      <c r="CB3539" s="6"/>
      <c r="CC3539" s="6"/>
      <c r="CD3539" s="6"/>
      <c r="CE3539" s="6"/>
      <c r="CF3539" s="6"/>
      <c r="CG3539" s="6"/>
      <c r="CH3539" s="6"/>
      <c r="CI3539" s="6"/>
      <c r="CJ3539" s="6"/>
      <c r="CK3539" s="6"/>
      <c r="CL3539" s="6"/>
      <c r="CM3539" s="6"/>
      <c r="CN3539" s="6"/>
      <c r="CO3539" s="6"/>
      <c r="CP3539" s="6"/>
      <c r="CQ3539" s="6"/>
      <c r="CR3539" s="6"/>
      <c r="CS3539" s="6"/>
      <c r="CT3539" s="6"/>
      <c r="CU3539" s="6"/>
      <c r="CV3539" s="6"/>
      <c r="CW3539" s="6"/>
      <c r="CX3539" s="6"/>
      <c r="CY3539" s="6"/>
      <c r="CZ3539" s="6"/>
      <c r="DA3539" s="6"/>
      <c r="DB3539" s="6"/>
      <c r="DC3539" s="6"/>
      <c r="DD3539" s="6"/>
    </row>
    <row r="3540" spans="1:108" ht="12.75" hidden="1" customHeight="1" outlineLevel="5">
      <c r="A3540" s="104" t="s">
        <v>75</v>
      </c>
      <c r="B3540" s="105">
        <f t="shared" si="212"/>
        <v>1</v>
      </c>
      <c r="C3540" s="12"/>
      <c r="D3540" s="18" t="str">
        <f>"&lt;" &amp; A3540 &amp; "&gt;" &amp; TEXT(B3540,0) &amp; "&lt;/" &amp; A3540 &amp; "&gt;"</f>
        <v>&lt;AutoRefAreaFlag&gt;1&lt;/AutoRefAreaFlag&gt;</v>
      </c>
      <c r="F3540" s="6"/>
      <c r="G3540" s="6"/>
      <c r="H3540" s="6"/>
      <c r="I3540" s="6"/>
      <c r="J3540" s="6"/>
      <c r="K3540" s="6"/>
      <c r="L3540" s="6"/>
      <c r="M3540" s="6"/>
      <c r="N3540" s="6"/>
      <c r="O3540" s="6"/>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c r="BU3540" s="6"/>
      <c r="BV3540" s="6"/>
      <c r="BW3540" s="6"/>
      <c r="BX3540" s="6"/>
      <c r="BY3540" s="6"/>
      <c r="BZ3540" s="6"/>
      <c r="CA3540" s="6"/>
      <c r="CB3540" s="6"/>
      <c r="CC3540" s="6"/>
      <c r="CD3540" s="6"/>
      <c r="CE3540" s="6"/>
      <c r="CF3540" s="6"/>
      <c r="CG3540" s="6"/>
      <c r="CH3540" s="6"/>
      <c r="CI3540" s="6"/>
      <c r="CJ3540" s="6"/>
      <c r="CK3540" s="6"/>
      <c r="CL3540" s="6"/>
      <c r="CM3540" s="6"/>
      <c r="CN3540" s="6"/>
      <c r="CO3540" s="6"/>
      <c r="CP3540" s="6"/>
      <c r="CQ3540" s="6"/>
      <c r="CR3540" s="6"/>
      <c r="CS3540" s="6"/>
      <c r="CT3540" s="6"/>
      <c r="CU3540" s="6"/>
      <c r="CV3540" s="6"/>
      <c r="CW3540" s="6"/>
      <c r="CX3540" s="6"/>
      <c r="CY3540" s="6"/>
      <c r="CZ3540" s="6"/>
      <c r="DA3540" s="6"/>
      <c r="DB3540" s="6"/>
      <c r="DC3540" s="6"/>
      <c r="DD3540" s="6"/>
    </row>
    <row r="3541" spans="1:108" ht="12.75" hidden="1" customHeight="1" outlineLevel="5">
      <c r="A3541" s="104" t="s">
        <v>76</v>
      </c>
      <c r="B3541" s="105">
        <f t="shared" si="212"/>
        <v>1</v>
      </c>
      <c r="C3541" s="12"/>
      <c r="D3541" s="18" t="str">
        <f>"&lt;" &amp; A3541 &amp; "&gt;" &amp; TEXT(B3541,0) &amp; "&lt;/" &amp; A3541 &amp; "&gt;"</f>
        <v>&lt;AutoRefSpanFlag&gt;1&lt;/AutoRefSpanFlag&gt;</v>
      </c>
      <c r="F3541" s="6"/>
      <c r="G3541" s="6"/>
      <c r="H3541" s="6"/>
      <c r="I3541" s="6"/>
      <c r="J3541" s="6"/>
      <c r="K3541" s="6"/>
      <c r="L3541" s="6"/>
      <c r="M3541" s="6"/>
      <c r="N3541" s="6"/>
      <c r="O3541" s="6"/>
      <c r="P3541" s="6"/>
      <c r="Q3541" s="6"/>
      <c r="R3541" s="6"/>
      <c r="S3541" s="6"/>
      <c r="T3541" s="6"/>
      <c r="U3541" s="6"/>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c r="BU3541" s="6"/>
      <c r="BV3541" s="6"/>
      <c r="BW3541" s="6"/>
      <c r="BX3541" s="6"/>
      <c r="BY3541" s="6"/>
      <c r="BZ3541" s="6"/>
      <c r="CA3541" s="6"/>
      <c r="CB3541" s="6"/>
      <c r="CC3541" s="6"/>
      <c r="CD3541" s="6"/>
      <c r="CE3541" s="6"/>
      <c r="CF3541" s="6"/>
      <c r="CG3541" s="6"/>
      <c r="CH3541" s="6"/>
      <c r="CI3541" s="6"/>
      <c r="CJ3541" s="6"/>
      <c r="CK3541" s="6"/>
      <c r="CL3541" s="6"/>
      <c r="CM3541" s="6"/>
      <c r="CN3541" s="6"/>
      <c r="CO3541" s="6"/>
      <c r="CP3541" s="6"/>
      <c r="CQ3541" s="6"/>
      <c r="CR3541" s="6"/>
      <c r="CS3541" s="6"/>
      <c r="CT3541" s="6"/>
      <c r="CU3541" s="6"/>
      <c r="CV3541" s="6"/>
      <c r="CW3541" s="6"/>
      <c r="CX3541" s="6"/>
      <c r="CY3541" s="6"/>
      <c r="CZ3541" s="6"/>
      <c r="DA3541" s="6"/>
      <c r="DB3541" s="6"/>
      <c r="DC3541" s="6"/>
      <c r="DD3541" s="6"/>
    </row>
    <row r="3542" spans="1:108" ht="12.75" hidden="1" customHeight="1" outlineLevel="5">
      <c r="A3542" s="104" t="s">
        <v>77</v>
      </c>
      <c r="B3542" s="105">
        <f t="shared" si="212"/>
        <v>1</v>
      </c>
      <c r="C3542" s="12"/>
      <c r="D3542" s="18" t="str">
        <f>"&lt;" &amp; A3542 &amp; "&gt;" &amp; TEXT(B3542,0) &amp; "&lt;/" &amp; A3542 &amp; "&gt;"</f>
        <v>&lt;AutoRefCbarFlag&gt;1&lt;/AutoRefCbarFlag&gt;</v>
      </c>
      <c r="F3542" s="6"/>
      <c r="G3542" s="6"/>
      <c r="H3542" s="6"/>
      <c r="I3542" s="6"/>
      <c r="J3542" s="6"/>
      <c r="K3542" s="6"/>
      <c r="L3542" s="6"/>
      <c r="M3542" s="6"/>
      <c r="N3542" s="6"/>
      <c r="O3542" s="6"/>
      <c r="P3542" s="6"/>
      <c r="Q3542" s="6"/>
      <c r="R3542" s="6"/>
      <c r="S3542" s="6"/>
      <c r="T3542" s="6"/>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c r="BU3542" s="6"/>
      <c r="BV3542" s="6"/>
      <c r="BW3542" s="6"/>
      <c r="BX3542" s="6"/>
      <c r="BY3542" s="6"/>
      <c r="BZ3542" s="6"/>
      <c r="CA3542" s="6"/>
      <c r="CB3542" s="6"/>
      <c r="CC3542" s="6"/>
      <c r="CD3542" s="6"/>
      <c r="CE3542" s="6"/>
      <c r="CF3542" s="6"/>
      <c r="CG3542" s="6"/>
      <c r="CH3542" s="6"/>
      <c r="CI3542" s="6"/>
      <c r="CJ3542" s="6"/>
      <c r="CK3542" s="6"/>
      <c r="CL3542" s="6"/>
      <c r="CM3542" s="6"/>
      <c r="CN3542" s="6"/>
      <c r="CO3542" s="6"/>
      <c r="CP3542" s="6"/>
      <c r="CQ3542" s="6"/>
      <c r="CR3542" s="6"/>
      <c r="CS3542" s="6"/>
      <c r="CT3542" s="6"/>
      <c r="CU3542" s="6"/>
      <c r="CV3542" s="6"/>
      <c r="CW3542" s="6"/>
      <c r="CX3542" s="6"/>
      <c r="CY3542" s="6"/>
      <c r="CZ3542" s="6"/>
      <c r="DA3542" s="6"/>
      <c r="DB3542" s="6"/>
      <c r="DC3542" s="6"/>
      <c r="DD3542" s="6"/>
    </row>
    <row r="3543" spans="1:108" ht="12.75" hidden="1" customHeight="1" outlineLevel="5">
      <c r="A3543" s="104" t="s">
        <v>78</v>
      </c>
      <c r="B3543" s="105">
        <f t="shared" si="212"/>
        <v>0</v>
      </c>
      <c r="C3543" s="12"/>
      <c r="D3543" s="18" t="str">
        <f>"&lt;" &amp; A3543 &amp; "&gt;" &amp; TEXT(B3543,"0.000000") &amp; "&lt;/" &amp; A3543 &amp; "&gt;"</f>
        <v>&lt;AeroCenter_X&gt;0.000000&lt;/AeroCenter_X&gt;</v>
      </c>
      <c r="F3543" s="6"/>
      <c r="G3543" s="6"/>
      <c r="H3543" s="6"/>
      <c r="I3543" s="6"/>
      <c r="J3543" s="6"/>
      <c r="K3543" s="6"/>
      <c r="L3543" s="6"/>
      <c r="M3543" s="6"/>
      <c r="N3543" s="6"/>
      <c r="O3543" s="6"/>
      <c r="P3543" s="6"/>
      <c r="Q3543" s="6"/>
      <c r="R3543" s="6"/>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c r="BU3543" s="6"/>
      <c r="BV3543" s="6"/>
      <c r="BW3543" s="6"/>
      <c r="BX3543" s="6"/>
      <c r="BY3543" s="6"/>
      <c r="BZ3543" s="6"/>
      <c r="CA3543" s="6"/>
      <c r="CB3543" s="6"/>
      <c r="CC3543" s="6"/>
      <c r="CD3543" s="6"/>
      <c r="CE3543" s="6"/>
      <c r="CF3543" s="6"/>
      <c r="CG3543" s="6"/>
      <c r="CH3543" s="6"/>
      <c r="CI3543" s="6"/>
      <c r="CJ3543" s="6"/>
      <c r="CK3543" s="6"/>
      <c r="CL3543" s="6"/>
      <c r="CM3543" s="6"/>
      <c r="CN3543" s="6"/>
      <c r="CO3543" s="6"/>
      <c r="CP3543" s="6"/>
      <c r="CQ3543" s="6"/>
      <c r="CR3543" s="6"/>
      <c r="CS3543" s="6"/>
      <c r="CT3543" s="6"/>
      <c r="CU3543" s="6"/>
      <c r="CV3543" s="6"/>
      <c r="CW3543" s="6"/>
      <c r="CX3543" s="6"/>
      <c r="CY3543" s="6"/>
      <c r="CZ3543" s="6"/>
      <c r="DA3543" s="6"/>
      <c r="DB3543" s="6"/>
      <c r="DC3543" s="6"/>
      <c r="DD3543" s="6"/>
    </row>
    <row r="3544" spans="1:108" ht="12.75" hidden="1" customHeight="1" outlineLevel="5">
      <c r="A3544" s="104" t="s">
        <v>79</v>
      </c>
      <c r="B3544" s="105">
        <f t="shared" si="212"/>
        <v>0</v>
      </c>
      <c r="C3544" s="12"/>
      <c r="D3544" s="18" t="str">
        <f>"&lt;" &amp; A3544 &amp; "&gt;" &amp; TEXT(B3544,"0.000000") &amp; "&lt;/" &amp; A3544 &amp; "&gt;"</f>
        <v>&lt;AeroCenter_Y&gt;0.000000&lt;/AeroCenter_Y&gt;</v>
      </c>
      <c r="F3544" s="6"/>
      <c r="G3544" s="6"/>
      <c r="H3544" s="6"/>
      <c r="I3544" s="6"/>
      <c r="J3544" s="6"/>
      <c r="K3544" s="6"/>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c r="BU3544" s="6"/>
      <c r="BV3544" s="6"/>
      <c r="BW3544" s="6"/>
      <c r="BX3544" s="6"/>
      <c r="BY3544" s="6"/>
      <c r="BZ3544" s="6"/>
      <c r="CA3544" s="6"/>
      <c r="CB3544" s="6"/>
      <c r="CC3544" s="6"/>
      <c r="CD3544" s="6"/>
      <c r="CE3544" s="6"/>
      <c r="CF3544" s="6"/>
      <c r="CG3544" s="6"/>
      <c r="CH3544" s="6"/>
      <c r="CI3544" s="6"/>
      <c r="CJ3544" s="6"/>
      <c r="CK3544" s="6"/>
      <c r="CL3544" s="6"/>
      <c r="CM3544" s="6"/>
      <c r="CN3544" s="6"/>
      <c r="CO3544" s="6"/>
      <c r="CP3544" s="6"/>
      <c r="CQ3544" s="6"/>
      <c r="CR3544" s="6"/>
      <c r="CS3544" s="6"/>
      <c r="CT3544" s="6"/>
      <c r="CU3544" s="6"/>
      <c r="CV3544" s="6"/>
      <c r="CW3544" s="6"/>
      <c r="CX3544" s="6"/>
      <c r="CY3544" s="6"/>
      <c r="CZ3544" s="6"/>
      <c r="DA3544" s="6"/>
      <c r="DB3544" s="6"/>
      <c r="DC3544" s="6"/>
      <c r="DD3544" s="6"/>
    </row>
    <row r="3545" spans="1:108" ht="12.75" hidden="1" customHeight="1" outlineLevel="5">
      <c r="A3545" s="104" t="s">
        <v>80</v>
      </c>
      <c r="B3545" s="105">
        <f t="shared" si="212"/>
        <v>0</v>
      </c>
      <c r="C3545" s="12"/>
      <c r="D3545" s="18" t="str">
        <f>"&lt;" &amp; A3545 &amp; "&gt;" &amp; TEXT(B3545,"0.000000") &amp; "&lt;/" &amp; A3545 &amp; "&gt;"</f>
        <v>&lt;AeroCenter_Z&gt;0.000000&lt;/AeroCenter_Z&gt;</v>
      </c>
      <c r="F3545" s="6"/>
      <c r="G3545" s="6"/>
      <c r="H3545" s="6"/>
      <c r="I3545" s="6"/>
      <c r="J3545" s="6"/>
      <c r="K3545" s="6"/>
      <c r="L3545" s="6"/>
      <c r="M3545" s="6"/>
      <c r="N3545" s="6"/>
      <c r="O3545" s="6"/>
      <c r="P3545" s="6"/>
      <c r="Q3545" s="6"/>
      <c r="R3545" s="6"/>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c r="BU3545" s="6"/>
      <c r="BV3545" s="6"/>
      <c r="BW3545" s="6"/>
      <c r="BX3545" s="6"/>
      <c r="BY3545" s="6"/>
      <c r="BZ3545" s="6"/>
      <c r="CA3545" s="6"/>
      <c r="CB3545" s="6"/>
      <c r="CC3545" s="6"/>
      <c r="CD3545" s="6"/>
      <c r="CE3545" s="6"/>
      <c r="CF3545" s="6"/>
      <c r="CG3545" s="6"/>
      <c r="CH3545" s="6"/>
      <c r="CI3545" s="6"/>
      <c r="CJ3545" s="6"/>
      <c r="CK3545" s="6"/>
      <c r="CL3545" s="6"/>
      <c r="CM3545" s="6"/>
      <c r="CN3545" s="6"/>
      <c r="CO3545" s="6"/>
      <c r="CP3545" s="6"/>
      <c r="CQ3545" s="6"/>
      <c r="CR3545" s="6"/>
      <c r="CS3545" s="6"/>
      <c r="CT3545" s="6"/>
      <c r="CU3545" s="6"/>
      <c r="CV3545" s="6"/>
      <c r="CW3545" s="6"/>
      <c r="CX3545" s="6"/>
      <c r="CY3545" s="6"/>
      <c r="CZ3545" s="6"/>
      <c r="DA3545" s="6"/>
      <c r="DB3545" s="6"/>
      <c r="DC3545" s="6"/>
      <c r="DD3545" s="6"/>
    </row>
    <row r="3546" spans="1:108" ht="12.75" hidden="1" customHeight="1" outlineLevel="5">
      <c r="A3546" s="104" t="s">
        <v>81</v>
      </c>
      <c r="B3546" s="105">
        <f t="shared" si="212"/>
        <v>1</v>
      </c>
      <c r="C3546" s="12"/>
      <c r="D3546" s="18" t="str">
        <f>"&lt;" &amp; A3546 &amp; "&gt;" &amp; TEXT(B3546,0) &amp; "&lt;/" &amp; A3546 &amp; "&gt;"</f>
        <v>&lt;AutoAeroCenterFlag&gt;1&lt;/AutoAeroCenterFlag&gt;</v>
      </c>
      <c r="F3546" s="6"/>
      <c r="G3546" s="6"/>
      <c r="H3546" s="6"/>
      <c r="I3546" s="6"/>
      <c r="J3546" s="6"/>
      <c r="K3546" s="6"/>
      <c r="L3546" s="6"/>
      <c r="M3546" s="6"/>
      <c r="N3546" s="6"/>
      <c r="O3546" s="6"/>
      <c r="P3546" s="6"/>
      <c r="Q3546" s="6"/>
      <c r="R3546" s="6"/>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c r="BU3546" s="6"/>
      <c r="BV3546" s="6"/>
      <c r="BW3546" s="6"/>
      <c r="BX3546" s="6"/>
      <c r="BY3546" s="6"/>
      <c r="BZ3546" s="6"/>
      <c r="CA3546" s="6"/>
      <c r="CB3546" s="6"/>
      <c r="CC3546" s="6"/>
      <c r="CD3546" s="6"/>
      <c r="CE3546" s="6"/>
      <c r="CF3546" s="6"/>
      <c r="CG3546" s="6"/>
      <c r="CH3546" s="6"/>
      <c r="CI3546" s="6"/>
      <c r="CJ3546" s="6"/>
      <c r="CK3546" s="6"/>
      <c r="CL3546" s="6"/>
      <c r="CM3546" s="6"/>
      <c r="CN3546" s="6"/>
      <c r="CO3546" s="6"/>
      <c r="CP3546" s="6"/>
      <c r="CQ3546" s="6"/>
      <c r="CR3546" s="6"/>
      <c r="CS3546" s="6"/>
      <c r="CT3546" s="6"/>
      <c r="CU3546" s="6"/>
      <c r="CV3546" s="6"/>
      <c r="CW3546" s="6"/>
      <c r="CX3546" s="6"/>
      <c r="CY3546" s="6"/>
      <c r="CZ3546" s="6"/>
      <c r="DA3546" s="6"/>
      <c r="DB3546" s="6"/>
      <c r="DC3546" s="6"/>
      <c r="DD3546" s="6"/>
    </row>
    <row r="3547" spans="1:108" ht="12.75" hidden="1" customHeight="1" outlineLevel="5">
      <c r="A3547" s="104" t="s">
        <v>82</v>
      </c>
      <c r="B3547" s="105">
        <f t="shared" si="212"/>
        <v>0</v>
      </c>
      <c r="C3547" s="12"/>
      <c r="D3547" s="18" t="str">
        <f>"&lt;" &amp; A3547 &amp; "&gt;" &amp; TEXT(B3547,0) &amp; "&lt;/" &amp; A3547 &amp; "&gt;"</f>
        <v>&lt;WakeActiveFlag&gt;0&lt;/WakeActiveFlag&gt;</v>
      </c>
      <c r="F3547" s="6"/>
      <c r="G3547" s="6"/>
      <c r="H3547" s="6"/>
      <c r="I3547" s="6"/>
      <c r="J3547" s="6"/>
      <c r="K3547" s="6"/>
      <c r="L3547" s="6"/>
      <c r="M3547" s="6"/>
      <c r="N3547" s="6"/>
      <c r="O3547" s="6"/>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c r="BU3547" s="6"/>
      <c r="BV3547" s="6"/>
      <c r="BW3547" s="6"/>
      <c r="BX3547" s="6"/>
      <c r="BY3547" s="6"/>
      <c r="BZ3547" s="6"/>
      <c r="CA3547" s="6"/>
      <c r="CB3547" s="6"/>
      <c r="CC3547" s="6"/>
      <c r="CD3547" s="6"/>
      <c r="CE3547" s="6"/>
      <c r="CF3547" s="6"/>
      <c r="CG3547" s="6"/>
      <c r="CH3547" s="6"/>
      <c r="CI3547" s="6"/>
      <c r="CJ3547" s="6"/>
      <c r="CK3547" s="6"/>
      <c r="CL3547" s="6"/>
      <c r="CM3547" s="6"/>
      <c r="CN3547" s="6"/>
      <c r="CO3547" s="6"/>
      <c r="CP3547" s="6"/>
      <c r="CQ3547" s="6"/>
      <c r="CR3547" s="6"/>
      <c r="CS3547" s="6"/>
      <c r="CT3547" s="6"/>
      <c r="CU3547" s="6"/>
      <c r="CV3547" s="6"/>
      <c r="CW3547" s="6"/>
      <c r="CX3547" s="6"/>
      <c r="CY3547" s="6"/>
      <c r="CZ3547" s="6"/>
      <c r="DA3547" s="6"/>
      <c r="DB3547" s="6"/>
      <c r="DC3547" s="6"/>
      <c r="DD3547" s="6"/>
    </row>
    <row r="3548" spans="1:108" ht="12.75" hidden="1" customHeight="1" outlineLevel="5">
      <c r="A3548" s="104" t="s">
        <v>83</v>
      </c>
      <c r="B3548" s="105">
        <f t="shared" si="212"/>
        <v>0</v>
      </c>
      <c r="C3548" s="12"/>
      <c r="D3548" s="18" t="str">
        <f>"&lt;" &amp; A3548 &amp; "&gt;" &amp; TEXT(B3548,0) &amp; "&lt;/" &amp; A3548 &amp; "&gt;"</f>
        <v>&lt;PosAttachFlag&gt;0&lt;/PosAttachFlag&gt;</v>
      </c>
      <c r="F3548" s="6"/>
      <c r="G3548" s="6"/>
      <c r="H3548" s="6"/>
      <c r="I3548" s="6"/>
      <c r="J3548" s="6"/>
      <c r="K3548" s="6"/>
      <c r="L3548" s="6"/>
      <c r="M3548" s="6"/>
      <c r="N3548" s="6"/>
      <c r="O3548" s="6"/>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c r="BU3548" s="6"/>
      <c r="BV3548" s="6"/>
      <c r="BW3548" s="6"/>
      <c r="BX3548" s="6"/>
      <c r="BY3548" s="6"/>
      <c r="BZ3548" s="6"/>
      <c r="CA3548" s="6"/>
      <c r="CB3548" s="6"/>
      <c r="CC3548" s="6"/>
      <c r="CD3548" s="6"/>
      <c r="CE3548" s="6"/>
      <c r="CF3548" s="6"/>
      <c r="CG3548" s="6"/>
      <c r="CH3548" s="6"/>
      <c r="CI3548" s="6"/>
      <c r="CJ3548" s="6"/>
      <c r="CK3548" s="6"/>
      <c r="CL3548" s="6"/>
      <c r="CM3548" s="6"/>
      <c r="CN3548" s="6"/>
      <c r="CO3548" s="6"/>
      <c r="CP3548" s="6"/>
      <c r="CQ3548" s="6"/>
      <c r="CR3548" s="6"/>
      <c r="CS3548" s="6"/>
      <c r="CT3548" s="6"/>
      <c r="CU3548" s="6"/>
      <c r="CV3548" s="6"/>
      <c r="CW3548" s="6"/>
      <c r="CX3548" s="6"/>
      <c r="CY3548" s="6"/>
      <c r="CZ3548" s="6"/>
      <c r="DA3548" s="6"/>
      <c r="DB3548" s="6"/>
      <c r="DC3548" s="6"/>
      <c r="DD3548" s="6"/>
    </row>
    <row r="3549" spans="1:108" ht="12.75" hidden="1" customHeight="1" outlineLevel="5">
      <c r="A3549" s="104" t="s">
        <v>84</v>
      </c>
      <c r="B3549" s="105">
        <f t="shared" si="212"/>
        <v>0</v>
      </c>
      <c r="C3549" s="12"/>
      <c r="D3549" s="18" t="str">
        <f>"&lt;" &amp; A3549 &amp; "&gt;" &amp; TEXT(B3549,"0.000000") &amp; "&lt;/" &amp; A3549 &amp; "&gt;"</f>
        <v>&lt;U_Attach&gt;0.000000&lt;/U_Attach&gt;</v>
      </c>
      <c r="F3549" s="6"/>
      <c r="G3549" s="6"/>
      <c r="H3549" s="6"/>
      <c r="I3549" s="6"/>
      <c r="J3549" s="6"/>
      <c r="K3549" s="6"/>
      <c r="L3549" s="6"/>
      <c r="M3549" s="6"/>
      <c r="N3549" s="6"/>
      <c r="O3549" s="6"/>
      <c r="P3549" s="6"/>
      <c r="Q3549" s="6"/>
      <c r="R3549" s="6"/>
      <c r="S3549" s="6"/>
      <c r="T3549" s="6"/>
      <c r="U3549" s="6"/>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c r="BU3549" s="6"/>
      <c r="BV3549" s="6"/>
      <c r="BW3549" s="6"/>
      <c r="BX3549" s="6"/>
      <c r="BY3549" s="6"/>
      <c r="BZ3549" s="6"/>
      <c r="CA3549" s="6"/>
      <c r="CB3549" s="6"/>
      <c r="CC3549" s="6"/>
      <c r="CD3549" s="6"/>
      <c r="CE3549" s="6"/>
      <c r="CF3549" s="6"/>
      <c r="CG3549" s="6"/>
      <c r="CH3549" s="6"/>
      <c r="CI3549" s="6"/>
      <c r="CJ3549" s="6"/>
      <c r="CK3549" s="6"/>
      <c r="CL3549" s="6"/>
      <c r="CM3549" s="6"/>
      <c r="CN3549" s="6"/>
      <c r="CO3549" s="6"/>
      <c r="CP3549" s="6"/>
      <c r="CQ3549" s="6"/>
      <c r="CR3549" s="6"/>
      <c r="CS3549" s="6"/>
      <c r="CT3549" s="6"/>
      <c r="CU3549" s="6"/>
      <c r="CV3549" s="6"/>
      <c r="CW3549" s="6"/>
      <c r="CX3549" s="6"/>
      <c r="CY3549" s="6"/>
      <c r="CZ3549" s="6"/>
      <c r="DA3549" s="6"/>
      <c r="DB3549" s="6"/>
      <c r="DC3549" s="6"/>
      <c r="DD3549" s="6"/>
    </row>
    <row r="3550" spans="1:108" ht="12.75" hidden="1" customHeight="1" outlineLevel="5">
      <c r="A3550" s="104" t="s">
        <v>85</v>
      </c>
      <c r="B3550" s="105">
        <f t="shared" si="212"/>
        <v>0</v>
      </c>
      <c r="C3550" s="12"/>
      <c r="D3550" s="18" t="str">
        <f>"&lt;" &amp; A3550 &amp; "&gt;" &amp; TEXT(B3550,"0.000000") &amp; "&lt;/" &amp; A3550 &amp; "&gt;"</f>
        <v>&lt;V_Attach&gt;0.000000&lt;/V_Attach&gt;</v>
      </c>
      <c r="F3550" s="6"/>
      <c r="G3550" s="6"/>
      <c r="H3550" s="6"/>
      <c r="I3550" s="6"/>
      <c r="J3550" s="6"/>
      <c r="K3550" s="6"/>
      <c r="L3550" s="6"/>
      <c r="M3550" s="6"/>
      <c r="N3550" s="6"/>
      <c r="O3550" s="6"/>
      <c r="P3550" s="6"/>
      <c r="Q3550" s="6"/>
      <c r="R3550" s="6"/>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c r="BU3550" s="6"/>
      <c r="BV3550" s="6"/>
      <c r="BW3550" s="6"/>
      <c r="BX3550" s="6"/>
      <c r="BY3550" s="6"/>
      <c r="BZ3550" s="6"/>
      <c r="CA3550" s="6"/>
      <c r="CB3550" s="6"/>
      <c r="CC3550" s="6"/>
      <c r="CD3550" s="6"/>
      <c r="CE3550" s="6"/>
      <c r="CF3550" s="6"/>
      <c r="CG3550" s="6"/>
      <c r="CH3550" s="6"/>
      <c r="CI3550" s="6"/>
      <c r="CJ3550" s="6"/>
      <c r="CK3550" s="6"/>
      <c r="CL3550" s="6"/>
      <c r="CM3550" s="6"/>
      <c r="CN3550" s="6"/>
      <c r="CO3550" s="6"/>
      <c r="CP3550" s="6"/>
      <c r="CQ3550" s="6"/>
      <c r="CR3550" s="6"/>
      <c r="CS3550" s="6"/>
      <c r="CT3550" s="6"/>
      <c r="CU3550" s="6"/>
      <c r="CV3550" s="6"/>
      <c r="CW3550" s="6"/>
      <c r="CX3550" s="6"/>
      <c r="CY3550" s="6"/>
      <c r="CZ3550" s="6"/>
      <c r="DA3550" s="6"/>
      <c r="DB3550" s="6"/>
      <c r="DC3550" s="6"/>
      <c r="DD3550" s="6"/>
    </row>
    <row r="3551" spans="1:108" ht="12.75" hidden="1" customHeight="1" outlineLevel="5">
      <c r="A3551" s="104" t="s">
        <v>86</v>
      </c>
      <c r="B3551" s="105">
        <v>838</v>
      </c>
      <c r="C3551" s="12"/>
      <c r="D3551" s="18" t="str">
        <f>"&lt;" &amp; A3551 &amp; "&gt;" &amp; TEXT(B3551,0) &amp; "&lt;/" &amp; A3551 &amp; "&gt;"</f>
        <v>&lt;PtrID&gt;838&lt;/PtrID&gt;</v>
      </c>
      <c r="F3551" s="6"/>
      <c r="G3551" s="6"/>
      <c r="H3551" s="6"/>
      <c r="I3551" s="6"/>
      <c r="J3551" s="6"/>
      <c r="K3551" s="6"/>
      <c r="L3551" s="6"/>
      <c r="M3551" s="6"/>
      <c r="N3551" s="6"/>
      <c r="O3551" s="6"/>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c r="BU3551" s="6"/>
      <c r="BV3551" s="6"/>
      <c r="BW3551" s="6"/>
      <c r="BX3551" s="6"/>
      <c r="BY3551" s="6"/>
      <c r="BZ3551" s="6"/>
      <c r="CA3551" s="6"/>
      <c r="CB3551" s="6"/>
      <c r="CC3551" s="6"/>
      <c r="CD3551" s="6"/>
      <c r="CE3551" s="6"/>
      <c r="CF3551" s="6"/>
      <c r="CG3551" s="6"/>
      <c r="CH3551" s="6"/>
      <c r="CI3551" s="6"/>
      <c r="CJ3551" s="6"/>
      <c r="CK3551" s="6"/>
      <c r="CL3551" s="6"/>
      <c r="CM3551" s="6"/>
      <c r="CN3551" s="6"/>
      <c r="CO3551" s="6"/>
      <c r="CP3551" s="6"/>
      <c r="CQ3551" s="6"/>
      <c r="CR3551" s="6"/>
      <c r="CS3551" s="6"/>
      <c r="CT3551" s="6"/>
      <c r="CU3551" s="6"/>
      <c r="CV3551" s="6"/>
      <c r="CW3551" s="6"/>
      <c r="CX3551" s="6"/>
      <c r="CY3551" s="6"/>
      <c r="CZ3551" s="6"/>
      <c r="DA3551" s="6"/>
      <c r="DB3551" s="6"/>
      <c r="DC3551" s="6"/>
      <c r="DD3551" s="6"/>
    </row>
    <row r="3552" spans="1:108" ht="12.75" hidden="1" customHeight="1" outlineLevel="5">
      <c r="A3552" s="104" t="s">
        <v>87</v>
      </c>
      <c r="B3552" s="105">
        <v>0</v>
      </c>
      <c r="C3552" s="12"/>
      <c r="D3552" s="18" t="str">
        <f>"&lt;" &amp; A3552 &amp; "&gt;" &amp; TEXT(B3552,0) &amp; "&lt;/" &amp; A3552 &amp; "&gt;"</f>
        <v>&lt;Parent_PtrID&gt;0&lt;/Parent_PtrID&gt;</v>
      </c>
      <c r="F3552" s="6"/>
      <c r="G3552" s="6"/>
      <c r="H3552" s="6"/>
      <c r="I3552" s="6"/>
      <c r="J3552" s="6"/>
      <c r="K3552" s="6"/>
      <c r="L3552" s="6"/>
      <c r="M3552" s="6"/>
      <c r="N3552" s="6"/>
      <c r="O3552" s="6"/>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c r="BU3552" s="6"/>
      <c r="BV3552" s="6"/>
      <c r="BW3552" s="6"/>
      <c r="BX3552" s="6"/>
      <c r="BY3552" s="6"/>
      <c r="BZ3552" s="6"/>
      <c r="CA3552" s="6"/>
      <c r="CB3552" s="6"/>
      <c r="CC3552" s="6"/>
      <c r="CD3552" s="6"/>
      <c r="CE3552" s="6"/>
      <c r="CF3552" s="6"/>
      <c r="CG3552" s="6"/>
      <c r="CH3552" s="6"/>
      <c r="CI3552" s="6"/>
      <c r="CJ3552" s="6"/>
      <c r="CK3552" s="6"/>
      <c r="CL3552" s="6"/>
      <c r="CM3552" s="6"/>
      <c r="CN3552" s="6"/>
      <c r="CO3552" s="6"/>
      <c r="CP3552" s="6"/>
      <c r="CQ3552" s="6"/>
      <c r="CR3552" s="6"/>
      <c r="CS3552" s="6"/>
      <c r="CT3552" s="6"/>
      <c r="CU3552" s="6"/>
      <c r="CV3552" s="6"/>
      <c r="CW3552" s="6"/>
      <c r="CX3552" s="6"/>
      <c r="CY3552" s="6"/>
      <c r="CZ3552" s="6"/>
      <c r="DA3552" s="6"/>
      <c r="DB3552" s="6"/>
      <c r="DC3552" s="6"/>
      <c r="DD3552" s="6"/>
    </row>
    <row r="3553" spans="1:108" ht="12.75" hidden="1" customHeight="1" outlineLevel="5">
      <c r="A3553" s="104" t="s">
        <v>88</v>
      </c>
      <c r="C3553" s="12"/>
      <c r="D3553" s="6" t="str">
        <f>"&lt;" &amp; A3553 &amp; "&gt;"</f>
        <v>&lt;/General_Parms&gt;</v>
      </c>
      <c r="F3553" s="6"/>
      <c r="G3553" s="6"/>
      <c r="H3553" s="6"/>
      <c r="I3553" s="6"/>
      <c r="J3553" s="6"/>
      <c r="K3553" s="6"/>
      <c r="L3553" s="6"/>
      <c r="M3553" s="6"/>
      <c r="N3553" s="6"/>
      <c r="O3553" s="6"/>
      <c r="P3553" s="6"/>
      <c r="Q3553" s="6"/>
      <c r="R3553" s="6"/>
      <c r="S3553" s="6"/>
      <c r="T3553" s="6"/>
      <c r="U3553" s="6"/>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c r="BU3553" s="6"/>
      <c r="BV3553" s="6"/>
      <c r="BW3553" s="6"/>
      <c r="BX3553" s="6"/>
      <c r="BY3553" s="6"/>
      <c r="BZ3553" s="6"/>
      <c r="CA3553" s="6"/>
      <c r="CB3553" s="6"/>
      <c r="CC3553" s="6"/>
      <c r="CD3553" s="6"/>
      <c r="CE3553" s="6"/>
      <c r="CF3553" s="6"/>
      <c r="CG3553" s="6"/>
      <c r="CH3553" s="6"/>
      <c r="CI3553" s="6"/>
      <c r="CJ3553" s="6"/>
      <c r="CK3553" s="6"/>
      <c r="CL3553" s="6"/>
      <c r="CM3553" s="6"/>
      <c r="CN3553" s="6"/>
      <c r="CO3553" s="6"/>
      <c r="CP3553" s="6"/>
      <c r="CQ3553" s="6"/>
      <c r="CR3553" s="6"/>
      <c r="CS3553" s="6"/>
      <c r="CT3553" s="6"/>
      <c r="CU3553" s="6"/>
      <c r="CV3553" s="6"/>
      <c r="CW3553" s="6"/>
      <c r="CX3553" s="6"/>
      <c r="CY3553" s="6"/>
      <c r="CZ3553" s="6"/>
      <c r="DA3553" s="6"/>
      <c r="DB3553" s="6"/>
      <c r="DC3553" s="6"/>
      <c r="DD3553" s="6"/>
    </row>
    <row r="3554" spans="1:108" ht="12.75" hidden="1" customHeight="1" outlineLevel="4" collapsed="1">
      <c r="A3554" s="104" t="s">
        <v>285</v>
      </c>
      <c r="C3554" s="12"/>
      <c r="D3554" s="6" t="str">
        <f>"&lt;" &amp; A3554 &amp; "&gt;"</f>
        <v>&lt;Duct_Parms&gt;</v>
      </c>
      <c r="F3554" s="6"/>
      <c r="G3554" s="6"/>
      <c r="H3554" s="6"/>
      <c r="I3554" s="6"/>
      <c r="J3554" s="6"/>
      <c r="K3554" s="6"/>
      <c r="L3554" s="6"/>
      <c r="M3554" s="6"/>
      <c r="N3554" s="6"/>
      <c r="O3554" s="6"/>
      <c r="P3554" s="6"/>
      <c r="Q3554" s="6"/>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c r="BU3554" s="6"/>
      <c r="BV3554" s="6"/>
      <c r="BW3554" s="6"/>
      <c r="BX3554" s="6"/>
      <c r="BY3554" s="6"/>
      <c r="BZ3554" s="6"/>
      <c r="CA3554" s="6"/>
      <c r="CB3554" s="6"/>
      <c r="CC3554" s="6"/>
      <c r="CD3554" s="6"/>
      <c r="CE3554" s="6"/>
      <c r="CF3554" s="6"/>
      <c r="CG3554" s="6"/>
      <c r="CH3554" s="6"/>
      <c r="CI3554" s="6"/>
      <c r="CJ3554" s="6"/>
      <c r="CK3554" s="6"/>
      <c r="CL3554" s="6"/>
      <c r="CM3554" s="6"/>
      <c r="CN3554" s="6"/>
      <c r="CO3554" s="6"/>
      <c r="CP3554" s="6"/>
      <c r="CQ3554" s="6"/>
      <c r="CR3554" s="6"/>
      <c r="CS3554" s="6"/>
      <c r="CT3554" s="6"/>
      <c r="CU3554" s="6"/>
      <c r="CV3554" s="6"/>
      <c r="CW3554" s="6"/>
      <c r="CX3554" s="6"/>
      <c r="CY3554" s="6"/>
      <c r="CZ3554" s="6"/>
      <c r="DA3554" s="6"/>
      <c r="DB3554" s="6"/>
      <c r="DC3554" s="6"/>
      <c r="DD3554" s="6"/>
    </row>
    <row r="3555" spans="1:108" ht="12.75" hidden="1" customHeight="1" outlineLevel="5">
      <c r="A3555" s="104" t="s">
        <v>286</v>
      </c>
      <c r="B3555" s="105">
        <f t="shared" ref="B3555:B3561" si="213">B3393</f>
        <v>0.3</v>
      </c>
      <c r="C3555" s="12"/>
      <c r="D3555" s="18" t="str">
        <f t="shared" ref="D3555:D3561" si="214">"&lt;" &amp; A3555 &amp; "&gt;" &amp; TEXT(B3555,"0.000000") &amp; "&lt;/" &amp; A3555 &amp; "&gt;"</f>
        <v>&lt;Length&gt;0.300000&lt;/Length&gt;</v>
      </c>
      <c r="F3555" s="6"/>
      <c r="G3555" s="6"/>
      <c r="H3555" s="6"/>
      <c r="I3555" s="6"/>
      <c r="J3555" s="6"/>
      <c r="K3555" s="6"/>
      <c r="L3555" s="6"/>
      <c r="M3555" s="6"/>
      <c r="N3555" s="6"/>
      <c r="O3555" s="6"/>
      <c r="P3555" s="6"/>
      <c r="Q3555" s="6"/>
      <c r="R3555" s="6"/>
      <c r="S3555" s="6"/>
      <c r="T3555" s="6"/>
      <c r="U3555" s="6"/>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c r="BU3555" s="6"/>
      <c r="BV3555" s="6"/>
      <c r="BW3555" s="6"/>
      <c r="BX3555" s="6"/>
      <c r="BY3555" s="6"/>
      <c r="BZ3555" s="6"/>
      <c r="CA3555" s="6"/>
      <c r="CB3555" s="6"/>
      <c r="CC3555" s="6"/>
      <c r="CD3555" s="6"/>
      <c r="CE3555" s="6"/>
      <c r="CF3555" s="6"/>
      <c r="CG3555" s="6"/>
      <c r="CH3555" s="6"/>
      <c r="CI3555" s="6"/>
      <c r="CJ3555" s="6"/>
      <c r="CK3555" s="6"/>
      <c r="CL3555" s="6"/>
      <c r="CM3555" s="6"/>
      <c r="CN3555" s="6"/>
      <c r="CO3555" s="6"/>
      <c r="CP3555" s="6"/>
      <c r="CQ3555" s="6"/>
      <c r="CR3555" s="6"/>
      <c r="CS3555" s="6"/>
      <c r="CT3555" s="6"/>
      <c r="CU3555" s="6"/>
      <c r="CV3555" s="6"/>
      <c r="CW3555" s="6"/>
      <c r="CX3555" s="6"/>
      <c r="CY3555" s="6"/>
      <c r="CZ3555" s="6"/>
      <c r="DA3555" s="6"/>
      <c r="DB3555" s="6"/>
      <c r="DC3555" s="6"/>
      <c r="DD3555" s="6"/>
    </row>
    <row r="3556" spans="1:108" ht="12.75" hidden="1" customHeight="1" outlineLevel="5">
      <c r="A3556" s="104" t="s">
        <v>287</v>
      </c>
      <c r="B3556" s="105">
        <f t="shared" si="213"/>
        <v>0.3</v>
      </c>
      <c r="C3556" s="12"/>
      <c r="D3556" s="18" t="str">
        <f t="shared" si="214"/>
        <v>&lt;Chord&gt;0.300000&lt;/Chord&gt;</v>
      </c>
      <c r="F3556" s="6"/>
      <c r="G3556" s="6"/>
      <c r="H3556" s="6"/>
      <c r="I3556" s="6"/>
      <c r="J3556" s="6"/>
      <c r="K3556" s="6"/>
      <c r="L3556" s="6"/>
      <c r="M3556" s="6"/>
      <c r="N3556" s="6"/>
      <c r="O3556" s="6"/>
      <c r="P3556" s="6"/>
      <c r="Q3556" s="6"/>
      <c r="R3556" s="6"/>
      <c r="S3556" s="6"/>
      <c r="T3556" s="6"/>
      <c r="U3556" s="6"/>
      <c r="V3556" s="6"/>
      <c r="W3556" s="6"/>
      <c r="X3556" s="6"/>
      <c r="Y3556" s="6"/>
      <c r="Z3556" s="6"/>
      <c r="AA3556" s="6"/>
      <c r="AB3556" s="6"/>
      <c r="AC3556" s="6"/>
      <c r="AD3556" s="6"/>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c r="BU3556" s="6"/>
      <c r="BV3556" s="6"/>
      <c r="BW3556" s="6"/>
      <c r="BX3556" s="6"/>
      <c r="BY3556" s="6"/>
      <c r="BZ3556" s="6"/>
      <c r="CA3556" s="6"/>
      <c r="CB3556" s="6"/>
      <c r="CC3556" s="6"/>
      <c r="CD3556" s="6"/>
      <c r="CE3556" s="6"/>
      <c r="CF3556" s="6"/>
      <c r="CG3556" s="6"/>
      <c r="CH3556" s="6"/>
      <c r="CI3556" s="6"/>
      <c r="CJ3556" s="6"/>
      <c r="CK3556" s="6"/>
      <c r="CL3556" s="6"/>
      <c r="CM3556" s="6"/>
      <c r="CN3556" s="6"/>
      <c r="CO3556" s="6"/>
      <c r="CP3556" s="6"/>
      <c r="CQ3556" s="6"/>
      <c r="CR3556" s="6"/>
      <c r="CS3556" s="6"/>
      <c r="CT3556" s="6"/>
      <c r="CU3556" s="6"/>
      <c r="CV3556" s="6"/>
      <c r="CW3556" s="6"/>
      <c r="CX3556" s="6"/>
      <c r="CY3556" s="6"/>
      <c r="CZ3556" s="6"/>
      <c r="DA3556" s="6"/>
      <c r="DB3556" s="6"/>
      <c r="DC3556" s="6"/>
      <c r="DD3556" s="6"/>
    </row>
    <row r="3557" spans="1:108" ht="12.75" hidden="1" customHeight="1" outlineLevel="5">
      <c r="A3557" s="104" t="s">
        <v>288</v>
      </c>
      <c r="B3557" s="105">
        <f t="shared" si="213"/>
        <v>1</v>
      </c>
      <c r="C3557" s="12"/>
      <c r="D3557" s="18" t="str">
        <f t="shared" si="214"/>
        <v>&lt;Inlet_Dia&gt;1.000000&lt;/Inlet_Dia&gt;</v>
      </c>
      <c r="F3557" s="6"/>
      <c r="G3557" s="6"/>
      <c r="H3557" s="6"/>
      <c r="I3557" s="6"/>
      <c r="J3557" s="6"/>
      <c r="K3557" s="6"/>
      <c r="L3557" s="6"/>
      <c r="M3557" s="6"/>
      <c r="N3557" s="6"/>
      <c r="O3557" s="6"/>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c r="BU3557" s="6"/>
      <c r="BV3557" s="6"/>
      <c r="BW3557" s="6"/>
      <c r="BX3557" s="6"/>
      <c r="BY3557" s="6"/>
      <c r="BZ3557" s="6"/>
      <c r="CA3557" s="6"/>
      <c r="CB3557" s="6"/>
      <c r="CC3557" s="6"/>
      <c r="CD3557" s="6"/>
      <c r="CE3557" s="6"/>
      <c r="CF3557" s="6"/>
      <c r="CG3557" s="6"/>
      <c r="CH3557" s="6"/>
      <c r="CI3557" s="6"/>
      <c r="CJ3557" s="6"/>
      <c r="CK3557" s="6"/>
      <c r="CL3557" s="6"/>
      <c r="CM3557" s="6"/>
      <c r="CN3557" s="6"/>
      <c r="CO3557" s="6"/>
      <c r="CP3557" s="6"/>
      <c r="CQ3557" s="6"/>
      <c r="CR3557" s="6"/>
      <c r="CS3557" s="6"/>
      <c r="CT3557" s="6"/>
      <c r="CU3557" s="6"/>
      <c r="CV3557" s="6"/>
      <c r="CW3557" s="6"/>
      <c r="CX3557" s="6"/>
      <c r="CY3557" s="6"/>
      <c r="CZ3557" s="6"/>
      <c r="DA3557" s="6"/>
      <c r="DB3557" s="6"/>
      <c r="DC3557" s="6"/>
      <c r="DD3557" s="6"/>
    </row>
    <row r="3558" spans="1:108" ht="12.75" hidden="1" customHeight="1" outlineLevel="5">
      <c r="A3558" s="104" t="s">
        <v>289</v>
      </c>
      <c r="B3558" s="105">
        <f t="shared" si="213"/>
        <v>0.78539800000000004</v>
      </c>
      <c r="C3558" s="12"/>
      <c r="D3558" s="18" t="str">
        <f t="shared" si="214"/>
        <v>&lt;Inlet_Area&gt;0.785398&lt;/Inlet_Area&gt;</v>
      </c>
      <c r="F3558" s="6"/>
      <c r="G3558" s="6"/>
      <c r="H3558" s="6"/>
      <c r="I3558" s="6"/>
      <c r="J3558" s="6"/>
      <c r="K3558" s="6"/>
      <c r="L3558" s="6"/>
      <c r="M3558" s="6"/>
      <c r="N3558" s="6"/>
      <c r="O3558" s="6"/>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c r="BU3558" s="6"/>
      <c r="BV3558" s="6"/>
      <c r="BW3558" s="6"/>
      <c r="BX3558" s="6"/>
      <c r="BY3558" s="6"/>
      <c r="BZ3558" s="6"/>
      <c r="CA3558" s="6"/>
      <c r="CB3558" s="6"/>
      <c r="CC3558" s="6"/>
      <c r="CD3558" s="6"/>
      <c r="CE3558" s="6"/>
      <c r="CF3558" s="6"/>
      <c r="CG3558" s="6"/>
      <c r="CH3558" s="6"/>
      <c r="CI3558" s="6"/>
      <c r="CJ3558" s="6"/>
      <c r="CK3558" s="6"/>
      <c r="CL3558" s="6"/>
      <c r="CM3558" s="6"/>
      <c r="CN3558" s="6"/>
      <c r="CO3558" s="6"/>
      <c r="CP3558" s="6"/>
      <c r="CQ3558" s="6"/>
      <c r="CR3558" s="6"/>
      <c r="CS3558" s="6"/>
      <c r="CT3558" s="6"/>
      <c r="CU3558" s="6"/>
      <c r="CV3558" s="6"/>
      <c r="CW3558" s="6"/>
      <c r="CX3558" s="6"/>
      <c r="CY3558" s="6"/>
      <c r="CZ3558" s="6"/>
      <c r="DA3558" s="6"/>
      <c r="DB3558" s="6"/>
      <c r="DC3558" s="6"/>
      <c r="DD3558" s="6"/>
    </row>
    <row r="3559" spans="1:108" ht="12.75" hidden="1" customHeight="1" outlineLevel="5">
      <c r="A3559" s="104" t="s">
        <v>290</v>
      </c>
      <c r="B3559" s="105">
        <f t="shared" si="213"/>
        <v>1</v>
      </c>
      <c r="C3559" s="12"/>
      <c r="D3559" s="18" t="str">
        <f t="shared" si="214"/>
        <v>&lt;Outlet_Dia&gt;1.000000&lt;/Outlet_Dia&gt;</v>
      </c>
      <c r="F3559" s="6"/>
      <c r="G3559" s="6"/>
      <c r="H3559" s="6"/>
      <c r="I3559" s="6"/>
      <c r="J3559" s="6"/>
      <c r="K3559" s="6"/>
      <c r="L3559" s="6"/>
      <c r="M3559" s="6"/>
      <c r="N3559" s="6"/>
      <c r="O3559" s="6"/>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c r="BU3559" s="6"/>
      <c r="BV3559" s="6"/>
      <c r="BW3559" s="6"/>
      <c r="BX3559" s="6"/>
      <c r="BY3559" s="6"/>
      <c r="BZ3559" s="6"/>
      <c r="CA3559" s="6"/>
      <c r="CB3559" s="6"/>
      <c r="CC3559" s="6"/>
      <c r="CD3559" s="6"/>
      <c r="CE3559" s="6"/>
      <c r="CF3559" s="6"/>
      <c r="CG3559" s="6"/>
      <c r="CH3559" s="6"/>
      <c r="CI3559" s="6"/>
      <c r="CJ3559" s="6"/>
      <c r="CK3559" s="6"/>
      <c r="CL3559" s="6"/>
      <c r="CM3559" s="6"/>
      <c r="CN3559" s="6"/>
      <c r="CO3559" s="6"/>
      <c r="CP3559" s="6"/>
      <c r="CQ3559" s="6"/>
      <c r="CR3559" s="6"/>
      <c r="CS3559" s="6"/>
      <c r="CT3559" s="6"/>
      <c r="CU3559" s="6"/>
      <c r="CV3559" s="6"/>
      <c r="CW3559" s="6"/>
      <c r="CX3559" s="6"/>
      <c r="CY3559" s="6"/>
      <c r="CZ3559" s="6"/>
      <c r="DA3559" s="6"/>
      <c r="DB3559" s="6"/>
      <c r="DC3559" s="6"/>
      <c r="DD3559" s="6"/>
    </row>
    <row r="3560" spans="1:108" ht="12.75" hidden="1" customHeight="1" outlineLevel="5">
      <c r="A3560" s="104" t="s">
        <v>291</v>
      </c>
      <c r="B3560" s="105">
        <f t="shared" si="213"/>
        <v>0.78539800000000004</v>
      </c>
      <c r="C3560" s="12"/>
      <c r="D3560" s="18" t="str">
        <f t="shared" si="214"/>
        <v>&lt;Outlet_Area&gt;0.785398&lt;/Outlet_Area&gt;</v>
      </c>
      <c r="F3560" s="6"/>
      <c r="G3560" s="6"/>
      <c r="H3560" s="6"/>
      <c r="I3560" s="6"/>
      <c r="J3560" s="6"/>
      <c r="K3560" s="6"/>
      <c r="L3560" s="6"/>
      <c r="M3560" s="6"/>
      <c r="N3560" s="6"/>
      <c r="O3560" s="6"/>
      <c r="P3560" s="6"/>
      <c r="Q3560" s="6"/>
      <c r="R3560" s="6"/>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c r="BU3560" s="6"/>
      <c r="BV3560" s="6"/>
      <c r="BW3560" s="6"/>
      <c r="BX3560" s="6"/>
      <c r="BY3560" s="6"/>
      <c r="BZ3560" s="6"/>
      <c r="CA3560" s="6"/>
      <c r="CB3560" s="6"/>
      <c r="CC3560" s="6"/>
      <c r="CD3560" s="6"/>
      <c r="CE3560" s="6"/>
      <c r="CF3560" s="6"/>
      <c r="CG3560" s="6"/>
      <c r="CH3560" s="6"/>
      <c r="CI3560" s="6"/>
      <c r="CJ3560" s="6"/>
      <c r="CK3560" s="6"/>
      <c r="CL3560" s="6"/>
      <c r="CM3560" s="6"/>
      <c r="CN3560" s="6"/>
      <c r="CO3560" s="6"/>
      <c r="CP3560" s="6"/>
      <c r="CQ3560" s="6"/>
      <c r="CR3560" s="6"/>
      <c r="CS3560" s="6"/>
      <c r="CT3560" s="6"/>
      <c r="CU3560" s="6"/>
      <c r="CV3560" s="6"/>
      <c r="CW3560" s="6"/>
      <c r="CX3560" s="6"/>
      <c r="CY3560" s="6"/>
      <c r="CZ3560" s="6"/>
      <c r="DA3560" s="6"/>
      <c r="DB3560" s="6"/>
      <c r="DC3560" s="6"/>
      <c r="DD3560" s="6"/>
    </row>
    <row r="3561" spans="1:108" ht="12.75" hidden="1" customHeight="1" outlineLevel="5">
      <c r="A3561" s="104" t="s">
        <v>292</v>
      </c>
      <c r="B3561" s="105">
        <f t="shared" si="213"/>
        <v>1</v>
      </c>
      <c r="C3561" s="12"/>
      <c r="D3561" s="18" t="str">
        <f t="shared" si="214"/>
        <v>&lt;Inlet_Outlet&gt;1.000000&lt;/Inlet_Outlet&gt;</v>
      </c>
      <c r="F3561" s="6"/>
      <c r="G3561" s="6"/>
      <c r="H3561" s="6"/>
      <c r="I3561" s="6"/>
      <c r="J3561" s="6"/>
      <c r="K3561" s="6"/>
      <c r="L3561" s="6"/>
      <c r="M3561" s="6"/>
      <c r="N3561" s="6"/>
      <c r="O3561" s="6"/>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c r="BU3561" s="6"/>
      <c r="BV3561" s="6"/>
      <c r="BW3561" s="6"/>
      <c r="BX3561" s="6"/>
      <c r="BY3561" s="6"/>
      <c r="BZ3561" s="6"/>
      <c r="CA3561" s="6"/>
      <c r="CB3561" s="6"/>
      <c r="CC3561" s="6"/>
      <c r="CD3561" s="6"/>
      <c r="CE3561" s="6"/>
      <c r="CF3561" s="6"/>
      <c r="CG3561" s="6"/>
      <c r="CH3561" s="6"/>
      <c r="CI3561" s="6"/>
      <c r="CJ3561" s="6"/>
      <c r="CK3561" s="6"/>
      <c r="CL3561" s="6"/>
      <c r="CM3561" s="6"/>
      <c r="CN3561" s="6"/>
      <c r="CO3561" s="6"/>
      <c r="CP3561" s="6"/>
      <c r="CQ3561" s="6"/>
      <c r="CR3561" s="6"/>
      <c r="CS3561" s="6"/>
      <c r="CT3561" s="6"/>
      <c r="CU3561" s="6"/>
      <c r="CV3561" s="6"/>
      <c r="CW3561" s="6"/>
      <c r="CX3561" s="6"/>
      <c r="CY3561" s="6"/>
      <c r="CZ3561" s="6"/>
      <c r="DA3561" s="6"/>
      <c r="DB3561" s="6"/>
      <c r="DC3561" s="6"/>
      <c r="DD3561" s="6"/>
    </row>
    <row r="3562" spans="1:108" ht="12.75" hidden="1" customHeight="1" outlineLevel="5">
      <c r="A3562" s="104" t="s">
        <v>293</v>
      </c>
      <c r="C3562" s="12"/>
      <c r="D3562" s="6" t="str">
        <f>"&lt;" &amp; A3562 &amp; "&gt;"</f>
        <v>&lt;/Duct_Parms&gt;</v>
      </c>
      <c r="F3562" s="6"/>
      <c r="G3562" s="6"/>
      <c r="H3562" s="6"/>
      <c r="I3562" s="6"/>
      <c r="J3562" s="6"/>
      <c r="K3562" s="6"/>
      <c r="L3562" s="6"/>
      <c r="M3562" s="6"/>
      <c r="N3562" s="6"/>
      <c r="O3562" s="6"/>
      <c r="P3562" s="6"/>
      <c r="Q3562" s="6"/>
      <c r="R3562" s="6"/>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c r="BU3562" s="6"/>
      <c r="BV3562" s="6"/>
      <c r="BW3562" s="6"/>
      <c r="BX3562" s="6"/>
      <c r="BY3562" s="6"/>
      <c r="BZ3562" s="6"/>
      <c r="CA3562" s="6"/>
      <c r="CB3562" s="6"/>
      <c r="CC3562" s="6"/>
      <c r="CD3562" s="6"/>
      <c r="CE3562" s="6"/>
      <c r="CF3562" s="6"/>
      <c r="CG3562" s="6"/>
      <c r="CH3562" s="6"/>
      <c r="CI3562" s="6"/>
      <c r="CJ3562" s="6"/>
      <c r="CK3562" s="6"/>
      <c r="CL3562" s="6"/>
      <c r="CM3562" s="6"/>
      <c r="CN3562" s="6"/>
      <c r="CO3562" s="6"/>
      <c r="CP3562" s="6"/>
      <c r="CQ3562" s="6"/>
      <c r="CR3562" s="6"/>
      <c r="CS3562" s="6"/>
      <c r="CT3562" s="6"/>
      <c r="CU3562" s="6"/>
      <c r="CV3562" s="6"/>
      <c r="CW3562" s="6"/>
      <c r="CX3562" s="6"/>
      <c r="CY3562" s="6"/>
      <c r="CZ3562" s="6"/>
      <c r="DA3562" s="6"/>
      <c r="DB3562" s="6"/>
      <c r="DC3562" s="6"/>
      <c r="DD3562" s="6"/>
    </row>
    <row r="3563" spans="1:108" ht="12.75" hidden="1" customHeight="1" outlineLevel="4" collapsed="1">
      <c r="A3563" s="104" t="s">
        <v>2</v>
      </c>
      <c r="C3563" s="12"/>
      <c r="D3563" s="6" t="str">
        <f>"&lt;" &amp; A3563 &amp; "&gt;"</f>
        <v>&lt;Airfoil&gt;</v>
      </c>
      <c r="F3563" s="6"/>
      <c r="G3563" s="6"/>
      <c r="H3563" s="6"/>
      <c r="I3563" s="6"/>
      <c r="J3563" s="6"/>
      <c r="K3563" s="6"/>
      <c r="L3563" s="6"/>
      <c r="M3563" s="6"/>
      <c r="N3563" s="6"/>
      <c r="O3563" s="6"/>
      <c r="P3563" s="6"/>
      <c r="Q3563" s="6"/>
      <c r="R3563" s="6"/>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c r="BU3563" s="6"/>
      <c r="BV3563" s="6"/>
      <c r="BW3563" s="6"/>
      <c r="BX3563" s="6"/>
      <c r="BY3563" s="6"/>
      <c r="BZ3563" s="6"/>
      <c r="CA3563" s="6"/>
      <c r="CB3563" s="6"/>
      <c r="CC3563" s="6"/>
      <c r="CD3563" s="6"/>
      <c r="CE3563" s="6"/>
      <c r="CF3563" s="6"/>
      <c r="CG3563" s="6"/>
      <c r="CH3563" s="6"/>
      <c r="CI3563" s="6"/>
      <c r="CJ3563" s="6"/>
      <c r="CK3563" s="6"/>
      <c r="CL3563" s="6"/>
      <c r="CM3563" s="6"/>
      <c r="CN3563" s="6"/>
      <c r="CO3563" s="6"/>
      <c r="CP3563" s="6"/>
      <c r="CQ3563" s="6"/>
      <c r="CR3563" s="6"/>
      <c r="CS3563" s="6"/>
      <c r="CT3563" s="6"/>
      <c r="CU3563" s="6"/>
      <c r="CV3563" s="6"/>
      <c r="CW3563" s="6"/>
      <c r="CX3563" s="6"/>
      <c r="CY3563" s="6"/>
      <c r="CZ3563" s="6"/>
      <c r="DA3563" s="6"/>
      <c r="DB3563" s="6"/>
      <c r="DC3563" s="6"/>
      <c r="DD3563" s="6"/>
    </row>
    <row r="3564" spans="1:108" ht="12.75" hidden="1" customHeight="1" outlineLevel="5">
      <c r="A3564" s="104" t="s">
        <v>14</v>
      </c>
      <c r="B3564" s="105">
        <f t="shared" ref="B3564:B3582" si="215">B3402</f>
        <v>1</v>
      </c>
      <c r="C3564" s="12"/>
      <c r="D3564" s="18" t="str">
        <f>"&lt;" &amp; A3564 &amp; "&gt;" &amp; TEXT(B3564,0) &amp; "&lt;/" &amp; A3564 &amp; "&gt;"</f>
        <v>&lt;Type&gt;1&lt;/Type&gt;</v>
      </c>
      <c r="F3564" s="6"/>
      <c r="G3564" s="6"/>
      <c r="H3564" s="6"/>
      <c r="I3564" s="6"/>
      <c r="J3564" s="6"/>
      <c r="K3564" s="6"/>
      <c r="L3564" s="6"/>
      <c r="M3564" s="6"/>
      <c r="N3564" s="6"/>
      <c r="O3564" s="6"/>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c r="BU3564" s="6"/>
      <c r="BV3564" s="6"/>
      <c r="BW3564" s="6"/>
      <c r="BX3564" s="6"/>
      <c r="BY3564" s="6"/>
      <c r="BZ3564" s="6"/>
      <c r="CA3564" s="6"/>
      <c r="CB3564" s="6"/>
      <c r="CC3564" s="6"/>
      <c r="CD3564" s="6"/>
      <c r="CE3564" s="6"/>
      <c r="CF3564" s="6"/>
      <c r="CG3564" s="6"/>
      <c r="CH3564" s="6"/>
      <c r="CI3564" s="6"/>
      <c r="CJ3564" s="6"/>
      <c r="CK3564" s="6"/>
      <c r="CL3564" s="6"/>
      <c r="CM3564" s="6"/>
      <c r="CN3564" s="6"/>
      <c r="CO3564" s="6"/>
      <c r="CP3564" s="6"/>
      <c r="CQ3564" s="6"/>
      <c r="CR3564" s="6"/>
      <c r="CS3564" s="6"/>
      <c r="CT3564" s="6"/>
      <c r="CU3564" s="6"/>
      <c r="CV3564" s="6"/>
      <c r="CW3564" s="6"/>
      <c r="CX3564" s="6"/>
      <c r="CY3564" s="6"/>
      <c r="CZ3564" s="6"/>
      <c r="DA3564" s="6"/>
      <c r="DB3564" s="6"/>
      <c r="DC3564" s="6"/>
      <c r="DD3564" s="6"/>
    </row>
    <row r="3565" spans="1:108" ht="12.75" hidden="1" customHeight="1" outlineLevel="5">
      <c r="A3565" s="104" t="s">
        <v>102</v>
      </c>
      <c r="B3565" s="105">
        <f t="shared" si="215"/>
        <v>0</v>
      </c>
      <c r="C3565" s="12"/>
      <c r="D3565" s="18" t="str">
        <f>"&lt;" &amp; A3565 &amp; "&gt;" &amp; TEXT(B3565,0) &amp; "&lt;/" &amp; A3565 &amp; "&gt;"</f>
        <v>&lt;Inverted_Flag&gt;0&lt;/Inverted_Flag&gt;</v>
      </c>
      <c r="F3565" s="6"/>
      <c r="G3565" s="6"/>
      <c r="H3565" s="6"/>
      <c r="I3565" s="6"/>
      <c r="J3565" s="6"/>
      <c r="K3565" s="6"/>
      <c r="L3565" s="6"/>
      <c r="M3565" s="6"/>
      <c r="N3565" s="6"/>
      <c r="O3565" s="6"/>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c r="BU3565" s="6"/>
      <c r="BV3565" s="6"/>
      <c r="BW3565" s="6"/>
      <c r="BX3565" s="6"/>
      <c r="BY3565" s="6"/>
      <c r="BZ3565" s="6"/>
      <c r="CA3565" s="6"/>
      <c r="CB3565" s="6"/>
      <c r="CC3565" s="6"/>
      <c r="CD3565" s="6"/>
      <c r="CE3565" s="6"/>
      <c r="CF3565" s="6"/>
      <c r="CG3565" s="6"/>
      <c r="CH3565" s="6"/>
      <c r="CI3565" s="6"/>
      <c r="CJ3565" s="6"/>
      <c r="CK3565" s="6"/>
      <c r="CL3565" s="6"/>
      <c r="CM3565" s="6"/>
      <c r="CN3565" s="6"/>
      <c r="CO3565" s="6"/>
      <c r="CP3565" s="6"/>
      <c r="CQ3565" s="6"/>
      <c r="CR3565" s="6"/>
      <c r="CS3565" s="6"/>
      <c r="CT3565" s="6"/>
      <c r="CU3565" s="6"/>
      <c r="CV3565" s="6"/>
      <c r="CW3565" s="6"/>
      <c r="CX3565" s="6"/>
      <c r="CY3565" s="6"/>
      <c r="CZ3565" s="6"/>
      <c r="DA3565" s="6"/>
      <c r="DB3565" s="6"/>
      <c r="DC3565" s="6"/>
      <c r="DD3565" s="6"/>
    </row>
    <row r="3566" spans="1:108" ht="12.75" hidden="1" customHeight="1" outlineLevel="5">
      <c r="A3566" s="104" t="s">
        <v>4</v>
      </c>
      <c r="B3566" s="105">
        <f t="shared" si="215"/>
        <v>0</v>
      </c>
      <c r="C3566" s="12"/>
      <c r="D3566" s="18" t="str">
        <f t="shared" ref="D3566:D3571" si="216">"&lt;" &amp; A3566 &amp; "&gt;" &amp; TEXT(B3566,"0.000000") &amp; "&lt;/" &amp; A3566 &amp; "&gt;"</f>
        <v>&lt;Camber&gt;0.000000&lt;/Camber&gt;</v>
      </c>
      <c r="F3566" s="6"/>
      <c r="G3566" s="6"/>
      <c r="H3566" s="6"/>
      <c r="I3566" s="6"/>
      <c r="J3566" s="6"/>
      <c r="K3566" s="6"/>
      <c r="L3566" s="6"/>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c r="BU3566" s="6"/>
      <c r="BV3566" s="6"/>
      <c r="BW3566" s="6"/>
      <c r="BX3566" s="6"/>
      <c r="BY3566" s="6"/>
      <c r="BZ3566" s="6"/>
      <c r="CA3566" s="6"/>
      <c r="CB3566" s="6"/>
      <c r="CC3566" s="6"/>
      <c r="CD3566" s="6"/>
      <c r="CE3566" s="6"/>
      <c r="CF3566" s="6"/>
      <c r="CG3566" s="6"/>
      <c r="CH3566" s="6"/>
      <c r="CI3566" s="6"/>
      <c r="CJ3566" s="6"/>
      <c r="CK3566" s="6"/>
      <c r="CL3566" s="6"/>
      <c r="CM3566" s="6"/>
      <c r="CN3566" s="6"/>
      <c r="CO3566" s="6"/>
      <c r="CP3566" s="6"/>
      <c r="CQ3566" s="6"/>
      <c r="CR3566" s="6"/>
      <c r="CS3566" s="6"/>
      <c r="CT3566" s="6"/>
      <c r="CU3566" s="6"/>
      <c r="CV3566" s="6"/>
      <c r="CW3566" s="6"/>
      <c r="CX3566" s="6"/>
      <c r="CY3566" s="6"/>
      <c r="CZ3566" s="6"/>
      <c r="DA3566" s="6"/>
      <c r="DB3566" s="6"/>
      <c r="DC3566" s="6"/>
      <c r="DD3566" s="6"/>
    </row>
    <row r="3567" spans="1:108" ht="12.75" hidden="1" customHeight="1" outlineLevel="5">
      <c r="A3567" s="104" t="s">
        <v>103</v>
      </c>
      <c r="B3567" s="105">
        <f t="shared" si="215"/>
        <v>0.5</v>
      </c>
      <c r="C3567" s="12"/>
      <c r="D3567" s="18" t="str">
        <f t="shared" si="216"/>
        <v>&lt;Camber_Loc&gt;0.500000&lt;/Camber_Loc&gt;</v>
      </c>
      <c r="F3567" s="6"/>
      <c r="G3567" s="6"/>
      <c r="H3567" s="6"/>
      <c r="I3567" s="6"/>
      <c r="J3567" s="6"/>
      <c r="K3567" s="6"/>
      <c r="L3567" s="6"/>
      <c r="M3567" s="6"/>
      <c r="N3567" s="6"/>
      <c r="O3567" s="6"/>
      <c r="P3567" s="6"/>
      <c r="Q3567" s="6"/>
      <c r="R3567" s="6"/>
      <c r="S3567" s="6"/>
      <c r="T3567" s="6"/>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c r="BU3567" s="6"/>
      <c r="BV3567" s="6"/>
      <c r="BW3567" s="6"/>
      <c r="BX3567" s="6"/>
      <c r="BY3567" s="6"/>
      <c r="BZ3567" s="6"/>
      <c r="CA3567" s="6"/>
      <c r="CB3567" s="6"/>
      <c r="CC3567" s="6"/>
      <c r="CD3567" s="6"/>
      <c r="CE3567" s="6"/>
      <c r="CF3567" s="6"/>
      <c r="CG3567" s="6"/>
      <c r="CH3567" s="6"/>
      <c r="CI3567" s="6"/>
      <c r="CJ3567" s="6"/>
      <c r="CK3567" s="6"/>
      <c r="CL3567" s="6"/>
      <c r="CM3567" s="6"/>
      <c r="CN3567" s="6"/>
      <c r="CO3567" s="6"/>
      <c r="CP3567" s="6"/>
      <c r="CQ3567" s="6"/>
      <c r="CR3567" s="6"/>
      <c r="CS3567" s="6"/>
      <c r="CT3567" s="6"/>
      <c r="CU3567" s="6"/>
      <c r="CV3567" s="6"/>
      <c r="CW3567" s="6"/>
      <c r="CX3567" s="6"/>
      <c r="CY3567" s="6"/>
      <c r="CZ3567" s="6"/>
      <c r="DA3567" s="6"/>
      <c r="DB3567" s="6"/>
      <c r="DC3567" s="6"/>
      <c r="DD3567" s="6"/>
    </row>
    <row r="3568" spans="1:108" ht="12.75" hidden="1" customHeight="1" outlineLevel="5">
      <c r="A3568" s="104" t="s">
        <v>5</v>
      </c>
      <c r="B3568" s="105">
        <f t="shared" si="215"/>
        <v>0.1</v>
      </c>
      <c r="C3568" s="12"/>
      <c r="D3568" s="18" t="str">
        <f t="shared" si="216"/>
        <v>&lt;Thickness&gt;0.100000&lt;/Thickness&gt;</v>
      </c>
      <c r="F3568" s="6"/>
      <c r="G3568" s="6"/>
      <c r="H3568" s="6"/>
      <c r="I3568" s="6"/>
      <c r="J3568" s="6"/>
      <c r="K3568" s="6"/>
      <c r="L3568" s="6"/>
      <c r="M3568" s="6"/>
      <c r="N3568" s="6"/>
      <c r="O3568" s="6"/>
      <c r="P3568" s="6"/>
      <c r="Q3568" s="6"/>
      <c r="R3568" s="6"/>
      <c r="S3568" s="6"/>
      <c r="T3568" s="6"/>
      <c r="U3568" s="6"/>
      <c r="V3568" s="6"/>
      <c r="W3568" s="6"/>
      <c r="X3568" s="6"/>
      <c r="Y3568" s="6"/>
      <c r="Z3568" s="6"/>
      <c r="AA3568" s="6"/>
      <c r="AB3568" s="6"/>
      <c r="AC3568" s="6"/>
      <c r="AD3568" s="6"/>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c r="BU3568" s="6"/>
      <c r="BV3568" s="6"/>
      <c r="BW3568" s="6"/>
      <c r="BX3568" s="6"/>
      <c r="BY3568" s="6"/>
      <c r="BZ3568" s="6"/>
      <c r="CA3568" s="6"/>
      <c r="CB3568" s="6"/>
      <c r="CC3568" s="6"/>
      <c r="CD3568" s="6"/>
      <c r="CE3568" s="6"/>
      <c r="CF3568" s="6"/>
      <c r="CG3568" s="6"/>
      <c r="CH3568" s="6"/>
      <c r="CI3568" s="6"/>
      <c r="CJ3568" s="6"/>
      <c r="CK3568" s="6"/>
      <c r="CL3568" s="6"/>
      <c r="CM3568" s="6"/>
      <c r="CN3568" s="6"/>
      <c r="CO3568" s="6"/>
      <c r="CP3568" s="6"/>
      <c r="CQ3568" s="6"/>
      <c r="CR3568" s="6"/>
      <c r="CS3568" s="6"/>
      <c r="CT3568" s="6"/>
      <c r="CU3568" s="6"/>
      <c r="CV3568" s="6"/>
      <c r="CW3568" s="6"/>
      <c r="CX3568" s="6"/>
      <c r="CY3568" s="6"/>
      <c r="CZ3568" s="6"/>
      <c r="DA3568" s="6"/>
      <c r="DB3568" s="6"/>
      <c r="DC3568" s="6"/>
      <c r="DD3568" s="6"/>
    </row>
    <row r="3569" spans="1:108" ht="12.75" hidden="1" customHeight="1" outlineLevel="5">
      <c r="A3569" s="104" t="s">
        <v>104</v>
      </c>
      <c r="B3569" s="105">
        <f t="shared" si="215"/>
        <v>0.3</v>
      </c>
      <c r="C3569" s="12"/>
      <c r="D3569" s="18" t="str">
        <f t="shared" si="216"/>
        <v>&lt;Thickness_Loc&gt;0.300000&lt;/Thickness_Loc&gt;</v>
      </c>
      <c r="F3569" s="6"/>
      <c r="G3569" s="6"/>
      <c r="H3569" s="6"/>
      <c r="I3569" s="6"/>
      <c r="J3569" s="6"/>
      <c r="K3569" s="6"/>
      <c r="L3569" s="6"/>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c r="BU3569" s="6"/>
      <c r="BV3569" s="6"/>
      <c r="BW3569" s="6"/>
      <c r="BX3569" s="6"/>
      <c r="BY3569" s="6"/>
      <c r="BZ3569" s="6"/>
      <c r="CA3569" s="6"/>
      <c r="CB3569" s="6"/>
      <c r="CC3569" s="6"/>
      <c r="CD3569" s="6"/>
      <c r="CE3569" s="6"/>
      <c r="CF3569" s="6"/>
      <c r="CG3569" s="6"/>
      <c r="CH3569" s="6"/>
      <c r="CI3569" s="6"/>
      <c r="CJ3569" s="6"/>
      <c r="CK3569" s="6"/>
      <c r="CL3569" s="6"/>
      <c r="CM3569" s="6"/>
      <c r="CN3569" s="6"/>
      <c r="CO3569" s="6"/>
      <c r="CP3569" s="6"/>
      <c r="CQ3569" s="6"/>
      <c r="CR3569" s="6"/>
      <c r="CS3569" s="6"/>
      <c r="CT3569" s="6"/>
      <c r="CU3569" s="6"/>
      <c r="CV3569" s="6"/>
      <c r="CW3569" s="6"/>
      <c r="CX3569" s="6"/>
      <c r="CY3569" s="6"/>
      <c r="CZ3569" s="6"/>
      <c r="DA3569" s="6"/>
      <c r="DB3569" s="6"/>
      <c r="DC3569" s="6"/>
      <c r="DD3569" s="6"/>
    </row>
    <row r="3570" spans="1:108" ht="12.75" hidden="1" customHeight="1" outlineLevel="5">
      <c r="A3570" s="104" t="s">
        <v>105</v>
      </c>
      <c r="B3570" s="105">
        <f t="shared" si="215"/>
        <v>1.1018999999999999E-2</v>
      </c>
      <c r="C3570" s="12"/>
      <c r="D3570" s="18" t="str">
        <f t="shared" si="216"/>
        <v>&lt;Radius_Le&gt;0.011019&lt;/Radius_Le&gt;</v>
      </c>
      <c r="F3570" s="6"/>
      <c r="G3570" s="6"/>
      <c r="H3570" s="6"/>
      <c r="I3570" s="6"/>
      <c r="J3570" s="6"/>
      <c r="K3570" s="6"/>
      <c r="L3570" s="6"/>
      <c r="M3570" s="6"/>
      <c r="N3570" s="6"/>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c r="BU3570" s="6"/>
      <c r="BV3570" s="6"/>
      <c r="BW3570" s="6"/>
      <c r="BX3570" s="6"/>
      <c r="BY3570" s="6"/>
      <c r="BZ3570" s="6"/>
      <c r="CA3570" s="6"/>
      <c r="CB3570" s="6"/>
      <c r="CC3570" s="6"/>
      <c r="CD3570" s="6"/>
      <c r="CE3570" s="6"/>
      <c r="CF3570" s="6"/>
      <c r="CG3570" s="6"/>
      <c r="CH3570" s="6"/>
      <c r="CI3570" s="6"/>
      <c r="CJ3570" s="6"/>
      <c r="CK3570" s="6"/>
      <c r="CL3570" s="6"/>
      <c r="CM3570" s="6"/>
      <c r="CN3570" s="6"/>
      <c r="CO3570" s="6"/>
      <c r="CP3570" s="6"/>
      <c r="CQ3570" s="6"/>
      <c r="CR3570" s="6"/>
      <c r="CS3570" s="6"/>
      <c r="CT3570" s="6"/>
      <c r="CU3570" s="6"/>
      <c r="CV3570" s="6"/>
      <c r="CW3570" s="6"/>
      <c r="CX3570" s="6"/>
      <c r="CY3570" s="6"/>
      <c r="CZ3570" s="6"/>
      <c r="DA3570" s="6"/>
      <c r="DB3570" s="6"/>
      <c r="DC3570" s="6"/>
      <c r="DD3570" s="6"/>
    </row>
    <row r="3571" spans="1:108" ht="12.75" hidden="1" customHeight="1" outlineLevel="5">
      <c r="A3571" s="104" t="s">
        <v>106</v>
      </c>
      <c r="B3571" s="105">
        <f t="shared" si="215"/>
        <v>0</v>
      </c>
      <c r="C3571" s="12"/>
      <c r="D3571" s="18" t="str">
        <f t="shared" si="216"/>
        <v>&lt;Radius_Te&gt;0.000000&lt;/Radius_Te&gt;</v>
      </c>
      <c r="F3571" s="6"/>
      <c r="G3571" s="6"/>
      <c r="H3571" s="6"/>
      <c r="I3571" s="6"/>
      <c r="J3571" s="6"/>
      <c r="K3571" s="6"/>
      <c r="L3571" s="6"/>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c r="BU3571" s="6"/>
      <c r="BV3571" s="6"/>
      <c r="BW3571" s="6"/>
      <c r="BX3571" s="6"/>
      <c r="BY3571" s="6"/>
      <c r="BZ3571" s="6"/>
      <c r="CA3571" s="6"/>
      <c r="CB3571" s="6"/>
      <c r="CC3571" s="6"/>
      <c r="CD3571" s="6"/>
      <c r="CE3571" s="6"/>
      <c r="CF3571" s="6"/>
      <c r="CG3571" s="6"/>
      <c r="CH3571" s="6"/>
      <c r="CI3571" s="6"/>
      <c r="CJ3571" s="6"/>
      <c r="CK3571" s="6"/>
      <c r="CL3571" s="6"/>
      <c r="CM3571" s="6"/>
      <c r="CN3571" s="6"/>
      <c r="CO3571" s="6"/>
      <c r="CP3571" s="6"/>
      <c r="CQ3571" s="6"/>
      <c r="CR3571" s="6"/>
      <c r="CS3571" s="6"/>
      <c r="CT3571" s="6"/>
      <c r="CU3571" s="6"/>
      <c r="CV3571" s="6"/>
      <c r="CW3571" s="6"/>
      <c r="CX3571" s="6"/>
      <c r="CY3571" s="6"/>
      <c r="CZ3571" s="6"/>
      <c r="DA3571" s="6"/>
      <c r="DB3571" s="6"/>
      <c r="DC3571" s="6"/>
      <c r="DD3571" s="6"/>
    </row>
    <row r="3572" spans="1:108" ht="12.75" hidden="1" customHeight="1" outlineLevel="5">
      <c r="A3572" s="104" t="s">
        <v>107</v>
      </c>
      <c r="B3572" s="105">
        <f t="shared" si="215"/>
        <v>63</v>
      </c>
      <c r="C3572" s="12"/>
      <c r="D3572" s="18" t="str">
        <f>"&lt;" &amp; A3572 &amp; "&gt;" &amp; TEXT(B3572,0) &amp; "&lt;/" &amp; A3572 &amp; "&gt;"</f>
        <v>&lt;Six_Series&gt;63&lt;/Six_Series&gt;</v>
      </c>
      <c r="F3572" s="6"/>
      <c r="G3572" s="6"/>
      <c r="H3572" s="6"/>
      <c r="I3572" s="6"/>
      <c r="J3572" s="6"/>
      <c r="K3572" s="6"/>
      <c r="L3572" s="6"/>
      <c r="M3572" s="6"/>
      <c r="N3572" s="6"/>
      <c r="O3572" s="6"/>
      <c r="P3572" s="6"/>
      <c r="Q3572" s="6"/>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c r="BU3572" s="6"/>
      <c r="BV3572" s="6"/>
      <c r="BW3572" s="6"/>
      <c r="BX3572" s="6"/>
      <c r="BY3572" s="6"/>
      <c r="BZ3572" s="6"/>
      <c r="CA3572" s="6"/>
      <c r="CB3572" s="6"/>
      <c r="CC3572" s="6"/>
      <c r="CD3572" s="6"/>
      <c r="CE3572" s="6"/>
      <c r="CF3572" s="6"/>
      <c r="CG3572" s="6"/>
      <c r="CH3572" s="6"/>
      <c r="CI3572" s="6"/>
      <c r="CJ3572" s="6"/>
      <c r="CK3572" s="6"/>
      <c r="CL3572" s="6"/>
      <c r="CM3572" s="6"/>
      <c r="CN3572" s="6"/>
      <c r="CO3572" s="6"/>
      <c r="CP3572" s="6"/>
      <c r="CQ3572" s="6"/>
      <c r="CR3572" s="6"/>
      <c r="CS3572" s="6"/>
      <c r="CT3572" s="6"/>
      <c r="CU3572" s="6"/>
      <c r="CV3572" s="6"/>
      <c r="CW3572" s="6"/>
      <c r="CX3572" s="6"/>
      <c r="CY3572" s="6"/>
      <c r="CZ3572" s="6"/>
      <c r="DA3572" s="6"/>
      <c r="DB3572" s="6"/>
      <c r="DC3572" s="6"/>
      <c r="DD3572" s="6"/>
    </row>
    <row r="3573" spans="1:108" ht="12.75" hidden="1" customHeight="1" outlineLevel="5">
      <c r="A3573" s="104" t="s">
        <v>108</v>
      </c>
      <c r="B3573" s="105">
        <f t="shared" si="215"/>
        <v>0</v>
      </c>
      <c r="C3573" s="12"/>
      <c r="D3573" s="18" t="str">
        <f>"&lt;" &amp; A3573 &amp; "&gt;" &amp; TEXT(B3573,"0.000000") &amp; "&lt;/" &amp; A3573 &amp; "&gt;"</f>
        <v>&lt;Ideal_Cl&gt;0.000000&lt;/Ideal_Cl&gt;</v>
      </c>
      <c r="F3573" s="6"/>
      <c r="G3573" s="6"/>
      <c r="H3573" s="6"/>
      <c r="I3573" s="6"/>
      <c r="J3573" s="6"/>
      <c r="K3573" s="6"/>
      <c r="L3573" s="6"/>
      <c r="M3573" s="6"/>
      <c r="N3573" s="6"/>
      <c r="O3573" s="6"/>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c r="BU3573" s="6"/>
      <c r="BV3573" s="6"/>
      <c r="BW3573" s="6"/>
      <c r="BX3573" s="6"/>
      <c r="BY3573" s="6"/>
      <c r="BZ3573" s="6"/>
      <c r="CA3573" s="6"/>
      <c r="CB3573" s="6"/>
      <c r="CC3573" s="6"/>
      <c r="CD3573" s="6"/>
      <c r="CE3573" s="6"/>
      <c r="CF3573" s="6"/>
      <c r="CG3573" s="6"/>
      <c r="CH3573" s="6"/>
      <c r="CI3573" s="6"/>
      <c r="CJ3573" s="6"/>
      <c r="CK3573" s="6"/>
      <c r="CL3573" s="6"/>
      <c r="CM3573" s="6"/>
      <c r="CN3573" s="6"/>
      <c r="CO3573" s="6"/>
      <c r="CP3573" s="6"/>
      <c r="CQ3573" s="6"/>
      <c r="CR3573" s="6"/>
      <c r="CS3573" s="6"/>
      <c r="CT3573" s="6"/>
      <c r="CU3573" s="6"/>
      <c r="CV3573" s="6"/>
      <c r="CW3573" s="6"/>
      <c r="CX3573" s="6"/>
      <c r="CY3573" s="6"/>
      <c r="CZ3573" s="6"/>
      <c r="DA3573" s="6"/>
      <c r="DB3573" s="6"/>
      <c r="DC3573" s="6"/>
      <c r="DD3573" s="6"/>
    </row>
    <row r="3574" spans="1:108" ht="12.75" hidden="1" customHeight="1" outlineLevel="5">
      <c r="A3574" s="104" t="s">
        <v>109</v>
      </c>
      <c r="B3574" s="105">
        <f t="shared" si="215"/>
        <v>0</v>
      </c>
      <c r="C3574" s="12"/>
      <c r="D3574" s="18" t="str">
        <f>"&lt;" &amp; A3574 &amp; "&gt;" &amp; TEXT(B3574,"0.000000") &amp; "&lt;/" &amp; A3574 &amp; "&gt;"</f>
        <v>&lt;A&gt;0.000000&lt;/A&gt;</v>
      </c>
      <c r="F3574" s="6"/>
      <c r="G3574" s="6"/>
      <c r="H3574" s="6"/>
      <c r="I3574" s="6"/>
      <c r="J3574" s="6"/>
      <c r="K3574" s="6"/>
      <c r="L3574" s="6"/>
      <c r="M3574" s="6"/>
      <c r="N3574" s="6"/>
      <c r="O3574" s="6"/>
      <c r="P3574" s="6"/>
      <c r="Q3574" s="6"/>
      <c r="R3574" s="6"/>
      <c r="S3574" s="6"/>
      <c r="T3574" s="6"/>
      <c r="U3574" s="6"/>
      <c r="V3574" s="6"/>
      <c r="W3574" s="6"/>
      <c r="X3574" s="6"/>
      <c r="Y3574" s="6"/>
      <c r="Z3574" s="6"/>
      <c r="AA3574" s="6"/>
      <c r="AB3574" s="6"/>
      <c r="AC3574" s="6"/>
      <c r="AD3574" s="6"/>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c r="BU3574" s="6"/>
      <c r="BV3574" s="6"/>
      <c r="BW3574" s="6"/>
      <c r="BX3574" s="6"/>
      <c r="BY3574" s="6"/>
      <c r="BZ3574" s="6"/>
      <c r="CA3574" s="6"/>
      <c r="CB3574" s="6"/>
      <c r="CC3574" s="6"/>
      <c r="CD3574" s="6"/>
      <c r="CE3574" s="6"/>
      <c r="CF3574" s="6"/>
      <c r="CG3574" s="6"/>
      <c r="CH3574" s="6"/>
      <c r="CI3574" s="6"/>
      <c r="CJ3574" s="6"/>
      <c r="CK3574" s="6"/>
      <c r="CL3574" s="6"/>
      <c r="CM3574" s="6"/>
      <c r="CN3574" s="6"/>
      <c r="CO3574" s="6"/>
      <c r="CP3574" s="6"/>
      <c r="CQ3574" s="6"/>
      <c r="CR3574" s="6"/>
      <c r="CS3574" s="6"/>
      <c r="CT3574" s="6"/>
      <c r="CU3574" s="6"/>
      <c r="CV3574" s="6"/>
      <c r="CW3574" s="6"/>
      <c r="CX3574" s="6"/>
      <c r="CY3574" s="6"/>
      <c r="CZ3574" s="6"/>
      <c r="DA3574" s="6"/>
      <c r="DB3574" s="6"/>
      <c r="DC3574" s="6"/>
      <c r="DD3574" s="6"/>
    </row>
    <row r="3575" spans="1:108" ht="12.75" hidden="1" customHeight="1" outlineLevel="5">
      <c r="A3575" s="104" t="s">
        <v>110</v>
      </c>
      <c r="B3575" s="105">
        <f t="shared" si="215"/>
        <v>0</v>
      </c>
      <c r="C3575" s="12"/>
      <c r="D3575" s="18" t="str">
        <f>"&lt;" &amp; A3575 &amp; "&gt;" &amp; TEXT(B3575,0) &amp; "&lt;/" &amp; A3575 &amp; "&gt;"</f>
        <v>&lt;Slat_Flag&gt;0&lt;/Slat_Flag&gt;</v>
      </c>
      <c r="F3575" s="6"/>
      <c r="G3575" s="6"/>
      <c r="H3575" s="6"/>
      <c r="I3575" s="6"/>
      <c r="J3575" s="6"/>
      <c r="K3575" s="6"/>
      <c r="L3575" s="6"/>
      <c r="M3575" s="6"/>
      <c r="N3575" s="6"/>
      <c r="O3575" s="6"/>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c r="BU3575" s="6"/>
      <c r="BV3575" s="6"/>
      <c r="BW3575" s="6"/>
      <c r="BX3575" s="6"/>
      <c r="BY3575" s="6"/>
      <c r="BZ3575" s="6"/>
      <c r="CA3575" s="6"/>
      <c r="CB3575" s="6"/>
      <c r="CC3575" s="6"/>
      <c r="CD3575" s="6"/>
      <c r="CE3575" s="6"/>
      <c r="CF3575" s="6"/>
      <c r="CG3575" s="6"/>
      <c r="CH3575" s="6"/>
      <c r="CI3575" s="6"/>
      <c r="CJ3575" s="6"/>
      <c r="CK3575" s="6"/>
      <c r="CL3575" s="6"/>
      <c r="CM3575" s="6"/>
      <c r="CN3575" s="6"/>
      <c r="CO3575" s="6"/>
      <c r="CP3575" s="6"/>
      <c r="CQ3575" s="6"/>
      <c r="CR3575" s="6"/>
      <c r="CS3575" s="6"/>
      <c r="CT3575" s="6"/>
      <c r="CU3575" s="6"/>
      <c r="CV3575" s="6"/>
      <c r="CW3575" s="6"/>
      <c r="CX3575" s="6"/>
      <c r="CY3575" s="6"/>
      <c r="CZ3575" s="6"/>
      <c r="DA3575" s="6"/>
      <c r="DB3575" s="6"/>
      <c r="DC3575" s="6"/>
      <c r="DD3575" s="6"/>
    </row>
    <row r="3576" spans="1:108" ht="12.75" hidden="1" customHeight="1" outlineLevel="5">
      <c r="A3576" s="104" t="s">
        <v>111</v>
      </c>
      <c r="B3576" s="105">
        <f t="shared" si="215"/>
        <v>0</v>
      </c>
      <c r="C3576" s="12"/>
      <c r="D3576" s="18" t="str">
        <f>"&lt;" &amp; A3576 &amp; "&gt;" &amp; TEXT(B3576,0) &amp; "&lt;/" &amp; A3576 &amp; "&gt;"</f>
        <v>&lt;Slat_Shear_Flag&gt;0&lt;/Slat_Shear_Flag&gt;</v>
      </c>
      <c r="F3576" s="6"/>
      <c r="G3576" s="6"/>
      <c r="H3576" s="6"/>
      <c r="I3576" s="6"/>
      <c r="J3576" s="6"/>
      <c r="K3576" s="6"/>
      <c r="L3576" s="6"/>
      <c r="M3576" s="6"/>
      <c r="N3576" s="6"/>
      <c r="O3576" s="6"/>
      <c r="P3576" s="6"/>
      <c r="Q3576" s="6"/>
      <c r="R3576" s="6"/>
      <c r="S3576" s="6"/>
      <c r="T3576" s="6"/>
      <c r="U3576" s="6"/>
      <c r="V3576" s="6"/>
      <c r="W3576" s="6"/>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c r="BU3576" s="6"/>
      <c r="BV3576" s="6"/>
      <c r="BW3576" s="6"/>
      <c r="BX3576" s="6"/>
      <c r="BY3576" s="6"/>
      <c r="BZ3576" s="6"/>
      <c r="CA3576" s="6"/>
      <c r="CB3576" s="6"/>
      <c r="CC3576" s="6"/>
      <c r="CD3576" s="6"/>
      <c r="CE3576" s="6"/>
      <c r="CF3576" s="6"/>
      <c r="CG3576" s="6"/>
      <c r="CH3576" s="6"/>
      <c r="CI3576" s="6"/>
      <c r="CJ3576" s="6"/>
      <c r="CK3576" s="6"/>
      <c r="CL3576" s="6"/>
      <c r="CM3576" s="6"/>
      <c r="CN3576" s="6"/>
      <c r="CO3576" s="6"/>
      <c r="CP3576" s="6"/>
      <c r="CQ3576" s="6"/>
      <c r="CR3576" s="6"/>
      <c r="CS3576" s="6"/>
      <c r="CT3576" s="6"/>
      <c r="CU3576" s="6"/>
      <c r="CV3576" s="6"/>
      <c r="CW3576" s="6"/>
      <c r="CX3576" s="6"/>
      <c r="CY3576" s="6"/>
      <c r="CZ3576" s="6"/>
      <c r="DA3576" s="6"/>
      <c r="DB3576" s="6"/>
      <c r="DC3576" s="6"/>
      <c r="DD3576" s="6"/>
    </row>
    <row r="3577" spans="1:108" ht="12.75" hidden="1" customHeight="1" outlineLevel="5">
      <c r="A3577" s="104" t="s">
        <v>112</v>
      </c>
      <c r="B3577" s="105">
        <f t="shared" si="215"/>
        <v>0.25</v>
      </c>
      <c r="C3577" s="12"/>
      <c r="D3577" s="18" t="str">
        <f>"&lt;" &amp; A3577 &amp; "&gt;" &amp; TEXT(B3577,"0.000000") &amp; "&lt;/" &amp; A3577 &amp; "&gt;"</f>
        <v>&lt;Slat_Chord&gt;0.250000&lt;/Slat_Chord&gt;</v>
      </c>
      <c r="F3577" s="6"/>
      <c r="G3577" s="6"/>
      <c r="H3577" s="6"/>
      <c r="I3577" s="6"/>
      <c r="J3577" s="6"/>
      <c r="K3577" s="6"/>
      <c r="L3577" s="6"/>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c r="BU3577" s="6"/>
      <c r="BV3577" s="6"/>
      <c r="BW3577" s="6"/>
      <c r="BX3577" s="6"/>
      <c r="BY3577" s="6"/>
      <c r="BZ3577" s="6"/>
      <c r="CA3577" s="6"/>
      <c r="CB3577" s="6"/>
      <c r="CC3577" s="6"/>
      <c r="CD3577" s="6"/>
      <c r="CE3577" s="6"/>
      <c r="CF3577" s="6"/>
      <c r="CG3577" s="6"/>
      <c r="CH3577" s="6"/>
      <c r="CI3577" s="6"/>
      <c r="CJ3577" s="6"/>
      <c r="CK3577" s="6"/>
      <c r="CL3577" s="6"/>
      <c r="CM3577" s="6"/>
      <c r="CN3577" s="6"/>
      <c r="CO3577" s="6"/>
      <c r="CP3577" s="6"/>
      <c r="CQ3577" s="6"/>
      <c r="CR3577" s="6"/>
      <c r="CS3577" s="6"/>
      <c r="CT3577" s="6"/>
      <c r="CU3577" s="6"/>
      <c r="CV3577" s="6"/>
      <c r="CW3577" s="6"/>
      <c r="CX3577" s="6"/>
      <c r="CY3577" s="6"/>
      <c r="CZ3577" s="6"/>
      <c r="DA3577" s="6"/>
      <c r="DB3577" s="6"/>
      <c r="DC3577" s="6"/>
      <c r="DD3577" s="6"/>
    </row>
    <row r="3578" spans="1:108" ht="12.75" hidden="1" customHeight="1" outlineLevel="5">
      <c r="A3578" s="104" t="s">
        <v>113</v>
      </c>
      <c r="B3578" s="105">
        <f t="shared" si="215"/>
        <v>10</v>
      </c>
      <c r="C3578" s="12"/>
      <c r="D3578" s="18" t="str">
        <f>"&lt;" &amp; A3578 &amp; "&gt;" &amp; TEXT(B3578,"0.000000") &amp; "&lt;/" &amp; A3578 &amp; "&gt;"</f>
        <v>&lt;Slat_Angle&gt;10.000000&lt;/Slat_Angle&gt;</v>
      </c>
      <c r="F3578" s="6"/>
      <c r="G3578" s="6"/>
      <c r="H3578" s="6"/>
      <c r="I3578" s="6"/>
      <c r="J3578" s="6"/>
      <c r="K3578" s="6"/>
      <c r="L3578" s="6"/>
      <c r="M3578" s="6"/>
      <c r="N3578" s="6"/>
      <c r="O3578" s="6"/>
      <c r="P3578" s="6"/>
      <c r="Q3578" s="6"/>
      <c r="R3578" s="6"/>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c r="BU3578" s="6"/>
      <c r="BV3578" s="6"/>
      <c r="BW3578" s="6"/>
      <c r="BX3578" s="6"/>
      <c r="BY3578" s="6"/>
      <c r="BZ3578" s="6"/>
      <c r="CA3578" s="6"/>
      <c r="CB3578" s="6"/>
      <c r="CC3578" s="6"/>
      <c r="CD3578" s="6"/>
      <c r="CE3578" s="6"/>
      <c r="CF3578" s="6"/>
      <c r="CG3578" s="6"/>
      <c r="CH3578" s="6"/>
      <c r="CI3578" s="6"/>
      <c r="CJ3578" s="6"/>
      <c r="CK3578" s="6"/>
      <c r="CL3578" s="6"/>
      <c r="CM3578" s="6"/>
      <c r="CN3578" s="6"/>
      <c r="CO3578" s="6"/>
      <c r="CP3578" s="6"/>
      <c r="CQ3578" s="6"/>
      <c r="CR3578" s="6"/>
      <c r="CS3578" s="6"/>
      <c r="CT3578" s="6"/>
      <c r="CU3578" s="6"/>
      <c r="CV3578" s="6"/>
      <c r="CW3578" s="6"/>
      <c r="CX3578" s="6"/>
      <c r="CY3578" s="6"/>
      <c r="CZ3578" s="6"/>
      <c r="DA3578" s="6"/>
      <c r="DB3578" s="6"/>
      <c r="DC3578" s="6"/>
      <c r="DD3578" s="6"/>
    </row>
    <row r="3579" spans="1:108" ht="12.75" hidden="1" customHeight="1" outlineLevel="5">
      <c r="A3579" s="104" t="s">
        <v>114</v>
      </c>
      <c r="B3579" s="105">
        <f t="shared" si="215"/>
        <v>0</v>
      </c>
      <c r="C3579" s="12"/>
      <c r="D3579" s="18" t="str">
        <f>"&lt;" &amp; A3579 &amp; "&gt;" &amp; TEXT(B3579,0) &amp; "&lt;/" &amp; A3579 &amp; "&gt;"</f>
        <v>&lt;Flap_Flag&gt;0&lt;/Flap_Flag&gt;</v>
      </c>
      <c r="F3579" s="6"/>
      <c r="G3579" s="6"/>
      <c r="H3579" s="6"/>
      <c r="I3579" s="6"/>
      <c r="J3579" s="6"/>
      <c r="K3579" s="6"/>
      <c r="L3579" s="6"/>
      <c r="M3579" s="6"/>
      <c r="N3579" s="6"/>
      <c r="O3579" s="6"/>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c r="BU3579" s="6"/>
      <c r="BV3579" s="6"/>
      <c r="BW3579" s="6"/>
      <c r="BX3579" s="6"/>
      <c r="BY3579" s="6"/>
      <c r="BZ3579" s="6"/>
      <c r="CA3579" s="6"/>
      <c r="CB3579" s="6"/>
      <c r="CC3579" s="6"/>
      <c r="CD3579" s="6"/>
      <c r="CE3579" s="6"/>
      <c r="CF3579" s="6"/>
      <c r="CG3579" s="6"/>
      <c r="CH3579" s="6"/>
      <c r="CI3579" s="6"/>
      <c r="CJ3579" s="6"/>
      <c r="CK3579" s="6"/>
      <c r="CL3579" s="6"/>
      <c r="CM3579" s="6"/>
      <c r="CN3579" s="6"/>
      <c r="CO3579" s="6"/>
      <c r="CP3579" s="6"/>
      <c r="CQ3579" s="6"/>
      <c r="CR3579" s="6"/>
      <c r="CS3579" s="6"/>
      <c r="CT3579" s="6"/>
      <c r="CU3579" s="6"/>
      <c r="CV3579" s="6"/>
      <c r="CW3579" s="6"/>
      <c r="CX3579" s="6"/>
      <c r="CY3579" s="6"/>
      <c r="CZ3579" s="6"/>
      <c r="DA3579" s="6"/>
      <c r="DB3579" s="6"/>
      <c r="DC3579" s="6"/>
      <c r="DD3579" s="6"/>
    </row>
    <row r="3580" spans="1:108" ht="12.75" hidden="1" customHeight="1" outlineLevel="5">
      <c r="A3580" s="104" t="s">
        <v>115</v>
      </c>
      <c r="B3580" s="105">
        <f t="shared" si="215"/>
        <v>0</v>
      </c>
      <c r="C3580" s="12"/>
      <c r="D3580" s="18" t="str">
        <f>"&lt;" &amp; A3580 &amp; "&gt;" &amp; TEXT(B3580,0) &amp; "&lt;/" &amp; A3580 &amp; "&gt;"</f>
        <v>&lt;Flap_Shear_Flag&gt;0&lt;/Flap_Shear_Flag&gt;</v>
      </c>
      <c r="F3580" s="6"/>
      <c r="G3580" s="6"/>
      <c r="H3580" s="6"/>
      <c r="I3580" s="6"/>
      <c r="J3580" s="6"/>
      <c r="K3580" s="6"/>
      <c r="L3580" s="6"/>
      <c r="M3580" s="6"/>
      <c r="N3580" s="6"/>
      <c r="O3580" s="6"/>
      <c r="P3580" s="6"/>
      <c r="Q3580" s="6"/>
      <c r="R3580" s="6"/>
      <c r="S3580" s="6"/>
      <c r="T3580" s="6"/>
      <c r="U3580" s="6"/>
      <c r="V3580" s="6"/>
      <c r="W3580" s="6"/>
      <c r="X3580" s="6"/>
      <c r="Y3580" s="6"/>
      <c r="Z3580" s="6"/>
      <c r="AA3580" s="6"/>
      <c r="AB3580" s="6"/>
      <c r="AC3580" s="6"/>
      <c r="AD3580" s="6"/>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c r="BU3580" s="6"/>
      <c r="BV3580" s="6"/>
      <c r="BW3580" s="6"/>
      <c r="BX3580" s="6"/>
      <c r="BY3580" s="6"/>
      <c r="BZ3580" s="6"/>
      <c r="CA3580" s="6"/>
      <c r="CB3580" s="6"/>
      <c r="CC3580" s="6"/>
      <c r="CD3580" s="6"/>
      <c r="CE3580" s="6"/>
      <c r="CF3580" s="6"/>
      <c r="CG3580" s="6"/>
      <c r="CH3580" s="6"/>
      <c r="CI3580" s="6"/>
      <c r="CJ3580" s="6"/>
      <c r="CK3580" s="6"/>
      <c r="CL3580" s="6"/>
      <c r="CM3580" s="6"/>
      <c r="CN3580" s="6"/>
      <c r="CO3580" s="6"/>
      <c r="CP3580" s="6"/>
      <c r="CQ3580" s="6"/>
      <c r="CR3580" s="6"/>
      <c r="CS3580" s="6"/>
      <c r="CT3580" s="6"/>
      <c r="CU3580" s="6"/>
      <c r="CV3580" s="6"/>
      <c r="CW3580" s="6"/>
      <c r="CX3580" s="6"/>
      <c r="CY3580" s="6"/>
      <c r="CZ3580" s="6"/>
      <c r="DA3580" s="6"/>
      <c r="DB3580" s="6"/>
      <c r="DC3580" s="6"/>
      <c r="DD3580" s="6"/>
    </row>
    <row r="3581" spans="1:108" ht="12.75" hidden="1" customHeight="1" outlineLevel="5">
      <c r="A3581" s="104" t="s">
        <v>116</v>
      </c>
      <c r="B3581" s="105">
        <f t="shared" si="215"/>
        <v>0.25</v>
      </c>
      <c r="C3581" s="12"/>
      <c r="D3581" s="18" t="str">
        <f>"&lt;" &amp; A3581 &amp; "&gt;" &amp; TEXT(B3581,"0.000000") &amp; "&lt;/" &amp; A3581 &amp; "&gt;"</f>
        <v>&lt;Flap_Chord&gt;0.250000&lt;/Flap_Chord&gt;</v>
      </c>
      <c r="F3581" s="6"/>
      <c r="G3581" s="6"/>
      <c r="H3581" s="6"/>
      <c r="I3581" s="6"/>
      <c r="J3581" s="6"/>
      <c r="K3581" s="6"/>
      <c r="L3581" s="6"/>
      <c r="M3581" s="6"/>
      <c r="N3581" s="6"/>
      <c r="O3581" s="6"/>
      <c r="P3581" s="6"/>
      <c r="Q3581" s="6"/>
      <c r="R3581" s="6"/>
      <c r="S3581" s="6"/>
      <c r="T3581" s="6"/>
      <c r="U3581" s="6"/>
      <c r="V3581" s="6"/>
      <c r="W3581" s="6"/>
      <c r="X3581" s="6"/>
      <c r="Y3581" s="6"/>
      <c r="Z3581" s="6"/>
      <c r="AA3581" s="6"/>
      <c r="AB3581" s="6"/>
      <c r="AC3581" s="6"/>
      <c r="AD3581" s="6"/>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c r="BU3581" s="6"/>
      <c r="BV3581" s="6"/>
      <c r="BW3581" s="6"/>
      <c r="BX3581" s="6"/>
      <c r="BY3581" s="6"/>
      <c r="BZ3581" s="6"/>
      <c r="CA3581" s="6"/>
      <c r="CB3581" s="6"/>
      <c r="CC3581" s="6"/>
      <c r="CD3581" s="6"/>
      <c r="CE3581" s="6"/>
      <c r="CF3581" s="6"/>
      <c r="CG3581" s="6"/>
      <c r="CH3581" s="6"/>
      <c r="CI3581" s="6"/>
      <c r="CJ3581" s="6"/>
      <c r="CK3581" s="6"/>
      <c r="CL3581" s="6"/>
      <c r="CM3581" s="6"/>
      <c r="CN3581" s="6"/>
      <c r="CO3581" s="6"/>
      <c r="CP3581" s="6"/>
      <c r="CQ3581" s="6"/>
      <c r="CR3581" s="6"/>
      <c r="CS3581" s="6"/>
      <c r="CT3581" s="6"/>
      <c r="CU3581" s="6"/>
      <c r="CV3581" s="6"/>
      <c r="CW3581" s="6"/>
      <c r="CX3581" s="6"/>
      <c r="CY3581" s="6"/>
      <c r="CZ3581" s="6"/>
      <c r="DA3581" s="6"/>
      <c r="DB3581" s="6"/>
      <c r="DC3581" s="6"/>
      <c r="DD3581" s="6"/>
    </row>
    <row r="3582" spans="1:108" ht="12.75" hidden="1" customHeight="1" outlineLevel="5">
      <c r="A3582" s="104" t="s">
        <v>117</v>
      </c>
      <c r="B3582" s="105">
        <f t="shared" si="215"/>
        <v>10</v>
      </c>
      <c r="C3582" s="12"/>
      <c r="D3582" s="18" t="str">
        <f>"&lt;" &amp; A3582 &amp; "&gt;" &amp; TEXT(B3582,"0.000000") &amp; "&lt;/" &amp; A3582 &amp; "&gt;"</f>
        <v>&lt;Flap_Angle&gt;10.000000&lt;/Flap_Angle&gt;</v>
      </c>
      <c r="F3582" s="6"/>
      <c r="G3582" s="6"/>
      <c r="H3582" s="6"/>
      <c r="I3582" s="6"/>
      <c r="J3582" s="6"/>
      <c r="K3582" s="6"/>
      <c r="L3582" s="6"/>
      <c r="M3582" s="6"/>
      <c r="N3582" s="6"/>
      <c r="O3582" s="6"/>
      <c r="P3582" s="6"/>
      <c r="Q3582" s="6"/>
      <c r="R3582" s="6"/>
      <c r="S3582" s="6"/>
      <c r="T3582" s="6"/>
      <c r="U3582" s="6"/>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c r="BU3582" s="6"/>
      <c r="BV3582" s="6"/>
      <c r="BW3582" s="6"/>
      <c r="BX3582" s="6"/>
      <c r="BY3582" s="6"/>
      <c r="BZ3582" s="6"/>
      <c r="CA3582" s="6"/>
      <c r="CB3582" s="6"/>
      <c r="CC3582" s="6"/>
      <c r="CD3582" s="6"/>
      <c r="CE3582" s="6"/>
      <c r="CF3582" s="6"/>
      <c r="CG3582" s="6"/>
      <c r="CH3582" s="6"/>
      <c r="CI3582" s="6"/>
      <c r="CJ3582" s="6"/>
      <c r="CK3582" s="6"/>
      <c r="CL3582" s="6"/>
      <c r="CM3582" s="6"/>
      <c r="CN3582" s="6"/>
      <c r="CO3582" s="6"/>
      <c r="CP3582" s="6"/>
      <c r="CQ3582" s="6"/>
      <c r="CR3582" s="6"/>
      <c r="CS3582" s="6"/>
      <c r="CT3582" s="6"/>
      <c r="CU3582" s="6"/>
      <c r="CV3582" s="6"/>
      <c r="CW3582" s="6"/>
      <c r="CX3582" s="6"/>
      <c r="CY3582" s="6"/>
      <c r="CZ3582" s="6"/>
      <c r="DA3582" s="6"/>
      <c r="DB3582" s="6"/>
      <c r="DC3582" s="6"/>
      <c r="DD3582" s="6"/>
    </row>
    <row r="3583" spans="1:108" ht="12.75" hidden="1" customHeight="1" outlineLevel="5">
      <c r="A3583" s="104" t="s">
        <v>118</v>
      </c>
      <c r="C3583" s="12"/>
      <c r="D3583" s="6" t="str">
        <f>"&lt;" &amp; A3583 &amp; "&gt;"</f>
        <v>&lt;/Airfoil&gt;</v>
      </c>
      <c r="F3583" s="6"/>
      <c r="G3583" s="6"/>
      <c r="H3583" s="6"/>
      <c r="I3583" s="6"/>
      <c r="J3583" s="6"/>
      <c r="K3583" s="6"/>
      <c r="L3583" s="6"/>
      <c r="M3583" s="6"/>
      <c r="N3583" s="6"/>
      <c r="O3583" s="6"/>
      <c r="P3583" s="6"/>
      <c r="Q3583" s="6"/>
      <c r="R3583" s="6"/>
      <c r="S3583" s="6"/>
      <c r="T3583" s="6"/>
      <c r="U3583" s="6"/>
      <c r="V3583" s="6"/>
      <c r="W3583" s="6"/>
      <c r="X3583" s="6"/>
      <c r="Y3583" s="6"/>
      <c r="Z3583" s="6"/>
      <c r="AA3583" s="6"/>
      <c r="AB3583" s="6"/>
      <c r="AC3583" s="6"/>
      <c r="AD3583" s="6"/>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c r="BU3583" s="6"/>
      <c r="BV3583" s="6"/>
      <c r="BW3583" s="6"/>
      <c r="BX3583" s="6"/>
      <c r="BY3583" s="6"/>
      <c r="BZ3583" s="6"/>
      <c r="CA3583" s="6"/>
      <c r="CB3583" s="6"/>
      <c r="CC3583" s="6"/>
      <c r="CD3583" s="6"/>
      <c r="CE3583" s="6"/>
      <c r="CF3583" s="6"/>
      <c r="CG3583" s="6"/>
      <c r="CH3583" s="6"/>
      <c r="CI3583" s="6"/>
      <c r="CJ3583" s="6"/>
      <c r="CK3583" s="6"/>
      <c r="CL3583" s="6"/>
      <c r="CM3583" s="6"/>
      <c r="CN3583" s="6"/>
      <c r="CO3583" s="6"/>
      <c r="CP3583" s="6"/>
      <c r="CQ3583" s="6"/>
      <c r="CR3583" s="6"/>
      <c r="CS3583" s="6"/>
      <c r="CT3583" s="6"/>
      <c r="CU3583" s="6"/>
      <c r="CV3583" s="6"/>
      <c r="CW3583" s="6"/>
      <c r="CX3583" s="6"/>
      <c r="CY3583" s="6"/>
      <c r="CZ3583" s="6"/>
      <c r="DA3583" s="6"/>
      <c r="DB3583" s="6"/>
      <c r="DC3583" s="6"/>
      <c r="DD3583" s="6"/>
    </row>
    <row r="3584" spans="1:108" ht="12.75" hidden="1" customHeight="1" outlineLevel="4">
      <c r="A3584" s="104" t="s">
        <v>138</v>
      </c>
      <c r="C3584" s="12" t="str">
        <f>C3504</f>
        <v>Yes</v>
      </c>
      <c r="D3584" s="133" t="str">
        <f>IF(C3584="Yes",("&lt;"&amp;A3584&amp;"&gt;"),("&lt;"&amp;A3584&amp;"--&gt;"))</f>
        <v>&lt;/Component&gt;</v>
      </c>
      <c r="F3584" s="6"/>
      <c r="G3584" s="6"/>
      <c r="H3584" s="6"/>
      <c r="I3584" s="6"/>
      <c r="J3584" s="6"/>
      <c r="K3584" s="6"/>
      <c r="L3584" s="6"/>
      <c r="M3584" s="6"/>
      <c r="N3584" s="6"/>
      <c r="O3584" s="6"/>
      <c r="P3584" s="6"/>
      <c r="Q3584" s="6"/>
      <c r="R3584" s="6"/>
      <c r="S3584" s="6"/>
      <c r="T3584" s="6"/>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c r="BU3584" s="6"/>
      <c r="BV3584" s="6"/>
      <c r="BW3584" s="6"/>
      <c r="BX3584" s="6"/>
      <c r="BY3584" s="6"/>
      <c r="BZ3584" s="6"/>
      <c r="CA3584" s="6"/>
      <c r="CB3584" s="6"/>
      <c r="CC3584" s="6"/>
      <c r="CD3584" s="6"/>
      <c r="CE3584" s="6"/>
      <c r="CF3584" s="6"/>
      <c r="CG3584" s="6"/>
      <c r="CH3584" s="6"/>
      <c r="CI3584" s="6"/>
      <c r="CJ3584" s="6"/>
      <c r="CK3584" s="6"/>
      <c r="CL3584" s="6"/>
      <c r="CM3584" s="6"/>
      <c r="CN3584" s="6"/>
      <c r="CO3584" s="6"/>
      <c r="CP3584" s="6"/>
      <c r="CQ3584" s="6"/>
      <c r="CR3584" s="6"/>
      <c r="CS3584" s="6"/>
      <c r="CT3584" s="6"/>
      <c r="CU3584" s="6"/>
      <c r="CV3584" s="6"/>
      <c r="CW3584" s="6"/>
      <c r="CX3584" s="6"/>
      <c r="CY3584" s="6"/>
      <c r="CZ3584" s="6"/>
      <c r="DA3584" s="6"/>
      <c r="DB3584" s="6"/>
      <c r="DC3584" s="6"/>
      <c r="DD3584" s="6"/>
    </row>
    <row r="3585" spans="1:108" s="23" customFormat="1" outlineLevel="2" collapsed="1">
      <c r="A3585" s="104" t="s">
        <v>40</v>
      </c>
      <c r="B3585" s="110" t="s">
        <v>281</v>
      </c>
      <c r="C3585" s="134"/>
      <c r="D3585" s="6" t="s">
        <v>283</v>
      </c>
      <c r="E3585"/>
      <c r="F3585" s="6"/>
      <c r="G3585" s="6"/>
      <c r="H3585" s="6"/>
      <c r="I3585" s="6"/>
      <c r="J3585" s="6"/>
      <c r="K3585" s="6"/>
      <c r="L3585" s="6"/>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c r="BU3585" s="6"/>
      <c r="BV3585" s="6"/>
      <c r="BW3585" s="6"/>
      <c r="BX3585" s="6"/>
      <c r="BY3585" s="6"/>
      <c r="BZ3585" s="6"/>
      <c r="CA3585" s="6"/>
      <c r="CB3585" s="6"/>
      <c r="CC3585" s="6"/>
      <c r="CD3585" s="6"/>
      <c r="CE3585" s="6"/>
      <c r="CF3585" s="6"/>
      <c r="CG3585" s="6"/>
      <c r="CH3585" s="6"/>
      <c r="CI3585" s="6"/>
      <c r="CJ3585" s="6"/>
      <c r="CK3585" s="6"/>
      <c r="CL3585" s="6"/>
      <c r="CM3585" s="6"/>
      <c r="CN3585" s="6"/>
      <c r="CO3585" s="6"/>
      <c r="CP3585" s="6"/>
      <c r="CQ3585" s="6"/>
      <c r="CR3585" s="6"/>
      <c r="CS3585" s="6"/>
      <c r="CT3585" s="6"/>
      <c r="CU3585" s="6"/>
      <c r="CV3585" s="6"/>
      <c r="CW3585" s="6"/>
      <c r="CX3585" s="6"/>
      <c r="CY3585" s="6"/>
      <c r="CZ3585" s="6"/>
      <c r="DA3585" s="6"/>
      <c r="DB3585" s="6"/>
      <c r="DC3585" s="6"/>
      <c r="DD3585" s="6"/>
    </row>
    <row r="3586" spans="1:108" ht="12.75" hidden="1" customHeight="1" outlineLevel="3">
      <c r="A3586" s="10" t="s">
        <v>14</v>
      </c>
      <c r="B3586" s="100" t="s">
        <v>266</v>
      </c>
      <c r="D3586" t="s">
        <v>28</v>
      </c>
      <c r="F3586" s="6"/>
      <c r="G3586" s="6"/>
      <c r="H3586" s="6"/>
      <c r="I3586" s="6"/>
      <c r="J3586" s="6"/>
      <c r="K3586" s="6"/>
      <c r="L3586" s="6"/>
      <c r="M3586" s="6"/>
      <c r="N3586" s="6"/>
      <c r="O3586" s="6"/>
      <c r="P3586" s="6"/>
      <c r="Q3586" s="6"/>
      <c r="R3586" s="6"/>
      <c r="S3586" s="6"/>
      <c r="T3586" s="6"/>
      <c r="U3586" s="6"/>
      <c r="V3586" s="6"/>
      <c r="W3586" s="6"/>
      <c r="X3586" s="6"/>
      <c r="Y3586" s="6"/>
      <c r="Z3586" s="6"/>
      <c r="AA3586" s="6"/>
      <c r="AB3586" s="6"/>
      <c r="AC3586" s="6"/>
      <c r="AD3586" s="6"/>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c r="BU3586" s="6"/>
      <c r="BV3586" s="6"/>
      <c r="BW3586" s="6"/>
      <c r="BX3586" s="6"/>
      <c r="BY3586" s="6"/>
      <c r="BZ3586" s="6"/>
      <c r="CA3586" s="6"/>
      <c r="CB3586" s="6"/>
      <c r="CC3586" s="6"/>
      <c r="CD3586" s="6"/>
      <c r="CE3586" s="6"/>
      <c r="CF3586" s="6"/>
      <c r="CG3586" s="6"/>
      <c r="CH3586" s="6"/>
      <c r="CI3586" s="6"/>
      <c r="CJ3586" s="6"/>
      <c r="CK3586" s="6"/>
      <c r="CL3586" s="6"/>
      <c r="CM3586" s="6"/>
      <c r="CN3586" s="6"/>
      <c r="CO3586" s="6"/>
      <c r="CP3586" s="6"/>
      <c r="CQ3586" s="6"/>
      <c r="CR3586" s="6"/>
      <c r="CS3586" s="6"/>
      <c r="CT3586" s="6"/>
      <c r="CU3586" s="6"/>
      <c r="CV3586" s="6"/>
      <c r="CW3586" s="6"/>
      <c r="CX3586" s="6"/>
      <c r="CY3586" s="6"/>
      <c r="CZ3586" s="6"/>
      <c r="DA3586" s="6"/>
      <c r="DB3586" s="6"/>
      <c r="DC3586" s="6"/>
    </row>
    <row r="3587" spans="1:108" ht="12.75" hidden="1" customHeight="1" outlineLevel="3">
      <c r="A3587" s="10" t="s">
        <v>267</v>
      </c>
      <c r="B3587" s="100"/>
      <c r="D3587" t="s">
        <v>29</v>
      </c>
      <c r="F3587" s="6"/>
      <c r="G3587" s="6"/>
      <c r="H3587" s="6"/>
      <c r="I3587" s="6"/>
      <c r="J3587" s="6"/>
      <c r="K3587" s="6"/>
      <c r="L3587" s="6"/>
      <c r="M3587" s="6"/>
      <c r="N3587" s="6"/>
      <c r="O3587" s="6"/>
      <c r="P3587" s="6"/>
      <c r="Q3587" s="6"/>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c r="BU3587" s="6"/>
      <c r="BV3587" s="6"/>
      <c r="BW3587" s="6"/>
      <c r="BX3587" s="6"/>
      <c r="BY3587" s="6"/>
      <c r="BZ3587" s="6"/>
      <c r="CA3587" s="6"/>
      <c r="CB3587" s="6"/>
      <c r="CC3587" s="6"/>
      <c r="CD3587" s="6"/>
      <c r="CE3587" s="6"/>
      <c r="CF3587" s="6"/>
      <c r="CG3587" s="6"/>
      <c r="CH3587" s="6"/>
      <c r="CI3587" s="6"/>
      <c r="CJ3587" s="6"/>
      <c r="CK3587" s="6"/>
      <c r="CL3587" s="6"/>
      <c r="CM3587" s="6"/>
      <c r="CN3587" s="6"/>
      <c r="CO3587" s="6"/>
      <c r="CP3587" s="6"/>
      <c r="CQ3587" s="6"/>
      <c r="CR3587" s="6"/>
      <c r="CS3587" s="6"/>
      <c r="CT3587" s="6"/>
      <c r="CU3587" s="6"/>
      <c r="CV3587" s="6"/>
      <c r="CW3587" s="6"/>
      <c r="CX3587" s="6"/>
      <c r="CY3587" s="6"/>
      <c r="CZ3587" s="6"/>
      <c r="DA3587" s="6"/>
      <c r="DB3587" s="6"/>
      <c r="DC3587" s="6"/>
    </row>
    <row r="3588" spans="1:108" ht="12.75" hidden="1" customHeight="1" outlineLevel="3">
      <c r="A3588" s="10" t="s">
        <v>268</v>
      </c>
      <c r="B3588" s="100" t="s">
        <v>143</v>
      </c>
      <c r="D3588" t="s">
        <v>19</v>
      </c>
      <c r="F3588" s="6"/>
      <c r="G3588" s="6"/>
      <c r="H3588" s="6"/>
      <c r="I3588" s="6"/>
      <c r="J3588" s="6"/>
      <c r="K3588" s="6"/>
      <c r="L3588" s="6"/>
      <c r="M3588" s="6"/>
      <c r="N3588" s="6"/>
      <c r="O3588" s="6"/>
      <c r="P3588" s="6"/>
      <c r="Q3588" s="6"/>
      <c r="R3588" s="6"/>
      <c r="S3588" s="6"/>
      <c r="T3588" s="6"/>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c r="BU3588" s="6"/>
      <c r="BV3588" s="6"/>
      <c r="BW3588" s="6"/>
      <c r="BX3588" s="6"/>
      <c r="BY3588" s="6"/>
      <c r="BZ3588" s="6"/>
      <c r="CA3588" s="6"/>
      <c r="CB3588" s="6"/>
      <c r="CC3588" s="6"/>
      <c r="CD3588" s="6"/>
      <c r="CE3588" s="6"/>
      <c r="CF3588" s="6"/>
      <c r="CG3588" s="6"/>
      <c r="CH3588" s="6"/>
      <c r="CI3588" s="6"/>
      <c r="CJ3588" s="6"/>
      <c r="CK3588" s="6"/>
      <c r="CL3588" s="6"/>
      <c r="CM3588" s="6"/>
      <c r="CN3588" s="6"/>
      <c r="CO3588" s="6"/>
      <c r="CP3588" s="6"/>
      <c r="CQ3588" s="6"/>
      <c r="CR3588" s="6"/>
      <c r="CS3588" s="6"/>
      <c r="CT3588" s="6"/>
      <c r="CU3588" s="6"/>
      <c r="CV3588" s="6"/>
      <c r="CW3588" s="6"/>
      <c r="CX3588" s="6"/>
      <c r="CY3588" s="6"/>
      <c r="CZ3588" s="6"/>
      <c r="DA3588" s="6"/>
      <c r="DB3588" s="6"/>
      <c r="DC3588" s="6"/>
    </row>
    <row r="3589" spans="1:108" ht="12.75" hidden="1" customHeight="1" outlineLevel="3">
      <c r="A3589" s="10" t="s">
        <v>269</v>
      </c>
      <c r="B3589" s="100" t="s">
        <v>143</v>
      </c>
      <c r="D3589" t="s">
        <v>20</v>
      </c>
      <c r="F3589" s="6"/>
      <c r="G3589" s="6"/>
      <c r="H3589" s="6"/>
      <c r="I3589" s="6"/>
      <c r="J3589" s="6"/>
      <c r="K3589" s="6"/>
      <c r="L3589" s="6"/>
      <c r="M3589" s="6"/>
      <c r="N3589" s="6"/>
      <c r="O3589" s="6"/>
      <c r="P3589" s="6"/>
      <c r="Q3589" s="6"/>
      <c r="R3589" s="6"/>
      <c r="S3589" s="6"/>
      <c r="T3589" s="6"/>
      <c r="U3589" s="6"/>
      <c r="V3589" s="6"/>
      <c r="W3589" s="6"/>
      <c r="X3589" s="6"/>
      <c r="Y3589" s="6"/>
      <c r="Z3589" s="6"/>
      <c r="AA3589" s="6"/>
      <c r="AB3589" s="6"/>
      <c r="AC3589" s="6"/>
      <c r="AD3589" s="6"/>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c r="BU3589" s="6"/>
      <c r="BV3589" s="6"/>
      <c r="BW3589" s="6"/>
      <c r="BX3589" s="6"/>
      <c r="BY3589" s="6"/>
      <c r="BZ3589" s="6"/>
      <c r="CA3589" s="6"/>
      <c r="CB3589" s="6"/>
      <c r="CC3589" s="6"/>
      <c r="CD3589" s="6"/>
      <c r="CE3589" s="6"/>
      <c r="CF3589" s="6"/>
      <c r="CG3589" s="6"/>
      <c r="CH3589" s="6"/>
      <c r="CI3589" s="6"/>
      <c r="CJ3589" s="6"/>
      <c r="CK3589" s="6"/>
      <c r="CL3589" s="6"/>
      <c r="CM3589" s="6"/>
      <c r="CN3589" s="6"/>
      <c r="CO3589" s="6"/>
      <c r="CP3589" s="6"/>
      <c r="CQ3589" s="6"/>
      <c r="CR3589" s="6"/>
      <c r="CS3589" s="6"/>
      <c r="CT3589" s="6"/>
      <c r="CU3589" s="6"/>
      <c r="CV3589" s="6"/>
      <c r="CW3589" s="6"/>
      <c r="CX3589" s="6"/>
      <c r="CY3589" s="6"/>
      <c r="CZ3589" s="6"/>
      <c r="DA3589" s="6"/>
      <c r="DB3589" s="6"/>
      <c r="DC3589" s="6"/>
    </row>
    <row r="3590" spans="1:108" ht="12.75" hidden="1" customHeight="1" outlineLevel="3">
      <c r="A3590" s="10" t="s">
        <v>270</v>
      </c>
      <c r="B3590" s="100" t="s">
        <v>143</v>
      </c>
      <c r="D3590" t="s">
        <v>21</v>
      </c>
      <c r="F3590" s="6"/>
      <c r="G3590" s="6"/>
      <c r="H3590" s="6"/>
      <c r="I3590" s="6"/>
      <c r="J3590" s="6"/>
      <c r="K3590" s="6"/>
      <c r="L3590" s="6"/>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c r="BU3590" s="6"/>
      <c r="BV3590" s="6"/>
      <c r="BW3590" s="6"/>
      <c r="BX3590" s="6"/>
      <c r="BY3590" s="6"/>
      <c r="BZ3590" s="6"/>
      <c r="CA3590" s="6"/>
      <c r="CB3590" s="6"/>
      <c r="CC3590" s="6"/>
      <c r="CD3590" s="6"/>
      <c r="CE3590" s="6"/>
      <c r="CF3590" s="6"/>
      <c r="CG3590" s="6"/>
      <c r="CH3590" s="6"/>
      <c r="CI3590" s="6"/>
      <c r="CJ3590" s="6"/>
      <c r="CK3590" s="6"/>
      <c r="CL3590" s="6"/>
      <c r="CM3590" s="6"/>
      <c r="CN3590" s="6"/>
      <c r="CO3590" s="6"/>
      <c r="CP3590" s="6"/>
      <c r="CQ3590" s="6"/>
      <c r="CR3590" s="6"/>
      <c r="CS3590" s="6"/>
      <c r="CT3590" s="6"/>
      <c r="CU3590" s="6"/>
      <c r="CV3590" s="6"/>
      <c r="CW3590" s="6"/>
      <c r="CX3590" s="6"/>
      <c r="CY3590" s="6"/>
      <c r="CZ3590" s="6"/>
      <c r="DA3590" s="6"/>
      <c r="DB3590" s="6"/>
      <c r="DC3590" s="6"/>
    </row>
    <row r="3591" spans="1:108" ht="12.75" hidden="1" customHeight="1" outlineLevel="3">
      <c r="A3591" s="10" t="s">
        <v>271</v>
      </c>
      <c r="B3591" s="100" t="s">
        <v>143</v>
      </c>
      <c r="D3591" t="s">
        <v>22</v>
      </c>
      <c r="F3591" s="6"/>
      <c r="G3591" s="6"/>
      <c r="H3591" s="6"/>
      <c r="I3591" s="6"/>
      <c r="J3591" s="6"/>
      <c r="K3591" s="6"/>
      <c r="L3591" s="6"/>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c r="BU3591" s="6"/>
      <c r="BV3591" s="6"/>
      <c r="BW3591" s="6"/>
      <c r="BX3591" s="6"/>
      <c r="BY3591" s="6"/>
      <c r="BZ3591" s="6"/>
      <c r="CA3591" s="6"/>
      <c r="CB3591" s="6"/>
      <c r="CC3591" s="6"/>
      <c r="CD3591" s="6"/>
      <c r="CE3591" s="6"/>
      <c r="CF3591" s="6"/>
      <c r="CG3591" s="6"/>
      <c r="CH3591" s="6"/>
      <c r="CI3591" s="6"/>
      <c r="CJ3591" s="6"/>
      <c r="CK3591" s="6"/>
      <c r="CL3591" s="6"/>
      <c r="CM3591" s="6"/>
      <c r="CN3591" s="6"/>
      <c r="CO3591" s="6"/>
      <c r="CP3591" s="6"/>
      <c r="CQ3591" s="6"/>
      <c r="CR3591" s="6"/>
      <c r="CS3591" s="6"/>
      <c r="CT3591" s="6"/>
      <c r="CU3591" s="6"/>
      <c r="CV3591" s="6"/>
      <c r="CW3591" s="6"/>
      <c r="CX3591" s="6"/>
      <c r="CY3591" s="6"/>
      <c r="CZ3591" s="6"/>
      <c r="DA3591" s="6"/>
      <c r="DB3591" s="6"/>
      <c r="DC3591" s="6"/>
    </row>
    <row r="3592" spans="1:108" ht="12.75" hidden="1" customHeight="1" outlineLevel="3">
      <c r="A3592" s="10" t="s">
        <v>272</v>
      </c>
      <c r="B3592" s="100" t="s">
        <v>143</v>
      </c>
      <c r="D3592" t="s">
        <v>23</v>
      </c>
      <c r="F3592" s="6"/>
      <c r="G3592" s="6"/>
      <c r="H3592" s="6"/>
      <c r="I3592" s="6"/>
      <c r="J3592" s="6"/>
      <c r="K3592" s="6"/>
      <c r="L3592" s="6"/>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c r="BU3592" s="6"/>
      <c r="BV3592" s="6"/>
      <c r="BW3592" s="6"/>
      <c r="BX3592" s="6"/>
      <c r="BY3592" s="6"/>
      <c r="BZ3592" s="6"/>
      <c r="CA3592" s="6"/>
      <c r="CB3592" s="6"/>
      <c r="CC3592" s="6"/>
      <c r="CD3592" s="6"/>
      <c r="CE3592" s="6"/>
      <c r="CF3592" s="6"/>
      <c r="CG3592" s="6"/>
      <c r="CH3592" s="6"/>
      <c r="CI3592" s="6"/>
      <c r="CJ3592" s="6"/>
      <c r="CK3592" s="6"/>
      <c r="CL3592" s="6"/>
      <c r="CM3592" s="6"/>
      <c r="CN3592" s="6"/>
      <c r="CO3592" s="6"/>
      <c r="CP3592" s="6"/>
      <c r="CQ3592" s="6"/>
      <c r="CR3592" s="6"/>
      <c r="CS3592" s="6"/>
      <c r="CT3592" s="6"/>
      <c r="CU3592" s="6"/>
      <c r="CV3592" s="6"/>
      <c r="CW3592" s="6"/>
      <c r="CX3592" s="6"/>
      <c r="CY3592" s="6"/>
      <c r="CZ3592" s="6"/>
      <c r="DA3592" s="6"/>
      <c r="DB3592" s="6"/>
      <c r="DC3592" s="6"/>
    </row>
    <row r="3593" spans="1:108" ht="12.75" hidden="1" customHeight="1" outlineLevel="3">
      <c r="A3593" s="10" t="s">
        <v>273</v>
      </c>
      <c r="B3593" s="100" t="s">
        <v>143</v>
      </c>
      <c r="D3593" t="s">
        <v>24</v>
      </c>
      <c r="F3593" s="6"/>
      <c r="G3593" s="6"/>
      <c r="H3593" s="6"/>
      <c r="I3593" s="6"/>
      <c r="J3593" s="6"/>
      <c r="K3593" s="6"/>
      <c r="L3593" s="6"/>
      <c r="M3593" s="6"/>
      <c r="N3593" s="6"/>
      <c r="O3593" s="6"/>
      <c r="P3593" s="6"/>
      <c r="Q3593" s="6"/>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c r="BU3593" s="6"/>
      <c r="BV3593" s="6"/>
      <c r="BW3593" s="6"/>
      <c r="BX3593" s="6"/>
      <c r="BY3593" s="6"/>
      <c r="BZ3593" s="6"/>
      <c r="CA3593" s="6"/>
      <c r="CB3593" s="6"/>
      <c r="CC3593" s="6"/>
      <c r="CD3593" s="6"/>
      <c r="CE3593" s="6"/>
      <c r="CF3593" s="6"/>
      <c r="CG3593" s="6"/>
      <c r="CH3593" s="6"/>
      <c r="CI3593" s="6"/>
      <c r="CJ3593" s="6"/>
      <c r="CK3593" s="6"/>
      <c r="CL3593" s="6"/>
      <c r="CM3593" s="6"/>
      <c r="CN3593" s="6"/>
      <c r="CO3593" s="6"/>
      <c r="CP3593" s="6"/>
      <c r="CQ3593" s="6"/>
      <c r="CR3593" s="6"/>
      <c r="CS3593" s="6"/>
      <c r="CT3593" s="6"/>
      <c r="CU3593" s="6"/>
      <c r="CV3593" s="6"/>
      <c r="CW3593" s="6"/>
      <c r="CX3593" s="6"/>
      <c r="CY3593" s="6"/>
      <c r="CZ3593" s="6"/>
      <c r="DA3593" s="6"/>
      <c r="DB3593" s="6"/>
      <c r="DC3593" s="6"/>
    </row>
    <row r="3594" spans="1:108" ht="12.75" hidden="1" customHeight="1" outlineLevel="3">
      <c r="A3594" s="10" t="s">
        <v>274</v>
      </c>
      <c r="B3594" s="100" t="s">
        <v>143</v>
      </c>
      <c r="D3594" t="s">
        <v>25</v>
      </c>
      <c r="F3594" s="6"/>
      <c r="G3594" s="6"/>
      <c r="H3594" s="6"/>
      <c r="I3594" s="6"/>
      <c r="J3594" s="6"/>
      <c r="K3594" s="6"/>
      <c r="L3594" s="6"/>
      <c r="M3594" s="6"/>
      <c r="N3594" s="6"/>
      <c r="O3594" s="6"/>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c r="BU3594" s="6"/>
      <c r="BV3594" s="6"/>
      <c r="BW3594" s="6"/>
      <c r="BX3594" s="6"/>
      <c r="BY3594" s="6"/>
      <c r="BZ3594" s="6"/>
      <c r="CA3594" s="6"/>
      <c r="CB3594" s="6"/>
      <c r="CC3594" s="6"/>
      <c r="CD3594" s="6"/>
      <c r="CE3594" s="6"/>
      <c r="CF3594" s="6"/>
      <c r="CG3594" s="6"/>
      <c r="CH3594" s="6"/>
      <c r="CI3594" s="6"/>
      <c r="CJ3594" s="6"/>
      <c r="CK3594" s="6"/>
      <c r="CL3594" s="6"/>
      <c r="CM3594" s="6"/>
      <c r="CN3594" s="6"/>
      <c r="CO3594" s="6"/>
      <c r="CP3594" s="6"/>
      <c r="CQ3594" s="6"/>
      <c r="CR3594" s="6"/>
      <c r="CS3594" s="6"/>
      <c r="CT3594" s="6"/>
      <c r="CU3594" s="6"/>
      <c r="CV3594" s="6"/>
      <c r="CW3594" s="6"/>
      <c r="CX3594" s="6"/>
      <c r="CY3594" s="6"/>
      <c r="CZ3594" s="6"/>
      <c r="DA3594" s="6"/>
      <c r="DB3594" s="6"/>
      <c r="DC3594" s="6"/>
    </row>
    <row r="3595" spans="1:108" ht="12.75" hidden="1" customHeight="1" outlineLevel="3">
      <c r="A3595" s="10" t="s">
        <v>275</v>
      </c>
      <c r="B3595" s="100" t="s">
        <v>143</v>
      </c>
      <c r="D3595" t="s">
        <v>26</v>
      </c>
      <c r="F3595" s="6"/>
      <c r="G3595" s="6"/>
      <c r="H3595" s="6"/>
      <c r="I3595" s="6"/>
      <c r="J3595" s="6"/>
      <c r="K3595" s="6"/>
      <c r="L3595" s="6"/>
      <c r="M3595" s="6"/>
      <c r="N3595" s="6"/>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c r="BU3595" s="6"/>
      <c r="BV3595" s="6"/>
      <c r="BW3595" s="6"/>
      <c r="BX3595" s="6"/>
      <c r="BY3595" s="6"/>
      <c r="BZ3595" s="6"/>
      <c r="CA3595" s="6"/>
      <c r="CB3595" s="6"/>
      <c r="CC3595" s="6"/>
      <c r="CD3595" s="6"/>
      <c r="CE3595" s="6"/>
      <c r="CF3595" s="6"/>
      <c r="CG3595" s="6"/>
      <c r="CH3595" s="6"/>
      <c r="CI3595" s="6"/>
      <c r="CJ3595" s="6"/>
      <c r="CK3595" s="6"/>
      <c r="CL3595" s="6"/>
      <c r="CM3595" s="6"/>
      <c r="CN3595" s="6"/>
      <c r="CO3595" s="6"/>
      <c r="CP3595" s="6"/>
      <c r="CQ3595" s="6"/>
      <c r="CR3595" s="6"/>
      <c r="CS3595" s="6"/>
      <c r="CT3595" s="6"/>
      <c r="CU3595" s="6"/>
      <c r="CV3595" s="6"/>
      <c r="CW3595" s="6"/>
      <c r="CX3595" s="6"/>
      <c r="CY3595" s="6"/>
      <c r="CZ3595" s="6"/>
      <c r="DA3595" s="6"/>
      <c r="DB3595" s="6"/>
      <c r="DC3595" s="6"/>
    </row>
    <row r="3596" spans="1:108" ht="12.75" hidden="1" customHeight="1" outlineLevel="3">
      <c r="A3596" s="10" t="s">
        <v>276</v>
      </c>
      <c r="B3596" s="100"/>
      <c r="D3596" t="s">
        <v>30</v>
      </c>
      <c r="F3596" s="6"/>
      <c r="G3596" s="6"/>
      <c r="H3596" s="6"/>
      <c r="I3596" s="6"/>
      <c r="J3596" s="6"/>
      <c r="K3596" s="6"/>
      <c r="L3596" s="6"/>
      <c r="M3596" s="6"/>
      <c r="N3596" s="6"/>
      <c r="O3596" s="6"/>
      <c r="P3596" s="6"/>
      <c r="Q3596" s="6"/>
      <c r="R3596" s="6"/>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c r="BU3596" s="6"/>
      <c r="BV3596" s="6"/>
      <c r="BW3596" s="6"/>
      <c r="BX3596" s="6"/>
      <c r="BY3596" s="6"/>
      <c r="BZ3596" s="6"/>
      <c r="CA3596" s="6"/>
      <c r="CB3596" s="6"/>
      <c r="CC3596" s="6"/>
      <c r="CD3596" s="6"/>
      <c r="CE3596" s="6"/>
      <c r="CF3596" s="6"/>
      <c r="CG3596" s="6"/>
      <c r="CH3596" s="6"/>
      <c r="CI3596" s="6"/>
      <c r="CJ3596" s="6"/>
      <c r="CK3596" s="6"/>
      <c r="CL3596" s="6"/>
      <c r="CM3596" s="6"/>
      <c r="CN3596" s="6"/>
      <c r="CO3596" s="6"/>
      <c r="CP3596" s="6"/>
      <c r="CQ3596" s="6"/>
      <c r="CR3596" s="6"/>
      <c r="CS3596" s="6"/>
      <c r="CT3596" s="6"/>
      <c r="CU3596" s="6"/>
      <c r="CV3596" s="6"/>
      <c r="CW3596" s="6"/>
      <c r="CX3596" s="6"/>
      <c r="CY3596" s="6"/>
      <c r="CZ3596" s="6"/>
      <c r="DA3596" s="6"/>
      <c r="DB3596" s="6"/>
      <c r="DC3596" s="6"/>
    </row>
    <row r="3597" spans="1:108" ht="12.75" hidden="1" customHeight="1" outlineLevel="3">
      <c r="A3597" s="10" t="s">
        <v>138</v>
      </c>
      <c r="B3597" s="100"/>
      <c r="D3597" t="s">
        <v>27</v>
      </c>
      <c r="F3597" s="6"/>
      <c r="G3597" s="6"/>
      <c r="H3597" s="6"/>
      <c r="I3597" s="6"/>
      <c r="J3597" s="6"/>
      <c r="K3597" s="6"/>
      <c r="L3597" s="6"/>
      <c r="M3597" s="6"/>
      <c r="N3597" s="6"/>
      <c r="O3597" s="6"/>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c r="BU3597" s="6"/>
      <c r="BV3597" s="6"/>
      <c r="BW3597" s="6"/>
      <c r="BX3597" s="6"/>
      <c r="BY3597" s="6"/>
      <c r="BZ3597" s="6"/>
      <c r="CA3597" s="6"/>
      <c r="CB3597" s="6"/>
      <c r="CC3597" s="6"/>
      <c r="CD3597" s="6"/>
      <c r="CE3597" s="6"/>
      <c r="CF3597" s="6"/>
      <c r="CG3597" s="6"/>
      <c r="CH3597" s="6"/>
      <c r="CI3597" s="6"/>
      <c r="CJ3597" s="6"/>
      <c r="CK3597" s="6"/>
      <c r="CL3597" s="6"/>
      <c r="CM3597" s="6"/>
      <c r="CN3597" s="6"/>
      <c r="CO3597" s="6"/>
      <c r="CP3597" s="6"/>
      <c r="CQ3597" s="6"/>
      <c r="CR3597" s="6"/>
      <c r="CS3597" s="6"/>
      <c r="CT3597" s="6"/>
      <c r="CU3597" s="6"/>
      <c r="CV3597" s="6"/>
      <c r="CW3597" s="6"/>
      <c r="CX3597" s="6"/>
      <c r="CY3597" s="6"/>
      <c r="CZ3597" s="6"/>
      <c r="DA3597" s="6"/>
      <c r="DB3597" s="6"/>
      <c r="DC3597" s="6"/>
    </row>
    <row r="3598" spans="1:108" outlineLevel="2">
      <c r="A3598" s="10" t="s">
        <v>277</v>
      </c>
      <c r="B3598" s="100"/>
      <c r="D3598" t="s">
        <v>31</v>
      </c>
      <c r="F3598" s="6"/>
      <c r="G3598" s="6"/>
      <c r="H3598" s="6"/>
      <c r="I3598" s="6"/>
      <c r="J3598" s="6"/>
      <c r="K3598" s="6"/>
      <c r="L3598" s="6"/>
      <c r="M3598" s="6"/>
      <c r="N3598" s="6"/>
      <c r="O3598" s="6"/>
      <c r="P3598" s="6"/>
      <c r="Q3598" s="6"/>
      <c r="R3598" s="6"/>
      <c r="S3598" s="6"/>
      <c r="T3598" s="6"/>
      <c r="U3598" s="6"/>
      <c r="V3598" s="6"/>
      <c r="W3598" s="6"/>
      <c r="X3598" s="6"/>
      <c r="Y3598" s="6"/>
      <c r="Z3598" s="6"/>
      <c r="AA3598" s="6"/>
      <c r="AB3598" s="6"/>
      <c r="AC3598" s="6"/>
      <c r="AD3598" s="6"/>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c r="BU3598" s="6"/>
      <c r="BV3598" s="6"/>
      <c r="BW3598" s="6"/>
      <c r="BX3598" s="6"/>
      <c r="BY3598" s="6"/>
      <c r="BZ3598" s="6"/>
      <c r="CA3598" s="6"/>
      <c r="CB3598" s="6"/>
      <c r="CC3598" s="6"/>
      <c r="CD3598" s="6"/>
      <c r="CE3598" s="6"/>
      <c r="CF3598" s="6"/>
      <c r="CG3598" s="6"/>
      <c r="CH3598" s="6"/>
      <c r="CI3598" s="6"/>
      <c r="CJ3598" s="6"/>
      <c r="CK3598" s="6"/>
      <c r="CL3598" s="6"/>
      <c r="CM3598" s="6"/>
      <c r="CN3598" s="6"/>
      <c r="CO3598" s="6"/>
      <c r="CP3598" s="6"/>
      <c r="CQ3598" s="6"/>
      <c r="CR3598" s="6"/>
      <c r="CS3598" s="6"/>
      <c r="CT3598" s="6"/>
      <c r="CU3598" s="6"/>
      <c r="CV3598" s="6"/>
      <c r="CW3598" s="6"/>
      <c r="CX3598" s="6"/>
      <c r="CY3598" s="6"/>
      <c r="CZ3598" s="6"/>
      <c r="DA3598" s="6"/>
      <c r="DB3598" s="6"/>
      <c r="DC3598" s="6"/>
    </row>
    <row r="3599" spans="1:108" outlineLevel="1">
      <c r="A3599" s="10" t="s">
        <v>278</v>
      </c>
      <c r="B3599" s="100"/>
      <c r="D3599" t="s">
        <v>32</v>
      </c>
      <c r="F3599" s="6"/>
      <c r="G3599" s="6"/>
      <c r="H3599" s="6"/>
      <c r="I3599" s="6"/>
      <c r="J3599" s="6"/>
      <c r="K3599" s="6"/>
      <c r="L3599" s="6"/>
      <c r="M3599" s="6"/>
      <c r="N3599" s="6"/>
      <c r="O3599" s="6"/>
      <c r="P3599" s="6"/>
      <c r="Q3599" s="6"/>
      <c r="R3599" s="6"/>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c r="BU3599" s="6"/>
      <c r="BV3599" s="6"/>
      <c r="BW3599" s="6"/>
      <c r="BX3599" s="6"/>
      <c r="BY3599" s="6"/>
      <c r="BZ3599" s="6"/>
      <c r="CA3599" s="6"/>
      <c r="CB3599" s="6"/>
      <c r="CC3599" s="6"/>
      <c r="CD3599" s="6"/>
      <c r="CE3599" s="6"/>
      <c r="CF3599" s="6"/>
      <c r="CG3599" s="6"/>
      <c r="CH3599" s="6"/>
      <c r="CI3599" s="6"/>
      <c r="CJ3599" s="6"/>
      <c r="CK3599" s="6"/>
      <c r="CL3599" s="6"/>
      <c r="CM3599" s="6"/>
      <c r="CN3599" s="6"/>
      <c r="CO3599" s="6"/>
      <c r="CP3599" s="6"/>
      <c r="CQ3599" s="6"/>
      <c r="CR3599" s="6"/>
      <c r="CS3599" s="6"/>
      <c r="CT3599" s="6"/>
      <c r="CU3599" s="6"/>
      <c r="CV3599" s="6"/>
      <c r="CW3599" s="6"/>
      <c r="CX3599" s="6"/>
      <c r="CY3599" s="6"/>
      <c r="CZ3599" s="6"/>
      <c r="DA3599" s="6"/>
      <c r="DB3599" s="6"/>
      <c r="DC3599" s="6"/>
    </row>
    <row r="3600" spans="1:108" outlineLevel="1">
      <c r="A3600" s="10" t="s">
        <v>279</v>
      </c>
      <c r="B3600" s="100"/>
      <c r="D3600" t="s">
        <v>33</v>
      </c>
      <c r="F3600" s="6"/>
      <c r="G3600" s="6"/>
      <c r="H3600" s="6"/>
      <c r="I3600" s="6"/>
      <c r="J3600" s="6"/>
      <c r="K3600" s="6"/>
      <c r="L3600" s="6"/>
      <c r="M3600" s="6"/>
      <c r="N3600" s="6"/>
      <c r="O3600" s="6"/>
      <c r="P3600" s="6"/>
      <c r="Q3600" s="6"/>
      <c r="R3600" s="6"/>
      <c r="S3600" s="6"/>
      <c r="T3600" s="6"/>
      <c r="U3600" s="6"/>
      <c r="V3600" s="6"/>
      <c r="W3600" s="6"/>
      <c r="X3600" s="6"/>
      <c r="Y3600" s="6"/>
      <c r="Z3600" s="6"/>
      <c r="AA3600" s="6"/>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c r="BU3600" s="6"/>
      <c r="BV3600" s="6"/>
      <c r="BW3600" s="6"/>
      <c r="BX3600" s="6"/>
      <c r="BY3600" s="6"/>
      <c r="BZ3600" s="6"/>
      <c r="CA3600" s="6"/>
      <c r="CB3600" s="6"/>
      <c r="CC3600" s="6"/>
      <c r="CD3600" s="6"/>
      <c r="CE3600" s="6"/>
      <c r="CF3600" s="6"/>
      <c r="CG3600" s="6"/>
      <c r="CH3600" s="6"/>
      <c r="CI3600" s="6"/>
      <c r="CJ3600" s="6"/>
      <c r="CK3600" s="6"/>
      <c r="CL3600" s="6"/>
      <c r="CM3600" s="6"/>
      <c r="CN3600" s="6"/>
      <c r="CO3600" s="6"/>
      <c r="CP3600" s="6"/>
      <c r="CQ3600" s="6"/>
      <c r="CR3600" s="6"/>
      <c r="CS3600" s="6"/>
      <c r="CT3600" s="6"/>
      <c r="CU3600" s="6"/>
      <c r="CV3600" s="6"/>
      <c r="CW3600" s="6"/>
      <c r="CX3600" s="6"/>
      <c r="CY3600" s="6"/>
      <c r="CZ3600" s="6"/>
      <c r="DA3600" s="6"/>
      <c r="DB3600" s="6"/>
      <c r="DC3600" s="6"/>
    </row>
    <row r="3601" spans="1:107" outlineLevel="1">
      <c r="A3601" s="10" t="s">
        <v>280</v>
      </c>
      <c r="B3601" s="100"/>
      <c r="D3601" t="s">
        <v>0</v>
      </c>
      <c r="F3601" s="6"/>
      <c r="G3601" s="6"/>
      <c r="H3601" s="6"/>
      <c r="I3601" s="6"/>
      <c r="J3601" s="6"/>
      <c r="K3601" s="6"/>
      <c r="L3601" s="6"/>
      <c r="M3601" s="6"/>
      <c r="N3601" s="6"/>
      <c r="O3601" s="6"/>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c r="BU3601" s="6"/>
      <c r="BV3601" s="6"/>
      <c r="BW3601" s="6"/>
      <c r="BX3601" s="6"/>
      <c r="BY3601" s="6"/>
      <c r="BZ3601" s="6"/>
      <c r="CA3601" s="6"/>
      <c r="CB3601" s="6"/>
      <c r="CC3601" s="6"/>
      <c r="CD3601" s="6"/>
      <c r="CE3601" s="6"/>
      <c r="CF3601" s="6"/>
      <c r="CG3601" s="6"/>
      <c r="CH3601" s="6"/>
      <c r="CI3601" s="6"/>
      <c r="CJ3601" s="6"/>
      <c r="CK3601" s="6"/>
      <c r="CL3601" s="6"/>
      <c r="CM3601" s="6"/>
      <c r="CN3601" s="6"/>
      <c r="CO3601" s="6"/>
      <c r="CP3601" s="6"/>
      <c r="CQ3601" s="6"/>
      <c r="CR3601" s="6"/>
      <c r="CS3601" s="6"/>
      <c r="CT3601" s="6"/>
      <c r="CU3601" s="6"/>
      <c r="CV3601" s="6"/>
      <c r="CW3601" s="6"/>
      <c r="CX3601" s="6"/>
      <c r="CY3601" s="6"/>
      <c r="CZ3601" s="6"/>
      <c r="DA3601" s="6"/>
      <c r="DB3601" s="6"/>
      <c r="DC3601" s="6"/>
    </row>
    <row r="3602" spans="1:107">
      <c r="F3602" s="6"/>
      <c r="G3602" s="6"/>
      <c r="Y3602" s="21"/>
    </row>
    <row r="3603" spans="1:107">
      <c r="F3603" s="6"/>
      <c r="G3603" s="6"/>
    </row>
    <row r="3604" spans="1:107">
      <c r="F3604" s="6"/>
      <c r="G3604" s="6"/>
      <c r="T3604" s="1"/>
    </row>
    <row r="3605" spans="1:107">
      <c r="F3605" s="6"/>
      <c r="G3605" s="6"/>
      <c r="T3605" s="1"/>
    </row>
    <row r="3606" spans="1:107">
      <c r="F3606" s="6"/>
      <c r="G3606" s="6"/>
      <c r="T3606" s="1"/>
    </row>
    <row r="3607" spans="1:107">
      <c r="F3607" s="6"/>
      <c r="G3607" s="6"/>
      <c r="T3607" s="1"/>
    </row>
    <row r="3608" spans="1:107">
      <c r="F3608" s="6"/>
      <c r="G3608" s="6"/>
      <c r="T3608" s="1"/>
    </row>
    <row r="3609" spans="1:107">
      <c r="F3609" s="6"/>
      <c r="G3609" s="6"/>
      <c r="T3609" s="1"/>
    </row>
  </sheetData>
  <phoneticPr fontId="1" type="noConversion"/>
  <conditionalFormatting sqref="A3586:B3601 B217 B219 B221 B225 B251:B253 B257 B267:B269 B274 B295 B305:B306 B309:B310 B333:B334 B580:B591 B395:B399 B403:B419 B424:B440 B168:B208 B284:B285 B489 B501:B507 B480:B486 B445:B461 B575:B578 A7:A3595 B241 B514 B512 B368:B389 B518:B527 B540:B559 B652:B658 B673:B679 B567:B571 B601:B612 B622:B633 B245:B247 B288:B289 B148:B151 B10:B146 B154:B163 B346:B355 B617:B620 B596:B599">
    <cfRule type="containsText" dxfId="2" priority="242" stopIfTrue="1" operator="containsText" text="/">
      <formula>NOT(ISERROR(SEARCH("/",A7)))</formula>
    </cfRule>
  </conditionalFormatting>
  <conditionalFormatting sqref="C209 C339 C511 C683 C1210 C1743 C2276 C2809 C3342 C3423 C3504 C1357 C1525 C1890 C2058 C2423 C2591 C2956 C3124">
    <cfRule type="containsText" dxfId="1" priority="15" stopIfTrue="1" operator="containsText" text="Yes">
      <formula>NOT(ISERROR(SEARCH("Yes",C209)))</formula>
    </cfRule>
  </conditionalFormatting>
  <conditionalFormatting sqref="E6:E1209">
    <cfRule type="containsText" dxfId="0" priority="1" stopIfTrue="1" operator="containsText" text="Yes">
      <formula>NOT(ISERROR(SEARCH("Yes",E6)))</formula>
    </cfRule>
  </conditionalFormatting>
  <dataValidations disablePrompts="1" count="3">
    <dataValidation type="list" allowBlank="1" showInputMessage="1" showErrorMessage="1" errorTitle="Invalid input" error="Please choose Yes or No from the drop down list." sqref="B505:B506 B439:B440 B435:B436 B425 B418:B419 B414:B415 B404 B397:B399 B381:B383 B375:B377 B371 B349 B351 B355 B347 B333:B334 B309:B310 B305:B306 B295 B288:B289 B284:B285 B274 B267:B269 B257 B251:B253 B245:B247 B241 B225 B221 B219 B217 B203 B200 B197 B194 B183 B180 B177 B174 B163 B160 B157 B154 B143 B140 B137 B134 B123 B120 B117 B114 B103 B100 B97 B94 B83 B80 B77 B74 B63 B60 B57 B54 B43 B40 B37 B34 B23 B10 B519 B521 B523 B527 B547:B549 B553:B555 B571 B576 B586:B587 B590:B591 B597 B607:B608 B611:B612 B618 B628:B629 B632:B633 B656:B657 B677:B678 B484:B485 B460:B461 B456:B457 B446">
      <formula1>$K$1:$K$2</formula1>
    </dataValidation>
    <dataValidation type="list" allowBlank="1" showInputMessage="1" showErrorMessage="1" sqref="B273 B294">
      <formula1>$F$75:$F$79</formula1>
    </dataValidation>
    <dataValidation type="list" allowBlank="1" showInputMessage="1" showErrorMessage="1" errorTitle="Invalid input" error="Please choose Yes or No from the drop down list." sqref="C209 C3504 C3423 C3342 C683 C511 C339">
      <formula1>"Yes, No"</formula1>
    </dataValidation>
  </dataValidations>
  <pageMargins left="0.75" right="0.75" top="1" bottom="1" header="0.4921259845" footer="0.4921259845"/>
  <pageSetup paperSize="9" orientation="portrait"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130</vt:i4>
      </vt:variant>
    </vt:vector>
  </HeadingPairs>
  <TitlesOfParts>
    <vt:vector size="133" baseType="lpstr">
      <vt:lpstr>Main</vt:lpstr>
      <vt:lpstr>Input</vt:lpstr>
      <vt:lpstr>Convert</vt:lpstr>
      <vt:lpstr>A_H</vt:lpstr>
      <vt:lpstr>A_V</vt:lpstr>
      <vt:lpstr>A_W</vt:lpstr>
      <vt:lpstr>A_W.o</vt:lpstr>
      <vt:lpstr>b_df</vt:lpstr>
      <vt:lpstr>b_V</vt:lpstr>
      <vt:lpstr>b_W</vt:lpstr>
      <vt:lpstr>b_W.i</vt:lpstr>
      <vt:lpstr>C_H</vt:lpstr>
      <vt:lpstr>c_MAC.W</vt:lpstr>
      <vt:lpstr>c_r.df</vt:lpstr>
      <vt:lpstr>c_r.V</vt:lpstr>
      <vt:lpstr>c_r.W</vt:lpstr>
      <vt:lpstr>c_t.V</vt:lpstr>
      <vt:lpstr>c_t.W</vt:lpstr>
      <vt:lpstr>C_V</vt:lpstr>
      <vt:lpstr>c_W.k</vt:lpstr>
      <vt:lpstr>cowl_cover</vt:lpstr>
      <vt:lpstr>d_e.j</vt:lpstr>
      <vt:lpstr>d_e.p</vt:lpstr>
      <vt:lpstr>d_e.p.r</vt:lpstr>
      <vt:lpstr>d_F</vt:lpstr>
      <vt:lpstr>DL_av</vt:lpstr>
      <vt:lpstr>DL_den</vt:lpstr>
      <vt:lpstr>eta_k.W</vt:lpstr>
      <vt:lpstr>ggam_H</vt:lpstr>
      <vt:lpstr>ggam_W.i</vt:lpstr>
      <vt:lpstr>ggam_W.o</vt:lpstr>
      <vt:lpstr>l_aft.F</vt:lpstr>
      <vt:lpstr>l_cock.F</vt:lpstr>
      <vt:lpstr>l_e.j</vt:lpstr>
      <vt:lpstr>l_e.j.pylon</vt:lpstr>
      <vt:lpstr>l_e.p</vt:lpstr>
      <vt:lpstr>l_F</vt:lpstr>
      <vt:lpstr>l_nose.F</vt:lpstr>
      <vt:lpstr>lam_H</vt:lpstr>
      <vt:lpstr>lam_V</vt:lpstr>
      <vt:lpstr>lam_W</vt:lpstr>
      <vt:lpstr>lam_W.o</vt:lpstr>
      <vt:lpstr>M_CR</vt:lpstr>
      <vt:lpstr>M_MO</vt:lpstr>
      <vt:lpstr>MyToolName</vt:lpstr>
      <vt:lpstr>MyToolPath</vt:lpstr>
      <vt:lpstr>n_b.p</vt:lpstr>
      <vt:lpstr>n_e</vt:lpstr>
      <vt:lpstr>n_p</vt:lpstr>
      <vt:lpstr>Name_aircraft</vt:lpstr>
      <vt:lpstr>OpenVSP_Dir</vt:lpstr>
      <vt:lpstr>OpenVSP_File</vt:lpstr>
      <vt:lpstr>P_TO</vt:lpstr>
      <vt:lpstr>phi_0.df</vt:lpstr>
      <vt:lpstr>phi_0.e.j.pylon</vt:lpstr>
      <vt:lpstr>phi_0.V</vt:lpstr>
      <vt:lpstr>phi_0.W.i</vt:lpstr>
      <vt:lpstr>phi_0.W.o</vt:lpstr>
      <vt:lpstr>phi_100.V</vt:lpstr>
      <vt:lpstr>phi_100.W.i</vt:lpstr>
      <vt:lpstr>phi_100.W.o</vt:lpstr>
      <vt:lpstr>phi_25.H</vt:lpstr>
      <vt:lpstr>phi_25.V</vt:lpstr>
      <vt:lpstr>phi_25.W.o</vt:lpstr>
      <vt:lpstr>pos_e.j1.x</vt:lpstr>
      <vt:lpstr>pos_e.j1.y</vt:lpstr>
      <vt:lpstr>pos_e.j1.z</vt:lpstr>
      <vt:lpstr>pos_e.j2.x</vt:lpstr>
      <vt:lpstr>pos_e.j2.y</vt:lpstr>
      <vt:lpstr>pos_e.j2.z</vt:lpstr>
      <vt:lpstr>pos_e.j3.x</vt:lpstr>
      <vt:lpstr>pos_e.j3.y</vt:lpstr>
      <vt:lpstr>pos_e.j3.z</vt:lpstr>
      <vt:lpstr>pos_e.j4.x</vt:lpstr>
      <vt:lpstr>pos_e.j4.y</vt:lpstr>
      <vt:lpstr>pos_e.j4.z</vt:lpstr>
      <vt:lpstr>pos_e.p1.x</vt:lpstr>
      <vt:lpstr>pos_e.p1.y</vt:lpstr>
      <vt:lpstr>pos_e.p1.z</vt:lpstr>
      <vt:lpstr>pos_e.p2.x</vt:lpstr>
      <vt:lpstr>pos_e.p2.y</vt:lpstr>
      <vt:lpstr>pos_e.p2.z</vt:lpstr>
      <vt:lpstr>pos_e.p3.x</vt:lpstr>
      <vt:lpstr>pos_e.p3.y</vt:lpstr>
      <vt:lpstr>pos_e.p3.z</vt:lpstr>
      <vt:lpstr>pos_e.p4.x</vt:lpstr>
      <vt:lpstr>pos_e.p4.y</vt:lpstr>
      <vt:lpstr>pos_e.p4.z</vt:lpstr>
      <vt:lpstr>pos_F.x</vt:lpstr>
      <vt:lpstr>pos_F.y</vt:lpstr>
      <vt:lpstr>pos_F.z</vt:lpstr>
      <vt:lpstr>pos_H.x</vt:lpstr>
      <vt:lpstr>pos_H.y</vt:lpstr>
      <vt:lpstr>pos_H.z</vt:lpstr>
      <vt:lpstr>pos_LG1.x</vt:lpstr>
      <vt:lpstr>pos_LG1.y</vt:lpstr>
      <vt:lpstr>pos_LG1.z</vt:lpstr>
      <vt:lpstr>pos_LG2.x</vt:lpstr>
      <vt:lpstr>pos_LG2.y</vt:lpstr>
      <vt:lpstr>pos_LG2.z</vt:lpstr>
      <vt:lpstr>pos_LG3.x</vt:lpstr>
      <vt:lpstr>pos_LG3.y</vt:lpstr>
      <vt:lpstr>pos_LG3.z</vt:lpstr>
      <vt:lpstr>pos_nose.F.z</vt:lpstr>
      <vt:lpstr>pos_V.x</vt:lpstr>
      <vt:lpstr>pos_V.y</vt:lpstr>
      <vt:lpstr>pos_V.z</vt:lpstr>
      <vt:lpstr>pos_W.x</vt:lpstr>
      <vt:lpstr>pos_W.y</vt:lpstr>
      <vt:lpstr>pos_W.z</vt:lpstr>
      <vt:lpstr>RefPos_df</vt:lpstr>
      <vt:lpstr>RefPos_df.foil</vt:lpstr>
      <vt:lpstr>RefPos_H</vt:lpstr>
      <vt:lpstr>RefPos_V</vt:lpstr>
      <vt:lpstr>RefPos_W</vt:lpstr>
      <vt:lpstr>RelPos_H.x</vt:lpstr>
      <vt:lpstr>RelPos_H.z</vt:lpstr>
      <vt:lpstr>RelPos_V.x</vt:lpstr>
      <vt:lpstr>RelPos_W.x</vt:lpstr>
      <vt:lpstr>RelPos_W.z</vt:lpstr>
      <vt:lpstr>S_H</vt:lpstr>
      <vt:lpstr>S_V</vt:lpstr>
      <vt:lpstr>S_W</vt:lpstr>
      <vt:lpstr>t\c</vt:lpstr>
      <vt:lpstr>T_TO</vt:lpstr>
      <vt:lpstr>Type_df</vt:lpstr>
      <vt:lpstr>Type_e</vt:lpstr>
      <vt:lpstr>Type_W</vt:lpstr>
      <vt:lpstr>w_LG</vt:lpstr>
      <vt:lpstr>XML_end</vt:lpstr>
      <vt:lpstr>XML_OVC</vt:lpstr>
      <vt:lpstr>XML_saved</vt:lpstr>
      <vt:lpstr>XML_start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Tahir Sousa</dc:creator>
  <cp:lastModifiedBy>Dieter SCHOLZ</cp:lastModifiedBy>
  <dcterms:created xsi:type="dcterms:W3CDTF">2013-02-04T12:00:43Z</dcterms:created>
  <dcterms:modified xsi:type="dcterms:W3CDTF">2020-03-31T15:52:33Z</dcterms:modified>
</cp:coreProperties>
</file>