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ien\DGLR\DLRK2024\ContrailManagement\"/>
    </mc:Choice>
  </mc:AlternateContent>
  <xr:revisionPtr revIDLastSave="0" documentId="13_ncr:1_{57FD247B-77DD-47BF-AACE-503A80C35AF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m_CO2,eq" sheetId="10" r:id="rId1"/>
    <sheet name="eta" sheetId="11" r:id="rId2"/>
  </sheets>
  <definedNames>
    <definedName name="a_320">eta!#REF!</definedName>
    <definedName name="a_360">eta!$B$9</definedName>
    <definedName name="B">#REF!</definedName>
    <definedName name="c_">#REF!</definedName>
    <definedName name="c_320">eta!#REF!</definedName>
    <definedName name="c_360">eta!$B$14</definedName>
    <definedName name="c_a">eta!$B$4</definedName>
    <definedName name="c_b_0">eta!$B$5</definedName>
    <definedName name="c_b_320">eta!#REF!</definedName>
    <definedName name="c_b_360">eta!$B$13</definedName>
    <definedName name="CF_AIC">'m_CO2,eq'!$B$43</definedName>
    <definedName name="CF_CO2">'m_CO2,eq'!$B$27</definedName>
    <definedName name="CF_NOx">'m_CO2,eq'!$B$42</definedName>
    <definedName name="EI_CO2">'m_CO2,eq'!$B$25</definedName>
    <definedName name="EI_NOx">'m_CO2,eq'!$B$26</definedName>
    <definedName name="f_ref">'m_CO2,eq'!$B$46</definedName>
    <definedName name="f_seat">'m_CO2,eq'!$B$45</definedName>
    <definedName name="g">#REF!</definedName>
    <definedName name="M_320">eta!#REF!</definedName>
    <definedName name="M_360">eta!$B$10</definedName>
    <definedName name="m_AIC_eq">'m_CO2,eq'!$B$50</definedName>
    <definedName name="m_CO2">'m_CO2,eq'!$B$48</definedName>
    <definedName name="m_CO2_eq">'m_CO2,eq'!$B$52</definedName>
    <definedName name="m_F">#REF!</definedName>
    <definedName name="m_MTO">#REF!</definedName>
    <definedName name="m_NOx_eq">'m_CO2,eq'!$B$49</definedName>
    <definedName name="m_ZFM">#REF!</definedName>
    <definedName name="n">#REF!</definedName>
    <definedName name="Q">eta!$B$16</definedName>
    <definedName name="R_alt_m">#REF!</definedName>
    <definedName name="R_hold_m">#REF!</definedName>
    <definedName name="R_m">#REF!</definedName>
    <definedName name="R_theo">#REF!</definedName>
    <definedName name="R_theo_m">#REF!</definedName>
    <definedName name="rho_320">eta!#REF!</definedName>
    <definedName name="rho_360">eta!$B$8</definedName>
    <definedName name="rho_F">#REF!</definedName>
    <definedName name="S_AIC">'m_CO2,eq'!$B$40</definedName>
    <definedName name="S_CH4">'m_CO2,eq'!$B$39</definedName>
    <definedName name="S_O3_long">'m_CO2,eq'!$B$38</definedName>
    <definedName name="S_O3_short">'m_CO2,eq'!$B$37</definedName>
    <definedName name="SGTP_CH4">'m_CO2,eq'!$B$32</definedName>
    <definedName name="SGTP_cirrus">'m_CO2,eq'!$B$34</definedName>
    <definedName name="SGTP_CO2">'m_CO2,eq'!$B$29</definedName>
    <definedName name="SGTP_contrails">'m_CO2,eq'!$B$33</definedName>
    <definedName name="SGTP_long_O3">'m_CO2,eq'!$B$31</definedName>
    <definedName name="SGTP_short_O3">'m_CO2,eq'!$B$30</definedName>
    <definedName name="T_0">eta!$B$3</definedName>
    <definedName name="T_320">eta!#REF!</definedName>
    <definedName name="T_360">eta!$B$12</definedName>
    <definedName name="V_320">eta!#REF!</definedName>
    <definedName name="V_360">eta!$B$11</definedName>
    <definedName name="V_CR">#REF!</definedName>
    <definedName name="V_F">#REF!</definedName>
    <definedName name="V_S1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1" l="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3" i="11"/>
  <c r="J13" i="11" l="1"/>
  <c r="J8" i="11"/>
  <c r="J23" i="11"/>
  <c r="J15" i="11"/>
  <c r="J7" i="11"/>
  <c r="J21" i="11"/>
  <c r="J16" i="11"/>
  <c r="J22" i="11"/>
  <c r="J14" i="11"/>
  <c r="J6" i="11"/>
  <c r="J5" i="11"/>
  <c r="B13" i="11"/>
  <c r="J3" i="11" s="1"/>
  <c r="B11" i="11"/>
  <c r="B18" i="11" s="1"/>
  <c r="B48" i="10"/>
  <c r="B43" i="10"/>
  <c r="B50" i="10" s="1"/>
  <c r="B42" i="10"/>
  <c r="B49" i="10" s="1"/>
  <c r="J9" i="11" l="1"/>
  <c r="J10" i="11"/>
  <c r="J18" i="11"/>
  <c r="J17" i="11"/>
  <c r="J19" i="11"/>
  <c r="J11" i="11"/>
  <c r="J4" i="11"/>
  <c r="J20" i="11"/>
  <c r="J12" i="11"/>
  <c r="B52" i="10"/>
  <c r="B53" i="10" s="1"/>
  <c r="B14" i="11"/>
  <c r="G49" i="10" l="1"/>
  <c r="G48" i="10"/>
  <c r="G50" i="10"/>
  <c r="G52" i="10" l="1"/>
</calcChain>
</file>

<file path=xl/sharedStrings.xml><?xml version="1.0" encoding="utf-8"?>
<sst xmlns="http://schemas.openxmlformats.org/spreadsheetml/2006/main" count="128" uniqueCount="95">
  <si>
    <t>m/s</t>
  </si>
  <si>
    <t>K</t>
  </si>
  <si>
    <t>kg/m³</t>
  </si>
  <si>
    <t>ft</t>
  </si>
  <si>
    <t>kg/(Ns)</t>
  </si>
  <si>
    <t>EI_CO2</t>
  </si>
  <si>
    <t>kg/kg</t>
  </si>
  <si>
    <t>CF_CO2</t>
  </si>
  <si>
    <t>SGTP_CO2</t>
  </si>
  <si>
    <t>SGTP_long_O3</t>
  </si>
  <si>
    <t>SGTP_short_O3</t>
  </si>
  <si>
    <t>SGTP_CH4</t>
  </si>
  <si>
    <t>SGTP_contrails</t>
  </si>
  <si>
    <t>SGTP_cirrus</t>
  </si>
  <si>
    <t>K/kg</t>
  </si>
  <si>
    <t>K/km</t>
  </si>
  <si>
    <t>H</t>
  </si>
  <si>
    <t>S_O3_short</t>
  </si>
  <si>
    <t>S_O3_long</t>
  </si>
  <si>
    <t>S_CH4</t>
  </si>
  <si>
    <t>S_AIC</t>
  </si>
  <si>
    <t>CF_NOx</t>
  </si>
  <si>
    <t>CF_AIC</t>
  </si>
  <si>
    <t>m_CO2</t>
  </si>
  <si>
    <t>f_ref</t>
  </si>
  <si>
    <t>f/seat</t>
  </si>
  <si>
    <t>kg/km</t>
  </si>
  <si>
    <t>kg/km/seat</t>
  </si>
  <si>
    <t>m_NOx_eq</t>
  </si>
  <si>
    <t>EI_NOx</t>
  </si>
  <si>
    <t>m_AIC_eq</t>
  </si>
  <si>
    <t>-</t>
  </si>
  <si>
    <t>m_CO2_eq</t>
  </si>
  <si>
    <t>kg/100km/seat</t>
  </si>
  <si>
    <t>FL 360</t>
  </si>
  <si>
    <t>rho_360</t>
  </si>
  <si>
    <t>V_360</t>
  </si>
  <si>
    <t>M_360</t>
  </si>
  <si>
    <t>a_360</t>
  </si>
  <si>
    <t>c_a</t>
  </si>
  <si>
    <t>kg/(Ns)/(m/s)</t>
  </si>
  <si>
    <t>T_360</t>
  </si>
  <si>
    <t>c_b_360</t>
  </si>
  <si>
    <t>c_b_0</t>
  </si>
  <si>
    <t>T_0</t>
  </si>
  <si>
    <t>c_360</t>
  </si>
  <si>
    <t>ISA</t>
  </si>
  <si>
    <t>= a_360*M_360</t>
  </si>
  <si>
    <t>= c_b_0*WURZEL(T_360/T_0)</t>
  </si>
  <si>
    <t>= c_a*V_360+c_b_360</t>
  </si>
  <si>
    <t>= SGTP_short_O3/SGTP_CO2*S_O3_short+SGTP_long_O3/SGTP_CO2*S_O3_long+SGTP_CH4/SGTP_CO2*S_CH4</t>
  </si>
  <si>
    <t>= SGTP_contrails/SGTP_CO2*S_AIC+SGTP_cirrus/SGTP_CO2*S_AIC</t>
  </si>
  <si>
    <t>= EI_CO2*f_seat*CF_CO2</t>
  </si>
  <si>
    <t>= EI_NOx*f_seat*CF_NOx</t>
  </si>
  <si>
    <t>= f_seat/f_ref*CF_AIC</t>
  </si>
  <si>
    <t>= m_CO2+m_NOx_eq+m_AIC_eq</t>
  </si>
  <si>
    <t>Siehe oben. Fester Wert.</t>
  </si>
  <si>
    <t>https://purl.org/aero/M2017-07-15</t>
  </si>
  <si>
    <t>c = c_a*V + c_b</t>
  </si>
  <si>
    <t>Q</t>
  </si>
  <si>
    <t>Nm/kg</t>
  </si>
  <si>
    <t>Caers 2019</t>
  </si>
  <si>
    <t>van Endert 2017</t>
  </si>
  <si>
    <t>Alternatively:</t>
  </si>
  <si>
    <t>m_CO2,eq</t>
  </si>
  <si>
    <t>M</t>
  </si>
  <si>
    <t>eta</t>
  </si>
  <si>
    <t>= (V_360/Q)/(c_a*V_360+c_b_360)</t>
  </si>
  <si>
    <t>c [kg/(Ns)</t>
  </si>
  <si>
    <t>V [m/s]</t>
  </si>
  <si>
    <t>Table</t>
  </si>
  <si>
    <t>Read from ...</t>
  </si>
  <si>
    <t>diagram</t>
  </si>
  <si>
    <t>input</t>
  </si>
  <si>
    <t>given</t>
  </si>
  <si>
    <t>per definition</t>
  </si>
  <si>
    <t>Slope of the Mixing Line</t>
  </si>
  <si>
    <t>Triebwerkseffizienz (overall propulsion efficiency, η), die</t>
  </si>
  <si>
    <t>in dem Schmidt-Appleman-Kriterium verwendet wird.</t>
  </si>
  <si>
    <t>Dieser Wert wurde durch Vergleich des Flottenmix durch</t>
  </si>
  <si>
    <t>bestimmt. Mit diesen Werten sind zwei Parameter zur</t>
  </si>
  <si>
    <t>Größenbestimmung der PPC-Gebiete definiert, um</t>
  </si>
  <si>
    <t>"In der Literatur finden sich auch Variationen der mittleren</t>
  </si>
  <si>
    <t>damit klimatologisch wirksame Gebiete zu bestimmen."</t>
  </si>
  <si>
    <r>
      <t xml:space="preserve">die DFS vom Januar 2023 auf den Wert </t>
    </r>
    <r>
      <rPr>
        <b/>
        <sz val="10"/>
        <color rgb="FFFF0000"/>
        <rFont val="Calibri"/>
        <family val="2"/>
        <scheme val="minor"/>
      </rPr>
      <t>η = 0,365</t>
    </r>
  </si>
  <si>
    <t>Eiswolken (Zirren), die durch</t>
  </si>
  <si>
    <t>Kondensstreifen in eisübersättigten Gebieten entstehen.</t>
  </si>
  <si>
    <r>
      <t xml:space="preserve">Diese Gebiete werden als </t>
    </r>
    <r>
      <rPr>
        <b/>
        <sz val="10"/>
        <color rgb="FFFF0000"/>
        <rFont val="Calibri"/>
        <family val="2"/>
        <scheme val="minor"/>
      </rPr>
      <t>PPC-Gebiete (Potential</t>
    </r>
  </si>
  <si>
    <r>
      <rPr>
        <b/>
        <sz val="10"/>
        <color rgb="FFFF0000"/>
        <rFont val="Calibri"/>
        <family val="2"/>
        <scheme val="minor"/>
      </rPr>
      <t>Persistent Contrails-Gebiete)</t>
    </r>
    <r>
      <rPr>
        <sz val="10"/>
        <color theme="1"/>
        <rFont val="Calibri"/>
        <family val="2"/>
        <scheme val="minor"/>
      </rPr>
      <t xml:space="preserve"> bezeichnet</t>
    </r>
  </si>
  <si>
    <t>Deutsche Gesellschaft für Luft- und Raumfahrt. Verfügbar über: https://doi.org/10.25967/630162.</t>
  </si>
  <si>
    <t>Leemüller, R., von Sack, K., Waltenberg, N., 2024. Ein Betriebsverfahren zur Vermeidung des Entstehens persistenter Kondensstreifen.</t>
  </si>
  <si>
    <r>
      <t>m</t>
    </r>
    <r>
      <rPr>
        <sz val="8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in kg/s</t>
    </r>
  </si>
  <si>
    <t>For:</t>
  </si>
  <si>
    <t>read:</t>
  </si>
  <si>
    <t>FL 360 as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</si>
</sst>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%"/>
    <numFmt numFmtId="168" formatCode="0.000E+00"/>
  </numFmts>
  <fonts count="7" x14ac:knownFonts="1"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quotePrefix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11" fontId="0" fillId="0" borderId="0" xfId="0" applyNumberFormat="1"/>
    <xf numFmtId="164" fontId="0" fillId="0" borderId="0" xfId="0" applyNumberFormat="1"/>
    <xf numFmtId="167" fontId="0" fillId="0" borderId="0" xfId="0" applyNumberFormat="1"/>
    <xf numFmtId="167" fontId="0" fillId="2" borderId="0" xfId="1" applyNumberFormat="1" applyFont="1" applyFill="1"/>
    <xf numFmtId="0" fontId="3" fillId="0" borderId="0" xfId="2"/>
    <xf numFmtId="0" fontId="0" fillId="3" borderId="0" xfId="0" applyFill="1"/>
    <xf numFmtId="165" fontId="0" fillId="3" borderId="0" xfId="0" applyNumberFormat="1" applyFill="1"/>
    <xf numFmtId="0" fontId="0" fillId="0" borderId="1" xfId="0" applyBorder="1" applyAlignment="1">
      <alignment horizontal="right"/>
    </xf>
    <xf numFmtId="168" fontId="0" fillId="0" borderId="0" xfId="0" applyNumberFormat="1"/>
    <xf numFmtId="0" fontId="4" fillId="0" borderId="0" xfId="0" applyFont="1"/>
    <xf numFmtId="165" fontId="5" fillId="2" borderId="0" xfId="0" applyNumberFormat="1" applyFont="1" applyFill="1"/>
    <xf numFmtId="165" fontId="5" fillId="0" borderId="0" xfId="0" applyNumberFormat="1" applyFont="1"/>
    <xf numFmtId="164" fontId="5" fillId="0" borderId="0" xfId="0" applyNumberFormat="1" applyFont="1"/>
    <xf numFmtId="0" fontId="1" fillId="0" borderId="0" xfId="0" applyFont="1"/>
    <xf numFmtId="0" fontId="0" fillId="3" borderId="0" xfId="0" applyFont="1" applyFill="1"/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70-455D-B290-9FA42EFEB7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70-455D-B290-9FA42EFEB7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70-455D-B290-9FA42EFEB72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'm_CO2,eq'!$A$48:$A$50</c:f>
              <c:strCache>
                <c:ptCount val="3"/>
                <c:pt idx="0">
                  <c:v>m_CO2</c:v>
                </c:pt>
                <c:pt idx="1">
                  <c:v>m_NOx_eq</c:v>
                </c:pt>
                <c:pt idx="2">
                  <c:v>m_AIC_eq</c:v>
                </c:pt>
              </c:strCache>
            </c:strRef>
          </c:cat>
          <c:val>
            <c:numRef>
              <c:f>'m_CO2,eq'!$G$48:$G$50</c:f>
              <c:numCache>
                <c:formatCode>0.0%</c:formatCode>
                <c:ptCount val="3"/>
                <c:pt idx="0">
                  <c:v>0.27668115678646432</c:v>
                </c:pt>
                <c:pt idx="1">
                  <c:v>0.226019307467174</c:v>
                </c:pt>
                <c:pt idx="2">
                  <c:v>0.49729953574636176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D-4372-8BC7-E4810C371C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eta!$J$2</c:f>
              <c:strCache>
                <c:ptCount val="1"/>
                <c:pt idx="0">
                  <c:v>eta</c:v>
                </c:pt>
              </c:strCache>
            </c:strRef>
          </c:tx>
          <c:spPr>
            <a:ln w="317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eta!$G$3:$G$23</c:f>
              <c:numCache>
                <c:formatCode>0.00</c:formatCode>
                <c:ptCount val="21"/>
                <c:pt idx="0">
                  <c:v>0.65</c:v>
                </c:pt>
                <c:pt idx="1">
                  <c:v>0.66</c:v>
                </c:pt>
                <c:pt idx="2">
                  <c:v>0.67</c:v>
                </c:pt>
                <c:pt idx="3">
                  <c:v>0.68</c:v>
                </c:pt>
                <c:pt idx="4">
                  <c:v>0.69</c:v>
                </c:pt>
                <c:pt idx="5">
                  <c:v>0.7</c:v>
                </c:pt>
                <c:pt idx="6">
                  <c:v>0.71</c:v>
                </c:pt>
                <c:pt idx="7">
                  <c:v>0.72</c:v>
                </c:pt>
                <c:pt idx="8">
                  <c:v>0.73</c:v>
                </c:pt>
                <c:pt idx="9">
                  <c:v>0.74</c:v>
                </c:pt>
                <c:pt idx="10">
                  <c:v>0.75</c:v>
                </c:pt>
                <c:pt idx="11">
                  <c:v>0.76</c:v>
                </c:pt>
                <c:pt idx="12">
                  <c:v>0.77</c:v>
                </c:pt>
                <c:pt idx="13">
                  <c:v>0.78</c:v>
                </c:pt>
                <c:pt idx="14">
                  <c:v>0.79</c:v>
                </c:pt>
                <c:pt idx="15">
                  <c:v>0.8</c:v>
                </c:pt>
                <c:pt idx="16">
                  <c:v>0.81</c:v>
                </c:pt>
                <c:pt idx="17">
                  <c:v>0.82</c:v>
                </c:pt>
                <c:pt idx="18">
                  <c:v>0.83</c:v>
                </c:pt>
                <c:pt idx="19">
                  <c:v>0.84</c:v>
                </c:pt>
                <c:pt idx="20">
                  <c:v>0.85</c:v>
                </c:pt>
              </c:numCache>
            </c:numRef>
          </c:xVal>
          <c:yVal>
            <c:numRef>
              <c:f>eta!$J$3:$J$23</c:f>
              <c:numCache>
                <c:formatCode>0.000</c:formatCode>
                <c:ptCount val="21"/>
                <c:pt idx="0">
                  <c:v>0.2864214241411257</c:v>
                </c:pt>
                <c:pt idx="1">
                  <c:v>0.28896863402153489</c:v>
                </c:pt>
                <c:pt idx="2">
                  <c:v>0.29148348197899365</c:v>
                </c:pt>
                <c:pt idx="3">
                  <c:v>0.29396658085063176</c:v>
                </c:pt>
                <c:pt idx="4">
                  <c:v>0.29641852809692742</c:v>
                </c:pt>
                <c:pt idx="5">
                  <c:v>0.29883990628096968</c:v>
                </c:pt>
                <c:pt idx="6">
                  <c:v>0.30123128352990541</c:v>
                </c:pt>
                <c:pt idx="7">
                  <c:v>0.30359321397934086</c:v>
                </c:pt>
                <c:pt idx="8">
                  <c:v>0.305926238201426</c:v>
                </c:pt>
                <c:pt idx="9">
                  <c:v>0.30823088361731849</c:v>
                </c:pt>
                <c:pt idx="10">
                  <c:v>0.31050766489468568</c:v>
                </c:pt>
                <c:pt idx="11">
                  <c:v>0.31275708433087623</c:v>
                </c:pt>
                <c:pt idx="12">
                  <c:v>0.31497963222235958</c:v>
                </c:pt>
                <c:pt idx="13">
                  <c:v>0.3171757872210037</c:v>
                </c:pt>
                <c:pt idx="14">
                  <c:v>0.31934601667773538</c:v>
                </c:pt>
                <c:pt idx="15">
                  <c:v>0.32149077697410178</c:v>
                </c:pt>
                <c:pt idx="16">
                  <c:v>0.32361051384222567</c:v>
                </c:pt>
                <c:pt idx="17">
                  <c:v>0.32570566267362805</c:v>
                </c:pt>
                <c:pt idx="18">
                  <c:v>0.32777664881736474</c:v>
                </c:pt>
                <c:pt idx="19">
                  <c:v>0.32982388786790817</c:v>
                </c:pt>
                <c:pt idx="20">
                  <c:v>0.33184778594318193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C3-401D-9282-8CE595CA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94159"/>
        <c:axId val="187375919"/>
      </c:scatterChart>
      <c:valAx>
        <c:axId val="187394159"/>
        <c:scaling>
          <c:orientation val="minMax"/>
          <c:max val="0.85000000000000009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375919"/>
        <c:crosses val="autoZero"/>
        <c:crossBetween val="midCat"/>
      </c:valAx>
      <c:valAx>
        <c:axId val="18737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394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19050</xdr:rowOff>
    </xdr:from>
    <xdr:to>
      <xdr:col>8</xdr:col>
      <xdr:colOff>29456</xdr:colOff>
      <xdr:row>22</xdr:row>
      <xdr:rowOff>105239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BBF69A-913A-288C-AA75-AF09D67FF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47675"/>
          <a:ext cx="6315956" cy="332468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238125</xdr:colOff>
      <xdr:row>28</xdr:row>
      <xdr:rowOff>19050</xdr:rowOff>
    </xdr:from>
    <xdr:to>
      <xdr:col>14</xdr:col>
      <xdr:colOff>29609</xdr:colOff>
      <xdr:row>35</xdr:row>
      <xdr:rowOff>143050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3FCEB08-93B6-12FE-40AA-5AF0B1A6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5675" y="4657725"/>
          <a:ext cx="7411484" cy="12574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4</xdr:col>
      <xdr:colOff>238124</xdr:colOff>
      <xdr:row>53</xdr:row>
      <xdr:rowOff>47624</xdr:rowOff>
    </xdr:from>
    <xdr:to>
      <xdr:col>8</xdr:col>
      <xdr:colOff>400049</xdr:colOff>
      <xdr:row>68</xdr:row>
      <xdr:rowOff>47624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4AFAE94-1027-276A-5E5F-FA99BCD95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504826</xdr:colOff>
      <xdr:row>2</xdr:row>
      <xdr:rowOff>9526</xdr:rowOff>
    </xdr:from>
    <xdr:to>
      <xdr:col>13</xdr:col>
      <xdr:colOff>756494</xdr:colOff>
      <xdr:row>22</xdr:row>
      <xdr:rowOff>85726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C8FE7A5-DF88-01F8-D487-60659ABB2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72376" y="438151"/>
          <a:ext cx="3299668" cy="3314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542925</xdr:colOff>
      <xdr:row>43</xdr:row>
      <xdr:rowOff>28575</xdr:rowOff>
    </xdr:from>
    <xdr:to>
      <xdr:col>13</xdr:col>
      <xdr:colOff>761223</xdr:colOff>
      <xdr:row>57</xdr:row>
      <xdr:rowOff>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10B5BE2-6E15-411A-B3A1-065993ECE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10475" y="7096125"/>
          <a:ext cx="3266298" cy="22383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542925</xdr:colOff>
      <xdr:row>36</xdr:row>
      <xdr:rowOff>123825</xdr:rowOff>
    </xdr:from>
    <xdr:to>
      <xdr:col>14</xdr:col>
      <xdr:colOff>9982</xdr:colOff>
      <xdr:row>40</xdr:row>
      <xdr:rowOff>19126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2F398BA-5964-033C-FCE0-03DB327F1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10475" y="6057900"/>
          <a:ext cx="3277057" cy="54300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304799</xdr:colOff>
      <xdr:row>2</xdr:row>
      <xdr:rowOff>95249</xdr:rowOff>
    </xdr:from>
    <xdr:to>
      <xdr:col>14</xdr:col>
      <xdr:colOff>657224</xdr:colOff>
      <xdr:row>17</xdr:row>
      <xdr:rowOff>95249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ACDC521-DD1D-A7E7-9F7C-52CD8D420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30</xdr:row>
      <xdr:rowOff>28575</xdr:rowOff>
    </xdr:from>
    <xdr:to>
      <xdr:col>3</xdr:col>
      <xdr:colOff>467004</xdr:colOff>
      <xdr:row>36</xdr:row>
      <xdr:rowOff>9658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2D4A58B-57F7-8C3F-02A5-1A8EC9CF5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4991100"/>
          <a:ext cx="2000529" cy="95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28</xdr:row>
      <xdr:rowOff>8235</xdr:rowOff>
    </xdr:from>
    <xdr:to>
      <xdr:col>12</xdr:col>
      <xdr:colOff>590550</xdr:colOff>
      <xdr:row>34</xdr:row>
      <xdr:rowOff>36459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49E3DF2B-8B86-317B-9D78-4EA985B4E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4325" y="4646910"/>
          <a:ext cx="5629275" cy="110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url.org/aero/M2017-07-15" TargetMode="External"/><Relationship Id="rId2" Type="http://schemas.openxmlformats.org/officeDocument/2006/relationships/hyperlink" Target="https://purl.org/aero/M2017-07-15" TargetMode="External"/><Relationship Id="rId1" Type="http://schemas.openxmlformats.org/officeDocument/2006/relationships/hyperlink" Target="https://purl.org/aero/M2017-07-1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6F4A-08FD-448E-B040-DB66BD5C8B2D}">
  <dimension ref="A1:J53"/>
  <sheetViews>
    <sheetView tabSelected="1" workbookViewId="0">
      <selection activeCell="A55" sqref="A55"/>
    </sheetView>
  </sheetViews>
  <sheetFormatPr baseColWidth="10" defaultRowHeight="12.75" x14ac:dyDescent="0.2"/>
  <cols>
    <col min="1" max="1" width="12.85546875" bestFit="1" customWidth="1"/>
    <col min="3" max="3" width="12.7109375" bestFit="1" customWidth="1"/>
    <col min="4" max="4" width="11.85546875" bestFit="1" customWidth="1"/>
  </cols>
  <sheetData>
    <row r="1" spans="1:1" ht="21" x14ac:dyDescent="0.35">
      <c r="A1" s="2" t="s">
        <v>64</v>
      </c>
    </row>
    <row r="25" spans="1:10" x14ac:dyDescent="0.2">
      <c r="A25" t="s">
        <v>5</v>
      </c>
      <c r="B25">
        <v>3.15</v>
      </c>
      <c r="C25" t="s">
        <v>6</v>
      </c>
      <c r="D25" t="s">
        <v>70</v>
      </c>
    </row>
    <row r="26" spans="1:10" x14ac:dyDescent="0.2">
      <c r="A26" s="12" t="s">
        <v>29</v>
      </c>
      <c r="B26" s="13">
        <v>1.4460000000000001E-2</v>
      </c>
      <c r="C26" s="12" t="s">
        <v>6</v>
      </c>
      <c r="D26" s="12" t="s">
        <v>74</v>
      </c>
      <c r="E26" s="12" t="s">
        <v>62</v>
      </c>
      <c r="F26" s="12"/>
      <c r="G26" s="12" t="s">
        <v>63</v>
      </c>
      <c r="H26" s="12">
        <v>2.3800000000000002E-2</v>
      </c>
      <c r="I26" s="12" t="s">
        <v>6</v>
      </c>
      <c r="J26" s="12" t="s">
        <v>61</v>
      </c>
    </row>
    <row r="27" spans="1:10" x14ac:dyDescent="0.2">
      <c r="A27" t="s">
        <v>7</v>
      </c>
      <c r="B27">
        <v>1</v>
      </c>
      <c r="C27" s="3" t="s">
        <v>31</v>
      </c>
      <c r="D27" t="s">
        <v>75</v>
      </c>
    </row>
    <row r="29" spans="1:10" x14ac:dyDescent="0.2">
      <c r="A29" t="s">
        <v>8</v>
      </c>
      <c r="B29" s="7">
        <v>3.5800000000000003E-14</v>
      </c>
      <c r="C29" t="s">
        <v>14</v>
      </c>
      <c r="D29" t="s">
        <v>70</v>
      </c>
    </row>
    <row r="30" spans="1:10" x14ac:dyDescent="0.2">
      <c r="A30" t="s">
        <v>10</v>
      </c>
      <c r="B30" s="7">
        <v>7.9699999999999994E-12</v>
      </c>
      <c r="C30" t="s">
        <v>14</v>
      </c>
      <c r="D30" t="s">
        <v>70</v>
      </c>
    </row>
    <row r="31" spans="1:10" x14ac:dyDescent="0.2">
      <c r="A31" t="s">
        <v>9</v>
      </c>
      <c r="B31" s="7">
        <v>-9.1399999999999994E-13</v>
      </c>
      <c r="C31" t="s">
        <v>14</v>
      </c>
      <c r="D31" t="s">
        <v>70</v>
      </c>
    </row>
    <row r="32" spans="1:10" x14ac:dyDescent="0.2">
      <c r="A32" t="s">
        <v>11</v>
      </c>
      <c r="B32" s="7">
        <v>-3.8999999999999999E-12</v>
      </c>
      <c r="C32" t="s">
        <v>14</v>
      </c>
      <c r="D32" t="s">
        <v>70</v>
      </c>
    </row>
    <row r="33" spans="1:7" x14ac:dyDescent="0.2">
      <c r="A33" t="s">
        <v>12</v>
      </c>
      <c r="B33" s="7">
        <v>1.37E-13</v>
      </c>
      <c r="C33" t="s">
        <v>15</v>
      </c>
      <c r="D33" t="s">
        <v>70</v>
      </c>
    </row>
    <row r="34" spans="1:7" x14ac:dyDescent="0.2">
      <c r="A34" t="s">
        <v>13</v>
      </c>
      <c r="B34" s="7">
        <v>4.1200000000000001E-13</v>
      </c>
      <c r="C34" t="s">
        <v>15</v>
      </c>
      <c r="D34" t="s">
        <v>70</v>
      </c>
    </row>
    <row r="36" spans="1:7" x14ac:dyDescent="0.2">
      <c r="A36" s="12" t="s">
        <v>16</v>
      </c>
      <c r="B36" s="12">
        <v>36000</v>
      </c>
      <c r="C36" s="12" t="s">
        <v>3</v>
      </c>
      <c r="D36" t="s">
        <v>71</v>
      </c>
    </row>
    <row r="37" spans="1:7" x14ac:dyDescent="0.2">
      <c r="A37" t="s">
        <v>17</v>
      </c>
      <c r="B37" s="16">
        <v>1.5</v>
      </c>
      <c r="D37" t="s">
        <v>72</v>
      </c>
    </row>
    <row r="38" spans="1:7" x14ac:dyDescent="0.2">
      <c r="A38" t="s">
        <v>18</v>
      </c>
      <c r="B38" s="16">
        <v>1.1599999999999999</v>
      </c>
      <c r="D38" t="s">
        <v>72</v>
      </c>
    </row>
    <row r="39" spans="1:7" x14ac:dyDescent="0.2">
      <c r="A39" t="s">
        <v>19</v>
      </c>
      <c r="B39" s="16">
        <v>1.1599999999999999</v>
      </c>
      <c r="D39" t="s">
        <v>72</v>
      </c>
    </row>
    <row r="40" spans="1:7" x14ac:dyDescent="0.2">
      <c r="A40" t="s">
        <v>20</v>
      </c>
      <c r="B40" s="16">
        <v>1.75</v>
      </c>
      <c r="D40" t="s">
        <v>72</v>
      </c>
    </row>
    <row r="42" spans="1:7" x14ac:dyDescent="0.2">
      <c r="A42" t="s">
        <v>21</v>
      </c>
      <c r="B42" s="8">
        <f>SGTP_short_O3/SGTP_CO2*S_O3_short+SGTP_long_O3/SGTP_CO2*S_O3_long+SGTP_CH4/SGTP_CO2*S_CH4</f>
        <v>177.9541899441341</v>
      </c>
      <c r="C42" s="3" t="s">
        <v>31</v>
      </c>
      <c r="D42" s="3" t="s">
        <v>50</v>
      </c>
    </row>
    <row r="43" spans="1:7" x14ac:dyDescent="0.2">
      <c r="A43" t="s">
        <v>22</v>
      </c>
      <c r="B43" s="1">
        <f>SGTP_contrails/SGTP_CO2*S_AIC+SGTP_cirrus/SGTP_CO2*S_AIC</f>
        <v>26.83659217877095</v>
      </c>
      <c r="C43" t="s">
        <v>26</v>
      </c>
      <c r="D43" s="3" t="s">
        <v>51</v>
      </c>
    </row>
    <row r="45" spans="1:7" x14ac:dyDescent="0.2">
      <c r="A45" t="s">
        <v>25</v>
      </c>
      <c r="B45" s="16">
        <v>0.03</v>
      </c>
      <c r="C45" t="s">
        <v>27</v>
      </c>
      <c r="D45" t="s">
        <v>73</v>
      </c>
    </row>
    <row r="46" spans="1:7" x14ac:dyDescent="0.2">
      <c r="A46" t="s">
        <v>24</v>
      </c>
      <c r="B46">
        <v>4.74</v>
      </c>
      <c r="C46" t="s">
        <v>26</v>
      </c>
      <c r="D46" t="s">
        <v>56</v>
      </c>
    </row>
    <row r="48" spans="1:7" x14ac:dyDescent="0.2">
      <c r="A48" t="s">
        <v>23</v>
      </c>
      <c r="B48" s="17">
        <f>EI_CO2*f_seat*CF_CO2</f>
        <v>9.4500000000000001E-2</v>
      </c>
      <c r="C48" t="s">
        <v>27</v>
      </c>
      <c r="D48" s="3" t="s">
        <v>52</v>
      </c>
      <c r="G48" s="10">
        <f>m_CO2/m_CO2_eq</f>
        <v>0.27668115678646432</v>
      </c>
    </row>
    <row r="49" spans="1:7" x14ac:dyDescent="0.2">
      <c r="A49" t="s">
        <v>28</v>
      </c>
      <c r="B49" s="18">
        <f>EI_NOx*f_seat*CF_NOx</f>
        <v>7.719652759776538E-2</v>
      </c>
      <c r="C49" t="s">
        <v>27</v>
      </c>
      <c r="D49" s="3" t="s">
        <v>53</v>
      </c>
      <c r="G49" s="10">
        <f>m_NOx_eq/m_CO2_eq</f>
        <v>0.226019307467174</v>
      </c>
    </row>
    <row r="50" spans="1:7" x14ac:dyDescent="0.2">
      <c r="A50" t="s">
        <v>30</v>
      </c>
      <c r="B50" s="18">
        <f>f_seat/f_ref*CF_AIC</f>
        <v>0.16985184923272753</v>
      </c>
      <c r="C50" t="s">
        <v>27</v>
      </c>
      <c r="D50" s="3" t="s">
        <v>54</v>
      </c>
      <c r="G50" s="10">
        <f>m_AIC_eq/m_CO2_eq</f>
        <v>0.49729953574636176</v>
      </c>
    </row>
    <row r="52" spans="1:7" x14ac:dyDescent="0.2">
      <c r="A52" t="s">
        <v>32</v>
      </c>
      <c r="B52" s="17">
        <f>m_CO2+m_NOx_eq+m_AIC_eq</f>
        <v>0.34154837683049288</v>
      </c>
      <c r="C52" t="s">
        <v>27</v>
      </c>
      <c r="D52" s="3" t="s">
        <v>55</v>
      </c>
      <c r="G52" s="9">
        <f>SUM(G48:G50)</f>
        <v>1</v>
      </c>
    </row>
    <row r="53" spans="1:7" x14ac:dyDescent="0.2">
      <c r="B53" s="19">
        <f>m_CO2_eq*100</f>
        <v>34.154837683049287</v>
      </c>
      <c r="C53" t="s">
        <v>33</v>
      </c>
    </row>
  </sheetData>
  <pageMargins left="0.78740157480314965" right="0.78740157480314965" top="0.78740157480314965" bottom="0.78740157480314965" header="0.31496062992125984" footer="0.31496062992125984"/>
  <pageSetup paperSize="9" scale="80" orientation="landscape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23CF-2E29-458B-956C-B34825B17D44}">
  <dimension ref="A1:N48"/>
  <sheetViews>
    <sheetView workbookViewId="0">
      <selection activeCell="A27" sqref="A27"/>
    </sheetView>
  </sheetViews>
  <sheetFormatPr baseColWidth="10" defaultRowHeight="12.75" x14ac:dyDescent="0.2"/>
  <cols>
    <col min="2" max="2" width="11.7109375" bestFit="1" customWidth="1"/>
  </cols>
  <sheetData>
    <row r="1" spans="1:13" ht="21" x14ac:dyDescent="0.35">
      <c r="A1" s="2" t="s">
        <v>66</v>
      </c>
    </row>
    <row r="2" spans="1:13" x14ac:dyDescent="0.2">
      <c r="G2" s="14" t="s">
        <v>65</v>
      </c>
      <c r="H2" s="14" t="s">
        <v>69</v>
      </c>
      <c r="I2" s="14" t="s">
        <v>68</v>
      </c>
      <c r="J2" s="14" t="s">
        <v>66</v>
      </c>
    </row>
    <row r="3" spans="1:13" x14ac:dyDescent="0.2">
      <c r="A3" t="s">
        <v>44</v>
      </c>
      <c r="B3">
        <v>288.14999999999998</v>
      </c>
      <c r="C3" t="s">
        <v>1</v>
      </c>
      <c r="D3" t="s">
        <v>46</v>
      </c>
      <c r="G3" s="1">
        <v>0.65</v>
      </c>
      <c r="H3" s="8">
        <f t="shared" ref="H3:H23" si="0">G3*a_360</f>
        <v>191.87350000000001</v>
      </c>
      <c r="I3" s="15">
        <f t="shared" ref="I3:I23" si="1">c_a*H3+c_b_360</f>
        <v>1.5506927308326203E-5</v>
      </c>
      <c r="J3" s="5">
        <f t="shared" ref="J3:J23" si="2">(H3/Q)/(c_a*H3+c_b_360)</f>
        <v>0.2864214241411257</v>
      </c>
    </row>
    <row r="4" spans="1:13" x14ac:dyDescent="0.2">
      <c r="A4" t="s">
        <v>39</v>
      </c>
      <c r="B4" s="7">
        <v>3.3799999999999998E-8</v>
      </c>
      <c r="C4" t="s">
        <v>40</v>
      </c>
      <c r="D4" s="11" t="s">
        <v>57</v>
      </c>
      <c r="G4" s="1">
        <v>0.66</v>
      </c>
      <c r="H4" s="8">
        <f t="shared" si="0"/>
        <v>194.8254</v>
      </c>
      <c r="I4" s="15">
        <f t="shared" si="1"/>
        <v>1.56067015283262E-5</v>
      </c>
      <c r="J4" s="5">
        <f t="shared" si="2"/>
        <v>0.28896863402153489</v>
      </c>
    </row>
    <row r="5" spans="1:13" x14ac:dyDescent="0.2">
      <c r="A5" t="s">
        <v>43</v>
      </c>
      <c r="B5" s="7">
        <v>1.04E-5</v>
      </c>
      <c r="C5" t="s">
        <v>4</v>
      </c>
      <c r="D5" s="11" t="s">
        <v>57</v>
      </c>
      <c r="G5" s="1">
        <v>0.67</v>
      </c>
      <c r="H5" s="8">
        <f t="shared" si="0"/>
        <v>197.7773</v>
      </c>
      <c r="I5" s="15">
        <f t="shared" si="1"/>
        <v>1.57064757483262E-5</v>
      </c>
      <c r="J5" s="5">
        <f t="shared" si="2"/>
        <v>0.29148348197899365</v>
      </c>
    </row>
    <row r="6" spans="1:13" x14ac:dyDescent="0.2">
      <c r="G6" s="1">
        <v>0.68</v>
      </c>
      <c r="H6" s="8">
        <f t="shared" si="0"/>
        <v>200.72920000000002</v>
      </c>
      <c r="I6" s="15">
        <f t="shared" si="1"/>
        <v>1.58062499683262E-5</v>
      </c>
      <c r="J6" s="5">
        <f t="shared" si="2"/>
        <v>0.29396658085063176</v>
      </c>
    </row>
    <row r="7" spans="1:13" x14ac:dyDescent="0.2">
      <c r="A7" s="12" t="s">
        <v>34</v>
      </c>
      <c r="D7" s="21" t="s">
        <v>94</v>
      </c>
      <c r="E7" s="12"/>
      <c r="F7" s="12"/>
      <c r="G7" s="1">
        <v>0.69</v>
      </c>
      <c r="H7" s="8">
        <f t="shared" si="0"/>
        <v>203.68109999999999</v>
      </c>
      <c r="I7" s="15">
        <f t="shared" si="1"/>
        <v>1.5906024188326201E-5</v>
      </c>
      <c r="J7" s="5">
        <f t="shared" si="2"/>
        <v>0.29641852809692742</v>
      </c>
    </row>
    <row r="8" spans="1:13" x14ac:dyDescent="0.2">
      <c r="A8" t="s">
        <v>35</v>
      </c>
      <c r="B8" s="4">
        <v>0.36518</v>
      </c>
      <c r="C8" t="s">
        <v>2</v>
      </c>
      <c r="D8" t="s">
        <v>46</v>
      </c>
      <c r="G8" s="1">
        <v>0.7</v>
      </c>
      <c r="H8" s="8">
        <f t="shared" si="0"/>
        <v>206.63299999999998</v>
      </c>
      <c r="I8" s="15">
        <f t="shared" si="1"/>
        <v>1.6005798408326201E-5</v>
      </c>
      <c r="J8" s="5">
        <f t="shared" si="2"/>
        <v>0.29883990628096968</v>
      </c>
    </row>
    <row r="9" spans="1:13" x14ac:dyDescent="0.2">
      <c r="A9" t="s">
        <v>38</v>
      </c>
      <c r="B9" s="8">
        <v>295.19</v>
      </c>
      <c r="C9" t="s">
        <v>0</v>
      </c>
      <c r="D9" t="s">
        <v>46</v>
      </c>
      <c r="G9" s="1">
        <v>0.71</v>
      </c>
      <c r="H9" s="8">
        <f t="shared" si="0"/>
        <v>209.58489999999998</v>
      </c>
      <c r="I9" s="15">
        <f t="shared" si="1"/>
        <v>1.6105572628326202E-5</v>
      </c>
      <c r="J9" s="5">
        <f t="shared" si="2"/>
        <v>0.30123128352990541</v>
      </c>
    </row>
    <row r="10" spans="1:13" x14ac:dyDescent="0.2">
      <c r="A10" t="s">
        <v>37</v>
      </c>
      <c r="B10">
        <v>0.76</v>
      </c>
      <c r="D10" t="s">
        <v>74</v>
      </c>
      <c r="G10" s="1">
        <v>0.72</v>
      </c>
      <c r="H10" s="8">
        <f t="shared" si="0"/>
        <v>212.5368</v>
      </c>
      <c r="I10" s="15">
        <f t="shared" si="1"/>
        <v>1.6205346848326202E-5</v>
      </c>
      <c r="J10" s="5">
        <f t="shared" si="2"/>
        <v>0.30359321397934086</v>
      </c>
    </row>
    <row r="11" spans="1:13" x14ac:dyDescent="0.2">
      <c r="A11" t="s">
        <v>36</v>
      </c>
      <c r="B11" s="8">
        <f>a_360*M_360</f>
        <v>224.34440000000001</v>
      </c>
      <c r="C11" t="s">
        <v>0</v>
      </c>
      <c r="D11" s="3" t="s">
        <v>47</v>
      </c>
      <c r="G11" s="1">
        <v>0.73</v>
      </c>
      <c r="H11" s="8">
        <f t="shared" si="0"/>
        <v>215.48869999999999</v>
      </c>
      <c r="I11" s="15">
        <f t="shared" si="1"/>
        <v>1.6305121068326202E-5</v>
      </c>
      <c r="J11" s="5">
        <f t="shared" si="2"/>
        <v>0.305926238201426</v>
      </c>
      <c r="M11" s="6"/>
    </row>
    <row r="12" spans="1:13" x14ac:dyDescent="0.2">
      <c r="A12" t="s">
        <v>41</v>
      </c>
      <c r="B12" s="8">
        <v>216.83</v>
      </c>
      <c r="C12" t="s">
        <v>1</v>
      </c>
      <c r="D12" t="s">
        <v>46</v>
      </c>
      <c r="G12" s="1">
        <v>0.74</v>
      </c>
      <c r="H12" s="8">
        <f t="shared" si="0"/>
        <v>218.44059999999999</v>
      </c>
      <c r="I12" s="15">
        <f t="shared" si="1"/>
        <v>1.6404895288326203E-5</v>
      </c>
      <c r="J12" s="5">
        <f t="shared" si="2"/>
        <v>0.30823088361731849</v>
      </c>
    </row>
    <row r="13" spans="1:13" x14ac:dyDescent="0.2">
      <c r="A13" t="s">
        <v>42</v>
      </c>
      <c r="B13" s="7">
        <f>c_b_0*SQRT(T_360/T_0)</f>
        <v>9.0216030083262018E-6</v>
      </c>
      <c r="C13" t="s">
        <v>4</v>
      </c>
      <c r="D13" s="3" t="s">
        <v>48</v>
      </c>
      <c r="G13" s="1">
        <v>0.75</v>
      </c>
      <c r="H13" s="8">
        <f t="shared" si="0"/>
        <v>221.39249999999998</v>
      </c>
      <c r="I13" s="15">
        <f t="shared" si="1"/>
        <v>1.65046695083262E-5</v>
      </c>
      <c r="J13" s="5">
        <f t="shared" si="2"/>
        <v>0.31050766489468568</v>
      </c>
    </row>
    <row r="14" spans="1:13" x14ac:dyDescent="0.2">
      <c r="A14" t="s">
        <v>45</v>
      </c>
      <c r="B14" s="7">
        <f>c_a*V_360+c_b_360</f>
        <v>1.6604443728326203E-5</v>
      </c>
      <c r="C14" t="s">
        <v>4</v>
      </c>
      <c r="D14" s="3" t="s">
        <v>49</v>
      </c>
      <c r="G14" s="1">
        <v>0.76</v>
      </c>
      <c r="H14" s="8">
        <f t="shared" si="0"/>
        <v>224.34440000000001</v>
      </c>
      <c r="I14" s="15">
        <f t="shared" si="1"/>
        <v>1.6604443728326203E-5</v>
      </c>
      <c r="J14" s="5">
        <f t="shared" si="2"/>
        <v>0.31275708433087623</v>
      </c>
    </row>
    <row r="15" spans="1:13" x14ac:dyDescent="0.2">
      <c r="G15" s="1">
        <v>0.77</v>
      </c>
      <c r="H15" s="8">
        <f t="shared" si="0"/>
        <v>227.2963</v>
      </c>
      <c r="I15" s="15">
        <f t="shared" si="1"/>
        <v>1.6704217948326204E-5</v>
      </c>
      <c r="J15" s="5">
        <f t="shared" si="2"/>
        <v>0.31497963222235958</v>
      </c>
    </row>
    <row r="16" spans="1:13" x14ac:dyDescent="0.2">
      <c r="A16" t="s">
        <v>59</v>
      </c>
      <c r="B16" s="7">
        <v>43200000</v>
      </c>
      <c r="C16" t="s">
        <v>60</v>
      </c>
      <c r="G16" s="1">
        <v>0.78</v>
      </c>
      <c r="H16" s="8">
        <f t="shared" si="0"/>
        <v>230.2482</v>
      </c>
      <c r="I16" s="15">
        <f t="shared" si="1"/>
        <v>1.6803992168326201E-5</v>
      </c>
      <c r="J16" s="5">
        <f t="shared" si="2"/>
        <v>0.3171757872210037</v>
      </c>
    </row>
    <row r="17" spans="1:14" x14ac:dyDescent="0.2">
      <c r="G17" s="1">
        <v>0.79</v>
      </c>
      <c r="H17" s="8">
        <f t="shared" si="0"/>
        <v>233.20010000000002</v>
      </c>
      <c r="I17" s="15">
        <f t="shared" si="1"/>
        <v>1.6903766388326205E-5</v>
      </c>
      <c r="J17" s="5">
        <f t="shared" si="2"/>
        <v>0.31934601667773538</v>
      </c>
    </row>
    <row r="18" spans="1:14" x14ac:dyDescent="0.2">
      <c r="A18" t="s">
        <v>66</v>
      </c>
      <c r="B18" s="5">
        <f>(V_360/Q)/(c_a*V_360+c_b_360)</f>
        <v>0.31275708433087623</v>
      </c>
      <c r="D18" s="3" t="s">
        <v>67</v>
      </c>
      <c r="G18" s="1">
        <v>0.8</v>
      </c>
      <c r="H18" s="8">
        <f t="shared" si="0"/>
        <v>236.15200000000002</v>
      </c>
      <c r="I18" s="15">
        <f t="shared" si="1"/>
        <v>1.7003540608326202E-5</v>
      </c>
      <c r="J18" s="5">
        <f t="shared" si="2"/>
        <v>0.32149077697410178</v>
      </c>
    </row>
    <row r="19" spans="1:14" x14ac:dyDescent="0.2">
      <c r="G19" s="1">
        <v>0.81</v>
      </c>
      <c r="H19" s="8">
        <f t="shared" si="0"/>
        <v>239.10390000000001</v>
      </c>
      <c r="I19" s="15">
        <f t="shared" si="1"/>
        <v>1.7103314828326202E-5</v>
      </c>
      <c r="J19" s="5">
        <f t="shared" si="2"/>
        <v>0.32361051384222567</v>
      </c>
    </row>
    <row r="20" spans="1:14" x14ac:dyDescent="0.2">
      <c r="G20" s="1">
        <v>0.82</v>
      </c>
      <c r="H20" s="8">
        <f t="shared" si="0"/>
        <v>242.05579999999998</v>
      </c>
      <c r="I20" s="15">
        <f t="shared" si="1"/>
        <v>1.7203089048326199E-5</v>
      </c>
      <c r="J20" s="5">
        <f t="shared" si="2"/>
        <v>0.32570566267362805</v>
      </c>
    </row>
    <row r="21" spans="1:14" x14ac:dyDescent="0.2">
      <c r="G21" s="1">
        <v>0.83</v>
      </c>
      <c r="H21" s="8">
        <f t="shared" si="0"/>
        <v>245.0077</v>
      </c>
      <c r="I21" s="15">
        <f t="shared" si="1"/>
        <v>1.7302863268326199E-5</v>
      </c>
      <c r="J21" s="5">
        <f t="shared" si="2"/>
        <v>0.32777664881736474</v>
      </c>
    </row>
    <row r="22" spans="1:14" x14ac:dyDescent="0.2">
      <c r="A22" t="s">
        <v>92</v>
      </c>
      <c r="G22" s="1">
        <v>0.84</v>
      </c>
      <c r="H22" s="8">
        <f t="shared" si="0"/>
        <v>247.95959999999999</v>
      </c>
      <c r="I22" s="15">
        <f t="shared" si="1"/>
        <v>1.74026374883262E-5</v>
      </c>
      <c r="J22" s="5">
        <f t="shared" si="2"/>
        <v>0.32982388786790817</v>
      </c>
    </row>
    <row r="23" spans="1:14" x14ac:dyDescent="0.2">
      <c r="A23" t="s">
        <v>58</v>
      </c>
      <c r="G23" s="1">
        <v>0.85</v>
      </c>
      <c r="H23" s="8">
        <f t="shared" si="0"/>
        <v>250.91149999999999</v>
      </c>
      <c r="I23" s="15">
        <f t="shared" si="1"/>
        <v>1.75024117083262E-5</v>
      </c>
      <c r="J23" s="5">
        <f t="shared" si="2"/>
        <v>0.33184778594318193</v>
      </c>
    </row>
    <row r="24" spans="1:14" x14ac:dyDescent="0.2">
      <c r="A24" t="s">
        <v>93</v>
      </c>
    </row>
    <row r="25" spans="1:14" x14ac:dyDescent="0.2">
      <c r="A25" s="11" t="s">
        <v>57</v>
      </c>
    </row>
    <row r="29" spans="1:14" ht="21" x14ac:dyDescent="0.35">
      <c r="B29" s="20" t="s">
        <v>76</v>
      </c>
    </row>
    <row r="32" spans="1:14" x14ac:dyDescent="0.2">
      <c r="N32" t="s">
        <v>91</v>
      </c>
    </row>
    <row r="38" spans="2:7" x14ac:dyDescent="0.2">
      <c r="B38" t="s">
        <v>82</v>
      </c>
      <c r="G38" t="s">
        <v>85</v>
      </c>
    </row>
    <row r="39" spans="2:7" x14ac:dyDescent="0.2">
      <c r="B39" t="s">
        <v>77</v>
      </c>
      <c r="G39" t="s">
        <v>86</v>
      </c>
    </row>
    <row r="40" spans="2:7" x14ac:dyDescent="0.2">
      <c r="B40" t="s">
        <v>78</v>
      </c>
      <c r="G40" t="s">
        <v>87</v>
      </c>
    </row>
    <row r="41" spans="2:7" x14ac:dyDescent="0.2">
      <c r="B41" t="s">
        <v>79</v>
      </c>
      <c r="G41" t="s">
        <v>88</v>
      </c>
    </row>
    <row r="42" spans="2:7" x14ac:dyDescent="0.2">
      <c r="B42" t="s">
        <v>84</v>
      </c>
    </row>
    <row r="43" spans="2:7" x14ac:dyDescent="0.2">
      <c r="B43" t="s">
        <v>80</v>
      </c>
    </row>
    <row r="44" spans="2:7" x14ac:dyDescent="0.2">
      <c r="B44" t="s">
        <v>81</v>
      </c>
    </row>
    <row r="45" spans="2:7" x14ac:dyDescent="0.2">
      <c r="B45" t="s">
        <v>83</v>
      </c>
    </row>
    <row r="47" spans="2:7" x14ac:dyDescent="0.2">
      <c r="B47" t="s">
        <v>90</v>
      </c>
    </row>
    <row r="48" spans="2:7" x14ac:dyDescent="0.2">
      <c r="B48" t="s">
        <v>89</v>
      </c>
    </row>
  </sheetData>
  <hyperlinks>
    <hyperlink ref="A25" r:id="rId1" xr:uid="{5ECD08E8-7A55-4894-8424-9A87111D821A}"/>
    <hyperlink ref="D4" r:id="rId2" xr:uid="{582DFA3F-6714-43E0-B10B-8C1AF2AC2286}"/>
    <hyperlink ref="D5" r:id="rId3" xr:uid="{E9B26CE7-3540-4012-BF6B-EC44B6E8EA30}"/>
  </hyperlinks>
  <pageMargins left="0.70866141732283472" right="0.70866141732283472" top="0.78740157480314965" bottom="0.78740157480314965" header="0.31496062992125984" footer="0.31496062992125984"/>
  <pageSetup paperSize="9" scale="8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32</vt:i4>
      </vt:variant>
    </vt:vector>
  </HeadingPairs>
  <TitlesOfParts>
    <vt:vector size="34" baseType="lpstr">
      <vt:lpstr>m_CO2,eq</vt:lpstr>
      <vt:lpstr>eta</vt:lpstr>
      <vt:lpstr>a_360</vt:lpstr>
      <vt:lpstr>c_360</vt:lpstr>
      <vt:lpstr>c_a</vt:lpstr>
      <vt:lpstr>c_b_0</vt:lpstr>
      <vt:lpstr>c_b_360</vt:lpstr>
      <vt:lpstr>CF_AIC</vt:lpstr>
      <vt:lpstr>CF_CO2</vt:lpstr>
      <vt:lpstr>CF_NOx</vt:lpstr>
      <vt:lpstr>EI_CO2</vt:lpstr>
      <vt:lpstr>EI_NOx</vt:lpstr>
      <vt:lpstr>f_ref</vt:lpstr>
      <vt:lpstr>f_seat</vt:lpstr>
      <vt:lpstr>M_360</vt:lpstr>
      <vt:lpstr>m_AIC_eq</vt:lpstr>
      <vt:lpstr>m_CO2</vt:lpstr>
      <vt:lpstr>m_CO2_eq</vt:lpstr>
      <vt:lpstr>m_NOx_eq</vt:lpstr>
      <vt:lpstr>Q</vt:lpstr>
      <vt:lpstr>rho_360</vt:lpstr>
      <vt:lpstr>S_AIC</vt:lpstr>
      <vt:lpstr>S_CH4</vt:lpstr>
      <vt:lpstr>S_O3_long</vt:lpstr>
      <vt:lpstr>S_O3_short</vt:lpstr>
      <vt:lpstr>SGTP_CH4</vt:lpstr>
      <vt:lpstr>SGTP_cirrus</vt:lpstr>
      <vt:lpstr>SGTP_CO2</vt:lpstr>
      <vt:lpstr>SGTP_contrails</vt:lpstr>
      <vt:lpstr>SGTP_long_O3</vt:lpstr>
      <vt:lpstr>SGTP_short_O3</vt:lpstr>
      <vt:lpstr>T_0</vt:lpstr>
      <vt:lpstr>T_360</vt:lpstr>
      <vt:lpstr>V_360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</dc:creator>
  <cp:lastModifiedBy>Scholz, Dieter</cp:lastModifiedBy>
  <cp:lastPrinted>2024-05-27T08:48:21Z</cp:lastPrinted>
  <dcterms:created xsi:type="dcterms:W3CDTF">2018-01-23T04:11:36Z</dcterms:created>
  <dcterms:modified xsi:type="dcterms:W3CDTF">2024-11-14T10:14:00Z</dcterms:modified>
</cp:coreProperties>
</file>