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Homepage\Aero\"/>
    </mc:Choice>
  </mc:AlternateContent>
  <xr:revisionPtr revIDLastSave="0" documentId="8_{F36F3335-186F-4BF8-AFE6-5E686F673E79}" xr6:coauthVersionLast="47" xr6:coauthVersionMax="47" xr10:uidLastSave="{00000000-0000-0000-0000-000000000000}"/>
  <bookViews>
    <workbookView xWindow="-120" yWindow="-120" windowWidth="19440" windowHeight="14880" xr2:uid="{00000000-000D-0000-FFFF-FFFF00000000}"/>
  </bookViews>
  <sheets>
    <sheet name="SAC" sheetId="1" r:id="rId1"/>
    <sheet name="SAD" sheetId="2" r:id="rId2"/>
    <sheet name="RH" sheetId="3" r:id="rId3"/>
  </sheets>
  <definedNames>
    <definedName name="a_H">SAD!$C$181</definedName>
    <definedName name="a_i">SAC!$B$7</definedName>
    <definedName name="a_lat">SAD!$C$310</definedName>
    <definedName name="a_t">SAD!$D$147</definedName>
    <definedName name="a_tot">SAD!$D$208</definedName>
    <definedName name="a_w">SAC!$B$4</definedName>
    <definedName name="B">SAD!$B$239</definedName>
    <definedName name="b_H">SAD!$C$182</definedName>
    <definedName name="b_i">SAC!$B$8</definedName>
    <definedName name="b_lat">SAD!$C$311</definedName>
    <definedName name="b_t">SAD!$D$148</definedName>
    <definedName name="b_tot">SAD!$D$209</definedName>
    <definedName name="b_w">SAC!$B$5</definedName>
    <definedName name="c_i">SAC!$B$9</definedName>
    <definedName name="c_p">SAC!$B$32</definedName>
    <definedName name="c_w">SAC!$B$6</definedName>
    <definedName name="Dt_tot_40k">SAD!$I$167</definedName>
    <definedName name="E_w">SAC!$B$15</definedName>
    <definedName name="E_w_strich">SAC!$B$13</definedName>
    <definedName name="EI_H2O">SAC!$B$31</definedName>
    <definedName name="eps">SAC!$B$33</definedName>
    <definedName name="eta">SAC!$B$35</definedName>
    <definedName name="f_of_t">SAC!$B$40</definedName>
    <definedName name="G">SAC!$B$37</definedName>
    <definedName name="G0">SAC!$B$39</definedName>
    <definedName name="H">SAC!$B$27</definedName>
    <definedName name="H_SAC_0">SAD!$B$260</definedName>
    <definedName name="H_SAC_100">SAD!$B$258</definedName>
    <definedName name="H_SAC_lat_0">SAD!$B$261</definedName>
    <definedName name="H_SAC_lat_100">SAD!$B$259</definedName>
    <definedName name="H_T">SAC!$B$23</definedName>
    <definedName name="H_T_equator">SAD!$B$242</definedName>
    <definedName name="H_T_lat">SAD!$B$241</definedName>
    <definedName name="H_T_pole">SAD!$B$238</definedName>
    <definedName name="k_a">SAC!$B$20</definedName>
    <definedName name="k_b">SAC!$B$21</definedName>
    <definedName name="k_exp">SAC!$B$22</definedName>
    <definedName name="L">SAC!$B$18</definedName>
    <definedName name="L_SAC_0">SAD!$B$247</definedName>
    <definedName name="L_SAC_100">SAD!$B$248</definedName>
    <definedName name="m_ft">SAD!$B$236</definedName>
    <definedName name="p">SAC!$B$29</definedName>
    <definedName name="p_0">SAC!$B$24</definedName>
    <definedName name="p_T">SAC!$B$25</definedName>
    <definedName name="Q">SAC!$B$34</definedName>
    <definedName name="RH_a">SAC!$C$94</definedName>
    <definedName name="RH_b">SAC!$C$95</definedName>
    <definedName name="solver_adj" localSheetId="0" hidden="1">SAC!$B$12</definedName>
    <definedName name="solver_adj" localSheetId="1" hidden="1">SAD!$D$147:$D$148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ng" localSheetId="0" hidden="1">1</definedName>
    <definedName name="solver_eng" localSheetId="1" hidden="1">1</definedName>
    <definedName name="solver_est" localSheetId="0" hidden="1">1</definedName>
    <definedName name="solver_est" localSheetId="1" hidden="1">1</definedName>
    <definedName name="solver_itr" localSheetId="0" hidden="1">2147483647</definedName>
    <definedName name="solver_itr" localSheetId="1" hidden="1">2147483647</definedName>
    <definedName name="solver_mip" localSheetId="0" hidden="1">2147483647</definedName>
    <definedName name="solver_mip" localSheetId="1" hidden="1">2147483647</definedName>
    <definedName name="solver_mni" localSheetId="0" hidden="1">30</definedName>
    <definedName name="solver_mni" localSheetId="1" hidden="1">30</definedName>
    <definedName name="solver_mrt" localSheetId="0" hidden="1">0.075</definedName>
    <definedName name="solver_mrt" localSheetId="1" hidden="1">0.075</definedName>
    <definedName name="solver_msl" localSheetId="0" hidden="1">2</definedName>
    <definedName name="solver_msl" localSheetId="1" hidden="1">2</definedName>
    <definedName name="solver_neg" localSheetId="0" hidden="1">2</definedName>
    <definedName name="solver_neg" localSheetId="1" hidden="1">2</definedName>
    <definedName name="solver_nod" localSheetId="0" hidden="1">2147483647</definedName>
    <definedName name="solver_nod" localSheetId="1" hidden="1">2147483647</definedName>
    <definedName name="solver_num" localSheetId="0" hidden="1">0</definedName>
    <definedName name="solver_num" localSheetId="1" hidden="1">0</definedName>
    <definedName name="solver_nwt" localSheetId="0" hidden="1">1</definedName>
    <definedName name="solver_nwt" localSheetId="1" hidden="1">1</definedName>
    <definedName name="solver_opt" localSheetId="0" hidden="1">SAC!$B$14</definedName>
    <definedName name="solver_opt" localSheetId="1" hidden="1">SAD!$E$163</definedName>
    <definedName name="solver_pre" localSheetId="0" hidden="1">0.000001</definedName>
    <definedName name="solver_pre" localSheetId="1" hidden="1">0.000001</definedName>
    <definedName name="solver_rbv" localSheetId="0" hidden="1">1</definedName>
    <definedName name="solver_rbv" localSheetId="1" hidden="1">1</definedName>
    <definedName name="solver_rlx" localSheetId="0" hidden="1">2</definedName>
    <definedName name="solver_rlx" localSheetId="1" hidden="1">2</definedName>
    <definedName name="solver_rsd" localSheetId="0" hidden="1">0</definedName>
    <definedName name="solver_rsd" localSheetId="1" hidden="1">0</definedName>
    <definedName name="solver_scl" localSheetId="0" hidden="1">1</definedName>
    <definedName name="solver_scl" localSheetId="1" hidden="1">1</definedName>
    <definedName name="solver_sho" localSheetId="0" hidden="1">2</definedName>
    <definedName name="solver_sho" localSheetId="1" hidden="1">2</definedName>
    <definedName name="solver_ssz" localSheetId="0" hidden="1">100</definedName>
    <definedName name="solver_ssz" localSheetId="1" hidden="1">100</definedName>
    <definedName name="solver_tim" localSheetId="0" hidden="1">2147483647</definedName>
    <definedName name="solver_tim" localSheetId="1" hidden="1">2147483647</definedName>
    <definedName name="solver_tol" localSheetId="0" hidden="1">0.01</definedName>
    <definedName name="solver_tol" localSheetId="1" hidden="1">0.01</definedName>
    <definedName name="solver_typ" localSheetId="0" hidden="1">3</definedName>
    <definedName name="solver_typ" localSheetId="1" hidden="1">2</definedName>
    <definedName name="solver_val" localSheetId="0" hidden="1">0</definedName>
    <definedName name="solver_val" localSheetId="1" hidden="1">0</definedName>
    <definedName name="solver_ver" localSheetId="0" hidden="1">3</definedName>
    <definedName name="solver_ver" localSheetId="1" hidden="1">3</definedName>
    <definedName name="t">SAC!$B$12</definedName>
    <definedName name="t_0">SAC!$B$19</definedName>
    <definedName name="t_0_lat">SAD!$B$237</definedName>
    <definedName name="t_SAC_0_0">SAD!$B$249</definedName>
    <definedName name="t_SAC_0_100">SAD!$B$250</definedName>
    <definedName name="t_T">SAD!$B$244</definedName>
    <definedName name="t_T_equator">SAD!$B$246</definedName>
    <definedName name="t_T_lat">SAD!$B$245</definedName>
    <definedName name="t_T_pole">SAD!$B$243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4" i="1" l="1"/>
  <c r="E117" i="1"/>
  <c r="F117" i="1"/>
  <c r="G117" i="1"/>
  <c r="H117" i="1"/>
  <c r="I117" i="1"/>
  <c r="J117" i="1"/>
  <c r="K117" i="1"/>
  <c r="L117" i="1"/>
  <c r="M117" i="1"/>
  <c r="N117" i="1"/>
  <c r="O117" i="1"/>
  <c r="E118" i="1"/>
  <c r="F118" i="1"/>
  <c r="G118" i="1"/>
  <c r="H118" i="1"/>
  <c r="I118" i="1"/>
  <c r="J118" i="1"/>
  <c r="K118" i="1"/>
  <c r="L118" i="1"/>
  <c r="M118" i="1"/>
  <c r="N118" i="1"/>
  <c r="O118" i="1"/>
  <c r="E119" i="1"/>
  <c r="F119" i="1"/>
  <c r="G119" i="1"/>
  <c r="H119" i="1"/>
  <c r="I119" i="1"/>
  <c r="J119" i="1"/>
  <c r="K119" i="1"/>
  <c r="L119" i="1"/>
  <c r="M119" i="1"/>
  <c r="N119" i="1"/>
  <c r="O119" i="1"/>
  <c r="E120" i="1"/>
  <c r="F120" i="1"/>
  <c r="G120" i="1"/>
  <c r="H120" i="1"/>
  <c r="I120" i="1"/>
  <c r="J120" i="1"/>
  <c r="K120" i="1"/>
  <c r="L120" i="1"/>
  <c r="M120" i="1"/>
  <c r="N120" i="1"/>
  <c r="O120" i="1"/>
  <c r="D118" i="1"/>
  <c r="D119" i="1"/>
  <c r="D120" i="1"/>
  <c r="D117" i="1"/>
  <c r="D229" i="2"/>
  <c r="E225" i="2"/>
  <c r="F225" i="2"/>
  <c r="G225" i="2"/>
  <c r="H225" i="2"/>
  <c r="I225" i="2"/>
  <c r="J225" i="2"/>
  <c r="K225" i="2"/>
  <c r="L225" i="2"/>
  <c r="M225" i="2"/>
  <c r="N225" i="2"/>
  <c r="O225" i="2"/>
  <c r="E226" i="2"/>
  <c r="F226" i="2"/>
  <c r="G226" i="2"/>
  <c r="H226" i="2"/>
  <c r="I226" i="2"/>
  <c r="J226" i="2"/>
  <c r="K226" i="2"/>
  <c r="L226" i="2"/>
  <c r="M226" i="2"/>
  <c r="N226" i="2"/>
  <c r="O226" i="2"/>
  <c r="E227" i="2"/>
  <c r="F227" i="2"/>
  <c r="G227" i="2"/>
  <c r="H227" i="2"/>
  <c r="I227" i="2"/>
  <c r="J227" i="2"/>
  <c r="K227" i="2"/>
  <c r="L227" i="2"/>
  <c r="M227" i="2"/>
  <c r="N227" i="2"/>
  <c r="O227" i="2"/>
  <c r="D227" i="2"/>
  <c r="D225" i="2"/>
  <c r="D226" i="2"/>
  <c r="E205" i="2"/>
  <c r="F205" i="2"/>
  <c r="G205" i="2"/>
  <c r="I205" i="2"/>
  <c r="J205" i="2"/>
  <c r="K205" i="2"/>
  <c r="L205" i="2"/>
  <c r="M205" i="2"/>
  <c r="N205" i="2"/>
  <c r="O205" i="2"/>
  <c r="D205" i="2"/>
  <c r="E177" i="2"/>
  <c r="F177" i="2"/>
  <c r="G177" i="2"/>
  <c r="H177" i="2"/>
  <c r="I177" i="2"/>
  <c r="J177" i="2"/>
  <c r="K177" i="2"/>
  <c r="L177" i="2"/>
  <c r="M177" i="2"/>
  <c r="N177" i="2"/>
  <c r="O177" i="2"/>
  <c r="D177" i="2"/>
  <c r="E178" i="2"/>
  <c r="F178" i="2"/>
  <c r="G178" i="2"/>
  <c r="H178" i="2"/>
  <c r="I178" i="2"/>
  <c r="J178" i="2"/>
  <c r="K178" i="2"/>
  <c r="L178" i="2"/>
  <c r="M178" i="2"/>
  <c r="N178" i="2"/>
  <c r="O178" i="2"/>
  <c r="D178" i="2"/>
  <c r="K204" i="2"/>
  <c r="F204" i="2"/>
  <c r="D242" i="2"/>
  <c r="D238" i="2"/>
  <c r="H150" i="2"/>
  <c r="H151" i="2"/>
  <c r="H152" i="2"/>
  <c r="G150" i="2"/>
  <c r="G151" i="2"/>
  <c r="F150" i="2"/>
  <c r="F151" i="2"/>
  <c r="F152" i="2"/>
  <c r="F153" i="2"/>
  <c r="D150" i="2"/>
  <c r="E150" i="2" s="1"/>
  <c r="D151" i="2"/>
  <c r="E151" i="2" s="1"/>
  <c r="C154" i="2"/>
  <c r="C155" i="2"/>
  <c r="C156" i="2"/>
  <c r="C157" i="2"/>
  <c r="C158" i="2"/>
  <c r="C159" i="2"/>
  <c r="C160" i="2"/>
  <c r="C161" i="2"/>
  <c r="C162" i="2"/>
  <c r="D240" i="2" l="1"/>
  <c r="B240" i="2" s="1"/>
  <c r="B241" i="2" s="1"/>
  <c r="D241" i="2" s="1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14" i="2"/>
  <c r="D290" i="2" l="1"/>
  <c r="C290" i="2"/>
  <c r="D289" i="2"/>
  <c r="C289" i="2"/>
  <c r="D276" i="2"/>
  <c r="D277" i="2" s="1"/>
  <c r="C276" i="2"/>
  <c r="C277" i="2" s="1"/>
  <c r="B261" i="2"/>
  <c r="B260" i="2"/>
  <c r="D260" i="2" s="1"/>
  <c r="B259" i="2"/>
  <c r="B258" i="2"/>
  <c r="D258" i="2" s="1"/>
  <c r="B246" i="2"/>
  <c r="O234" i="2" s="1"/>
  <c r="B245" i="2"/>
  <c r="L233" i="2" s="1"/>
  <c r="B244" i="2"/>
  <c r="B265" i="2" s="1"/>
  <c r="D265" i="2" s="1"/>
  <c r="B243" i="2"/>
  <c r="I231" i="2" s="1"/>
  <c r="J234" i="2"/>
  <c r="I234" i="2"/>
  <c r="G234" i="2"/>
  <c r="F234" i="2"/>
  <c r="E234" i="2"/>
  <c r="D234" i="2"/>
  <c r="O232" i="2"/>
  <c r="N232" i="2"/>
  <c r="M232" i="2"/>
  <c r="L232" i="2"/>
  <c r="K232" i="2"/>
  <c r="J232" i="2"/>
  <c r="I232" i="2"/>
  <c r="G232" i="2"/>
  <c r="F232" i="2"/>
  <c r="E232" i="2"/>
  <c r="D232" i="2"/>
  <c r="E231" i="2"/>
  <c r="D231" i="2"/>
  <c r="O230" i="2"/>
  <c r="N230" i="2"/>
  <c r="M230" i="2"/>
  <c r="L230" i="2"/>
  <c r="K230" i="2"/>
  <c r="J230" i="2"/>
  <c r="I230" i="2"/>
  <c r="G230" i="2"/>
  <c r="F230" i="2"/>
  <c r="E230" i="2"/>
  <c r="D230" i="2"/>
  <c r="H230" i="2"/>
  <c r="O206" i="2"/>
  <c r="N206" i="2"/>
  <c r="M206" i="2"/>
  <c r="L206" i="2"/>
  <c r="K206" i="2"/>
  <c r="J206" i="2"/>
  <c r="I206" i="2"/>
  <c r="G206" i="2"/>
  <c r="F206" i="2"/>
  <c r="E206" i="2"/>
  <c r="D206" i="2"/>
  <c r="H203" i="2"/>
  <c r="I167" i="2"/>
  <c r="I166" i="2"/>
  <c r="H162" i="2"/>
  <c r="G162" i="2"/>
  <c r="F162" i="2"/>
  <c r="D162" i="2"/>
  <c r="H161" i="2"/>
  <c r="G161" i="2"/>
  <c r="F161" i="2"/>
  <c r="D161" i="2"/>
  <c r="H160" i="2"/>
  <c r="G160" i="2"/>
  <c r="F160" i="2"/>
  <c r="D160" i="2"/>
  <c r="H159" i="2"/>
  <c r="G159" i="2"/>
  <c r="F159" i="2"/>
  <c r="D159" i="2"/>
  <c r="E159" i="2" s="1"/>
  <c r="H158" i="2"/>
  <c r="G158" i="2"/>
  <c r="F158" i="2"/>
  <c r="D158" i="2"/>
  <c r="H157" i="2"/>
  <c r="G157" i="2"/>
  <c r="F157" i="2"/>
  <c r="D157" i="2"/>
  <c r="H156" i="2"/>
  <c r="G156" i="2"/>
  <c r="F156" i="2"/>
  <c r="D156" i="2"/>
  <c r="H155" i="2"/>
  <c r="G155" i="2"/>
  <c r="F155" i="2"/>
  <c r="D155" i="2"/>
  <c r="H154" i="2"/>
  <c r="G154" i="2"/>
  <c r="F154" i="2"/>
  <c r="D154" i="2"/>
  <c r="H153" i="2"/>
  <c r="G153" i="2"/>
  <c r="D153" i="2"/>
  <c r="G152" i="2"/>
  <c r="D152" i="2"/>
  <c r="E152" i="2" s="1"/>
  <c r="H147" i="2"/>
  <c r="G147" i="2"/>
  <c r="F147" i="2"/>
  <c r="M95" i="2"/>
  <c r="L95" i="2"/>
  <c r="K95" i="2"/>
  <c r="J95" i="2"/>
  <c r="I95" i="2"/>
  <c r="H95" i="2"/>
  <c r="G95" i="2"/>
  <c r="F95" i="2"/>
  <c r="E95" i="2"/>
  <c r="D95" i="2"/>
  <c r="M94" i="2"/>
  <c r="L94" i="2"/>
  <c r="K94" i="2"/>
  <c r="J94" i="2"/>
  <c r="I94" i="2"/>
  <c r="H94" i="2"/>
  <c r="G94" i="2"/>
  <c r="F94" i="2"/>
  <c r="E94" i="2"/>
  <c r="D94" i="2"/>
  <c r="M93" i="2"/>
  <c r="L93" i="2"/>
  <c r="K93" i="2"/>
  <c r="J93" i="2"/>
  <c r="I93" i="2"/>
  <c r="H93" i="2"/>
  <c r="G93" i="2"/>
  <c r="F93" i="2"/>
  <c r="E93" i="2"/>
  <c r="D93" i="2"/>
  <c r="M92" i="2"/>
  <c r="L92" i="2"/>
  <c r="K92" i="2"/>
  <c r="J92" i="2"/>
  <c r="I92" i="2"/>
  <c r="H92" i="2"/>
  <c r="G92" i="2"/>
  <c r="F92" i="2"/>
  <c r="E92" i="2"/>
  <c r="D92" i="2"/>
  <c r="M91" i="2"/>
  <c r="L91" i="2"/>
  <c r="K91" i="2"/>
  <c r="J91" i="2"/>
  <c r="I91" i="2"/>
  <c r="H91" i="2"/>
  <c r="G91" i="2"/>
  <c r="F91" i="2"/>
  <c r="E91" i="2"/>
  <c r="D91" i="2"/>
  <c r="M90" i="2"/>
  <c r="L90" i="2"/>
  <c r="K90" i="2"/>
  <c r="J90" i="2"/>
  <c r="I90" i="2"/>
  <c r="H90" i="2"/>
  <c r="G90" i="2"/>
  <c r="F90" i="2"/>
  <c r="E90" i="2"/>
  <c r="D90" i="2"/>
  <c r="M89" i="2"/>
  <c r="L89" i="2"/>
  <c r="K89" i="2"/>
  <c r="J89" i="2"/>
  <c r="I89" i="2"/>
  <c r="H89" i="2"/>
  <c r="G89" i="2"/>
  <c r="F89" i="2"/>
  <c r="E89" i="2"/>
  <c r="D89" i="2"/>
  <c r="M88" i="2"/>
  <c r="L88" i="2"/>
  <c r="K88" i="2"/>
  <c r="J88" i="2"/>
  <c r="I88" i="2"/>
  <c r="H88" i="2"/>
  <c r="G88" i="2"/>
  <c r="F88" i="2"/>
  <c r="E88" i="2"/>
  <c r="D88" i="2"/>
  <c r="M87" i="2"/>
  <c r="L87" i="2"/>
  <c r="K87" i="2"/>
  <c r="J87" i="2"/>
  <c r="I87" i="2"/>
  <c r="H87" i="2"/>
  <c r="G87" i="2"/>
  <c r="F87" i="2"/>
  <c r="E87" i="2"/>
  <c r="D87" i="2"/>
  <c r="M86" i="2"/>
  <c r="L86" i="2"/>
  <c r="K86" i="2"/>
  <c r="J86" i="2"/>
  <c r="I86" i="2"/>
  <c r="H86" i="2"/>
  <c r="G86" i="2"/>
  <c r="F86" i="2"/>
  <c r="E86" i="2"/>
  <c r="D86" i="2"/>
  <c r="M85" i="2"/>
  <c r="L85" i="2"/>
  <c r="K85" i="2"/>
  <c r="J85" i="2"/>
  <c r="I85" i="2"/>
  <c r="H85" i="2"/>
  <c r="G85" i="2"/>
  <c r="F85" i="2"/>
  <c r="E85" i="2"/>
  <c r="M84" i="2"/>
  <c r="L84" i="2"/>
  <c r="K84" i="2"/>
  <c r="J84" i="2"/>
  <c r="I84" i="2"/>
  <c r="H84" i="2"/>
  <c r="G84" i="2"/>
  <c r="F84" i="2"/>
  <c r="E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M80" i="2"/>
  <c r="L80" i="2"/>
  <c r="K80" i="2"/>
  <c r="J80" i="2"/>
  <c r="I80" i="2"/>
  <c r="H80" i="2"/>
  <c r="G80" i="2"/>
  <c r="M79" i="2"/>
  <c r="L79" i="2"/>
  <c r="K79" i="2"/>
  <c r="J79" i="2"/>
  <c r="I79" i="2"/>
  <c r="H79" i="2"/>
  <c r="G79" i="2"/>
  <c r="M78" i="2"/>
  <c r="L78" i="2"/>
  <c r="K78" i="2"/>
  <c r="J78" i="2"/>
  <c r="I78" i="2"/>
  <c r="M77" i="2"/>
  <c r="L77" i="2"/>
  <c r="K77" i="2"/>
  <c r="J77" i="2"/>
  <c r="I77" i="2"/>
  <c r="M76" i="2"/>
  <c r="L76" i="2"/>
  <c r="K76" i="2"/>
  <c r="J76" i="2"/>
  <c r="M75" i="2"/>
  <c r="L75" i="2"/>
  <c r="K75" i="2"/>
  <c r="J75" i="2"/>
  <c r="D75" i="2"/>
  <c r="M74" i="2"/>
  <c r="L74" i="2"/>
  <c r="K74" i="2"/>
  <c r="J74" i="2"/>
  <c r="D74" i="2"/>
  <c r="M73" i="2"/>
  <c r="L73" i="2"/>
  <c r="K73" i="2"/>
  <c r="E73" i="2"/>
  <c r="D73" i="2"/>
  <c r="M72" i="2"/>
  <c r="L72" i="2"/>
  <c r="K72" i="2"/>
  <c r="E72" i="2"/>
  <c r="D72" i="2"/>
  <c r="M71" i="2"/>
  <c r="L71" i="2"/>
  <c r="F71" i="2"/>
  <c r="E71" i="2"/>
  <c r="D71" i="2"/>
  <c r="M70" i="2"/>
  <c r="L70" i="2"/>
  <c r="F70" i="2"/>
  <c r="E70" i="2"/>
  <c r="D70" i="2"/>
  <c r="M69" i="2"/>
  <c r="L69" i="2"/>
  <c r="G69" i="2"/>
  <c r="F69" i="2"/>
  <c r="E69" i="2"/>
  <c r="D69" i="2"/>
  <c r="M68" i="2"/>
  <c r="H68" i="2"/>
  <c r="G68" i="2"/>
  <c r="F68" i="2"/>
  <c r="E68" i="2"/>
  <c r="D68" i="2"/>
  <c r="M67" i="2"/>
  <c r="H67" i="2"/>
  <c r="G67" i="2"/>
  <c r="F67" i="2"/>
  <c r="E67" i="2"/>
  <c r="D67" i="2"/>
  <c r="I66" i="2"/>
  <c r="H66" i="2"/>
  <c r="G66" i="2"/>
  <c r="F66" i="2"/>
  <c r="E66" i="2"/>
  <c r="D66" i="2"/>
  <c r="I65" i="2"/>
  <c r="H65" i="2"/>
  <c r="G65" i="2"/>
  <c r="F65" i="2"/>
  <c r="E65" i="2"/>
  <c r="D65" i="2"/>
  <c r="J64" i="2"/>
  <c r="I64" i="2"/>
  <c r="H64" i="2"/>
  <c r="G64" i="2"/>
  <c r="F64" i="2"/>
  <c r="E64" i="2"/>
  <c r="D64" i="2"/>
  <c r="J63" i="2"/>
  <c r="I63" i="2"/>
  <c r="H63" i="2"/>
  <c r="G63" i="2"/>
  <c r="F63" i="2"/>
  <c r="E63" i="2"/>
  <c r="D63" i="2"/>
  <c r="K62" i="2"/>
  <c r="J62" i="2"/>
  <c r="I62" i="2"/>
  <c r="H62" i="2"/>
  <c r="G62" i="2"/>
  <c r="F62" i="2"/>
  <c r="E62" i="2"/>
  <c r="D62" i="2"/>
  <c r="K61" i="2"/>
  <c r="J61" i="2"/>
  <c r="I61" i="2"/>
  <c r="H61" i="2"/>
  <c r="G61" i="2"/>
  <c r="F61" i="2"/>
  <c r="E61" i="2"/>
  <c r="D61" i="2"/>
  <c r="L60" i="2"/>
  <c r="K60" i="2"/>
  <c r="J60" i="2"/>
  <c r="I60" i="2"/>
  <c r="H60" i="2"/>
  <c r="G60" i="2"/>
  <c r="F60" i="2"/>
  <c r="E60" i="2"/>
  <c r="D60" i="2"/>
  <c r="M59" i="2"/>
  <c r="M63" i="2" s="1"/>
  <c r="L59" i="2"/>
  <c r="L68" i="2" s="1"/>
  <c r="K59" i="2"/>
  <c r="K71" i="2" s="1"/>
  <c r="J59" i="2"/>
  <c r="J70" i="2" s="1"/>
  <c r="I59" i="2"/>
  <c r="I74" i="2" s="1"/>
  <c r="H59" i="2"/>
  <c r="H75" i="2" s="1"/>
  <c r="H119" i="2" s="1"/>
  <c r="G59" i="2"/>
  <c r="G75" i="2" s="1"/>
  <c r="G119" i="2" s="1"/>
  <c r="F59" i="2"/>
  <c r="F80" i="2" s="1"/>
  <c r="F124" i="2" s="1"/>
  <c r="E59" i="2"/>
  <c r="E79" i="2" s="1"/>
  <c r="E123" i="2" s="1"/>
  <c r="D59" i="2"/>
  <c r="D81" i="2" s="1"/>
  <c r="D125" i="2" s="1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C11" i="2"/>
  <c r="C8" i="2"/>
  <c r="C9" i="2" s="1"/>
  <c r="C79" i="1"/>
  <c r="B79" i="1"/>
  <c r="C78" i="1"/>
  <c r="B78" i="1"/>
  <c r="C77" i="1"/>
  <c r="B77" i="1"/>
  <c r="C76" i="1"/>
  <c r="B76" i="1"/>
  <c r="C75" i="1"/>
  <c r="B75" i="1"/>
  <c r="C74" i="1"/>
  <c r="B74" i="1"/>
  <c r="C73" i="1"/>
  <c r="B73" i="1"/>
  <c r="C72" i="1"/>
  <c r="B72" i="1"/>
  <c r="C71" i="1"/>
  <c r="B71" i="1"/>
  <c r="C70" i="1"/>
  <c r="B70" i="1"/>
  <c r="C69" i="1"/>
  <c r="B69" i="1"/>
  <c r="C68" i="1"/>
  <c r="B68" i="1"/>
  <c r="C67" i="1"/>
  <c r="B67" i="1"/>
  <c r="C66" i="1"/>
  <c r="B66" i="1"/>
  <c r="C65" i="1"/>
  <c r="B65" i="1"/>
  <c r="C64" i="1"/>
  <c r="B64" i="1"/>
  <c r="C63" i="1"/>
  <c r="B63" i="1"/>
  <c r="C62" i="1"/>
  <c r="B62" i="1"/>
  <c r="C61" i="1"/>
  <c r="B61" i="1"/>
  <c r="C60" i="1"/>
  <c r="B60" i="1"/>
  <c r="C59" i="1"/>
  <c r="B59" i="1"/>
  <c r="C58" i="1"/>
  <c r="B58" i="1"/>
  <c r="C57" i="1"/>
  <c r="B57" i="1"/>
  <c r="C56" i="1"/>
  <c r="B56" i="1"/>
  <c r="C55" i="1"/>
  <c r="B55" i="1"/>
  <c r="C54" i="1"/>
  <c r="B54" i="1"/>
  <c r="C53" i="1"/>
  <c r="B53" i="1"/>
  <c r="C52" i="1"/>
  <c r="B52" i="1"/>
  <c r="C51" i="1"/>
  <c r="B51" i="1"/>
  <c r="C50" i="1"/>
  <c r="B50" i="1"/>
  <c r="C49" i="1"/>
  <c r="B49" i="1"/>
  <c r="C48" i="1"/>
  <c r="E48" i="1" s="1"/>
  <c r="B48" i="1"/>
  <c r="C47" i="1"/>
  <c r="B47" i="1"/>
  <c r="C46" i="1"/>
  <c r="B46" i="1"/>
  <c r="C45" i="1"/>
  <c r="B45" i="1"/>
  <c r="C44" i="1"/>
  <c r="B44" i="1"/>
  <c r="B29" i="1"/>
  <c r="C10" i="2" s="1"/>
  <c r="B16" i="1"/>
  <c r="B15" i="1"/>
  <c r="B13" i="1"/>
  <c r="A287" i="2"/>
  <c r="B287" i="2" s="1"/>
  <c r="A286" i="2"/>
  <c r="B286" i="2" s="1"/>
  <c r="A285" i="2"/>
  <c r="B285" i="2" s="1"/>
  <c r="D283" i="2"/>
  <c r="C283" i="2"/>
  <c r="B281" i="2"/>
  <c r="B280" i="2"/>
  <c r="B279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153" i="2"/>
  <c r="H139" i="2"/>
  <c r="G139" i="2"/>
  <c r="F139" i="2"/>
  <c r="E139" i="2"/>
  <c r="D139" i="2"/>
  <c r="H138" i="2"/>
  <c r="G138" i="2"/>
  <c r="F138" i="2"/>
  <c r="E138" i="2"/>
  <c r="D138" i="2"/>
  <c r="H137" i="2"/>
  <c r="G137" i="2"/>
  <c r="F137" i="2"/>
  <c r="E137" i="2"/>
  <c r="D137" i="2"/>
  <c r="H136" i="2"/>
  <c r="G136" i="2"/>
  <c r="F136" i="2"/>
  <c r="E136" i="2"/>
  <c r="D136" i="2"/>
  <c r="H135" i="2"/>
  <c r="G135" i="2"/>
  <c r="F135" i="2"/>
  <c r="E135" i="2"/>
  <c r="D135" i="2"/>
  <c r="H134" i="2"/>
  <c r="G134" i="2"/>
  <c r="F134" i="2"/>
  <c r="E134" i="2"/>
  <c r="D134" i="2"/>
  <c r="H133" i="2"/>
  <c r="G133" i="2"/>
  <c r="F133" i="2"/>
  <c r="E133" i="2"/>
  <c r="D133" i="2"/>
  <c r="H132" i="2"/>
  <c r="G132" i="2"/>
  <c r="F132" i="2"/>
  <c r="E132" i="2"/>
  <c r="D132" i="2"/>
  <c r="H131" i="2"/>
  <c r="G131" i="2"/>
  <c r="F131" i="2"/>
  <c r="E131" i="2"/>
  <c r="D131" i="2"/>
  <c r="H130" i="2"/>
  <c r="G130" i="2"/>
  <c r="F130" i="2"/>
  <c r="E130" i="2"/>
  <c r="D130" i="2"/>
  <c r="H129" i="2"/>
  <c r="G129" i="2"/>
  <c r="F129" i="2"/>
  <c r="E129" i="2"/>
  <c r="H128" i="2"/>
  <c r="G128" i="2"/>
  <c r="F128" i="2"/>
  <c r="E128" i="2"/>
  <c r="H127" i="2"/>
  <c r="G127" i="2"/>
  <c r="F127" i="2"/>
  <c r="H126" i="2"/>
  <c r="G126" i="2"/>
  <c r="F126" i="2"/>
  <c r="H125" i="2"/>
  <c r="G125" i="2"/>
  <c r="H124" i="2"/>
  <c r="G124" i="2"/>
  <c r="H123" i="2"/>
  <c r="G123" i="2"/>
  <c r="D119" i="2"/>
  <c r="D118" i="2"/>
  <c r="E117" i="2"/>
  <c r="D117" i="2"/>
  <c r="E116" i="2"/>
  <c r="D116" i="2"/>
  <c r="F115" i="2"/>
  <c r="E115" i="2"/>
  <c r="D115" i="2"/>
  <c r="F114" i="2"/>
  <c r="E114" i="2"/>
  <c r="D114" i="2"/>
  <c r="G113" i="2"/>
  <c r="F113" i="2"/>
  <c r="E113" i="2"/>
  <c r="D113" i="2"/>
  <c r="H112" i="2"/>
  <c r="G112" i="2"/>
  <c r="F112" i="2"/>
  <c r="E112" i="2"/>
  <c r="D112" i="2"/>
  <c r="H111" i="2"/>
  <c r="G111" i="2"/>
  <c r="F111" i="2"/>
  <c r="E111" i="2"/>
  <c r="D111" i="2"/>
  <c r="H110" i="2"/>
  <c r="G110" i="2"/>
  <c r="F110" i="2"/>
  <c r="E110" i="2"/>
  <c r="D110" i="2"/>
  <c r="H109" i="2"/>
  <c r="G109" i="2"/>
  <c r="F109" i="2"/>
  <c r="E109" i="2"/>
  <c r="D109" i="2"/>
  <c r="H108" i="2"/>
  <c r="G108" i="2"/>
  <c r="F108" i="2"/>
  <c r="E108" i="2"/>
  <c r="D108" i="2"/>
  <c r="H107" i="2"/>
  <c r="G107" i="2"/>
  <c r="F107" i="2"/>
  <c r="E107" i="2"/>
  <c r="D107" i="2"/>
  <c r="H106" i="2"/>
  <c r="G106" i="2"/>
  <c r="F106" i="2"/>
  <c r="E106" i="2"/>
  <c r="D106" i="2"/>
  <c r="H105" i="2"/>
  <c r="G105" i="2"/>
  <c r="F105" i="2"/>
  <c r="E105" i="2"/>
  <c r="D105" i="2"/>
  <c r="H104" i="2"/>
  <c r="G104" i="2"/>
  <c r="F104" i="2"/>
  <c r="E104" i="2"/>
  <c r="D104" i="2"/>
  <c r="O13" i="2"/>
  <c r="O204" i="2" s="1"/>
  <c r="N13" i="2"/>
  <c r="N204" i="2" s="1"/>
  <c r="M13" i="2"/>
  <c r="M204" i="2" s="1"/>
  <c r="L13" i="2"/>
  <c r="L204" i="2" s="1"/>
  <c r="J13" i="2"/>
  <c r="J204" i="2" s="1"/>
  <c r="I13" i="2"/>
  <c r="I204" i="2" s="1"/>
  <c r="H13" i="2"/>
  <c r="H204" i="2" s="1"/>
  <c r="G13" i="2"/>
  <c r="G204" i="2" s="1"/>
  <c r="E13" i="2"/>
  <c r="E204" i="2" s="1"/>
  <c r="D13" i="2"/>
  <c r="D204" i="2" s="1"/>
  <c r="E9" i="2"/>
  <c r="E67" i="1"/>
  <c r="E56" i="1" l="1"/>
  <c r="E47" i="1"/>
  <c r="E51" i="1"/>
  <c r="E55" i="1"/>
  <c r="E59" i="1"/>
  <c r="E63" i="1"/>
  <c r="E71" i="1"/>
  <c r="E64" i="1"/>
  <c r="E72" i="1"/>
  <c r="E49" i="1"/>
  <c r="E65" i="1"/>
  <c r="E57" i="1"/>
  <c r="E73" i="1"/>
  <c r="E44" i="1"/>
  <c r="E52" i="1"/>
  <c r="E60" i="1"/>
  <c r="E68" i="1"/>
  <c r="E76" i="1"/>
  <c r="E74" i="1"/>
  <c r="E75" i="1"/>
  <c r="E58" i="1"/>
  <c r="E50" i="1"/>
  <c r="E66" i="1"/>
  <c r="H206" i="2"/>
  <c r="H205" i="2"/>
  <c r="C280" i="2"/>
  <c r="E153" i="2"/>
  <c r="E79" i="1"/>
  <c r="E78" i="1"/>
  <c r="E70" i="1"/>
  <c r="E46" i="1"/>
  <c r="E62" i="1"/>
  <c r="E10" i="2"/>
  <c r="E54" i="1"/>
  <c r="E45" i="1"/>
  <c r="E53" i="1"/>
  <c r="E61" i="1"/>
  <c r="E69" i="1"/>
  <c r="E77" i="1"/>
  <c r="O231" i="2"/>
  <c r="E161" i="2"/>
  <c r="H234" i="2"/>
  <c r="N231" i="2"/>
  <c r="E156" i="2"/>
  <c r="E160" i="2"/>
  <c r="D279" i="2"/>
  <c r="D285" i="2" s="1"/>
  <c r="F231" i="2"/>
  <c r="H232" i="2"/>
  <c r="K231" i="2"/>
  <c r="E157" i="2"/>
  <c r="B266" i="2"/>
  <c r="D266" i="2" s="1"/>
  <c r="M60" i="2"/>
  <c r="J233" i="2"/>
  <c r="K233" i="2"/>
  <c r="H72" i="2"/>
  <c r="H116" i="2" s="1"/>
  <c r="M233" i="2"/>
  <c r="E233" i="2"/>
  <c r="N233" i="2"/>
  <c r="F233" i="2"/>
  <c r="O233" i="2"/>
  <c r="E158" i="2"/>
  <c r="G233" i="2"/>
  <c r="H233" i="2"/>
  <c r="I233" i="2"/>
  <c r="E80" i="2"/>
  <c r="E124" i="2" s="1"/>
  <c r="E81" i="2"/>
  <c r="E125" i="2" s="1"/>
  <c r="D82" i="2"/>
  <c r="D126" i="2" s="1"/>
  <c r="N234" i="2"/>
  <c r="B264" i="2"/>
  <c r="D264" i="2" s="1"/>
  <c r="L61" i="2"/>
  <c r="E82" i="2"/>
  <c r="E126" i="2" s="1"/>
  <c r="G231" i="2"/>
  <c r="B268" i="2"/>
  <c r="D268" i="2" s="1"/>
  <c r="M61" i="2"/>
  <c r="K65" i="2"/>
  <c r="E74" i="2"/>
  <c r="E118" i="2" s="1"/>
  <c r="D78" i="2"/>
  <c r="D122" i="2" s="1"/>
  <c r="D83" i="2"/>
  <c r="D127" i="2" s="1"/>
  <c r="H231" i="2"/>
  <c r="D280" i="2"/>
  <c r="D286" i="2" s="1"/>
  <c r="L62" i="2"/>
  <c r="M64" i="2"/>
  <c r="L65" i="2"/>
  <c r="K66" i="2"/>
  <c r="E77" i="2"/>
  <c r="E121" i="2" s="1"/>
  <c r="E78" i="2"/>
  <c r="E122" i="2" s="1"/>
  <c r="J231" i="2"/>
  <c r="B267" i="2"/>
  <c r="D267" i="2" s="1"/>
  <c r="D281" i="2"/>
  <c r="D287" i="2" s="1"/>
  <c r="M62" i="2"/>
  <c r="M65" i="2"/>
  <c r="L66" i="2"/>
  <c r="K70" i="2"/>
  <c r="E76" i="2"/>
  <c r="E120" i="2" s="1"/>
  <c r="F77" i="2"/>
  <c r="F121" i="2" s="1"/>
  <c r="D85" i="2"/>
  <c r="D129" i="2" s="1"/>
  <c r="M66" i="2"/>
  <c r="F73" i="2"/>
  <c r="F117" i="2" s="1"/>
  <c r="G76" i="2"/>
  <c r="G120" i="2" s="1"/>
  <c r="L231" i="2"/>
  <c r="D233" i="2"/>
  <c r="B269" i="2"/>
  <c r="D269" i="2" s="1"/>
  <c r="K69" i="2"/>
  <c r="G72" i="2"/>
  <c r="G116" i="2" s="1"/>
  <c r="H76" i="2"/>
  <c r="H120" i="2" s="1"/>
  <c r="M231" i="2"/>
  <c r="E162" i="2"/>
  <c r="E154" i="2"/>
  <c r="E155" i="2"/>
  <c r="C279" i="2"/>
  <c r="C285" i="2" s="1"/>
  <c r="B270" i="2"/>
  <c r="D270" i="2" s="1"/>
  <c r="I71" i="2"/>
  <c r="K67" i="2"/>
  <c r="I72" i="2"/>
  <c r="B37" i="1"/>
  <c r="L63" i="2"/>
  <c r="L67" i="2"/>
  <c r="J68" i="2"/>
  <c r="H69" i="2"/>
  <c r="H113" i="2" s="1"/>
  <c r="J72" i="2"/>
  <c r="H73" i="2"/>
  <c r="H117" i="2" s="1"/>
  <c r="F74" i="2"/>
  <c r="F118" i="2" s="1"/>
  <c r="H77" i="2"/>
  <c r="F78" i="2"/>
  <c r="F122" i="2" s="1"/>
  <c r="D79" i="2"/>
  <c r="D123" i="2" s="1"/>
  <c r="E83" i="2"/>
  <c r="E127" i="2" s="1"/>
  <c r="K234" i="2"/>
  <c r="B263" i="2"/>
  <c r="D263" i="2" s="1"/>
  <c r="C281" i="2"/>
  <c r="C287" i="2" s="1"/>
  <c r="C286" i="2"/>
  <c r="J67" i="2"/>
  <c r="J71" i="2"/>
  <c r="K63" i="2"/>
  <c r="I76" i="2"/>
  <c r="D261" i="2"/>
  <c r="K64" i="2"/>
  <c r="K68" i="2"/>
  <c r="I69" i="2"/>
  <c r="G70" i="2"/>
  <c r="G114" i="2" s="1"/>
  <c r="I73" i="2"/>
  <c r="G74" i="2"/>
  <c r="G118" i="2" s="1"/>
  <c r="E75" i="2"/>
  <c r="E119" i="2" s="1"/>
  <c r="G78" i="2"/>
  <c r="G122" i="2" s="1"/>
  <c r="D84" i="2"/>
  <c r="D128" i="2" s="1"/>
  <c r="L234" i="2"/>
  <c r="I67" i="2"/>
  <c r="I75" i="2"/>
  <c r="D259" i="2"/>
  <c r="I68" i="2"/>
  <c r="G73" i="2"/>
  <c r="G117" i="2" s="1"/>
  <c r="G77" i="2"/>
  <c r="G121" i="2" s="1"/>
  <c r="L64" i="2"/>
  <c r="J65" i="2"/>
  <c r="J69" i="2"/>
  <c r="H70" i="2"/>
  <c r="H114" i="2" s="1"/>
  <c r="J73" i="2"/>
  <c r="H74" i="2"/>
  <c r="H118" i="2" s="1"/>
  <c r="F75" i="2"/>
  <c r="F119" i="2" s="1"/>
  <c r="D76" i="2"/>
  <c r="D120" i="2" s="1"/>
  <c r="H78" i="2"/>
  <c r="F79" i="2"/>
  <c r="F123" i="2" s="1"/>
  <c r="D80" i="2"/>
  <c r="D124" i="2" s="1"/>
  <c r="M234" i="2"/>
  <c r="I70" i="2"/>
  <c r="G71" i="2"/>
  <c r="G115" i="2" s="1"/>
  <c r="J66" i="2"/>
  <c r="H71" i="2"/>
  <c r="H115" i="2" s="1"/>
  <c r="F72" i="2"/>
  <c r="F116" i="2" s="1"/>
  <c r="F76" i="2"/>
  <c r="F120" i="2" s="1"/>
  <c r="D77" i="2"/>
  <c r="D121" i="2" s="1"/>
  <c r="B39" i="1" l="1"/>
  <c r="B38" i="1"/>
  <c r="E163" i="2"/>
  <c r="D78" i="1"/>
  <c r="D70" i="1"/>
  <c r="D62" i="1"/>
  <c r="D54" i="1"/>
  <c r="D46" i="1"/>
  <c r="C49" i="2"/>
  <c r="C45" i="2"/>
  <c r="C41" i="2"/>
  <c r="C37" i="2"/>
  <c r="C33" i="2"/>
  <c r="C29" i="2"/>
  <c r="C25" i="2"/>
  <c r="C21" i="2"/>
  <c r="C17" i="2"/>
  <c r="D75" i="1"/>
  <c r="D67" i="1"/>
  <c r="D59" i="1"/>
  <c r="D51" i="1"/>
  <c r="C50" i="2"/>
  <c r="C34" i="2"/>
  <c r="C18" i="2"/>
  <c r="D73" i="1"/>
  <c r="D65" i="1"/>
  <c r="D72" i="1"/>
  <c r="D64" i="1"/>
  <c r="D56" i="1"/>
  <c r="D48" i="1"/>
  <c r="B40" i="1"/>
  <c r="B41" i="1" s="1"/>
  <c r="C47" i="2"/>
  <c r="C35" i="2"/>
  <c r="C23" i="2"/>
  <c r="D79" i="1"/>
  <c r="D71" i="1"/>
  <c r="D47" i="1"/>
  <c r="D76" i="1"/>
  <c r="D68" i="1"/>
  <c r="C42" i="2"/>
  <c r="C22" i="2"/>
  <c r="D57" i="1"/>
  <c r="C48" i="2"/>
  <c r="C44" i="2"/>
  <c r="C40" i="2"/>
  <c r="C36" i="2"/>
  <c r="C32" i="2"/>
  <c r="C28" i="2"/>
  <c r="C24" i="2"/>
  <c r="C20" i="2"/>
  <c r="C16" i="2"/>
  <c r="E6" i="2"/>
  <c r="D77" i="1"/>
  <c r="D69" i="1"/>
  <c r="D61" i="1"/>
  <c r="D53" i="1"/>
  <c r="D45" i="1"/>
  <c r="C51" i="2"/>
  <c r="C43" i="2"/>
  <c r="C31" i="2"/>
  <c r="C19" i="2"/>
  <c r="D55" i="1"/>
  <c r="D52" i="1"/>
  <c r="C38" i="2"/>
  <c r="C26" i="2"/>
  <c r="C6" i="2"/>
  <c r="D74" i="1"/>
  <c r="D66" i="1"/>
  <c r="D58" i="1"/>
  <c r="D50" i="1"/>
  <c r="C39" i="2"/>
  <c r="C27" i="2"/>
  <c r="D63" i="1"/>
  <c r="D60" i="1"/>
  <c r="D44" i="1"/>
  <c r="C46" i="2"/>
  <c r="C30" i="2"/>
  <c r="D49" i="1"/>
  <c r="B14" i="1"/>
  <c r="C7" i="2"/>
  <c r="C12" i="2"/>
  <c r="C13" i="2" s="1"/>
</calcChain>
</file>

<file path=xl/sharedStrings.xml><?xml version="1.0" encoding="utf-8"?>
<sst xmlns="http://schemas.openxmlformats.org/spreadsheetml/2006/main" count="799" uniqueCount="236">
  <si>
    <t>Schmidt-Appleman-Criterion (SAC)</t>
  </si>
  <si>
    <t>https://purl.org/aero/SAC</t>
  </si>
  <si>
    <t>Magnus-Equation</t>
  </si>
  <si>
    <t>a_w</t>
  </si>
  <si>
    <t>Pa</t>
  </si>
  <si>
    <t>b_w</t>
  </si>
  <si>
    <t>c_w</t>
  </si>
  <si>
    <t>°C</t>
  </si>
  <si>
    <t>a_i</t>
  </si>
  <si>
    <t>b_i</t>
  </si>
  <si>
    <t>c_i</t>
  </si>
  <si>
    <t>https://de.wikipedia.org/wiki/Sättigungsdampfdruck#Berechnung_des_Sättigungsdampfdrucks_von_Wasser_über_die_Magnus-Formel</t>
  </si>
  <si>
    <t>https://en.wikipedia.org/wiki/Vapour_pressure_of_water</t>
  </si>
  <si>
    <t>contains also alternative equations</t>
  </si>
  <si>
    <t>t</t>
  </si>
  <si>
    <t>No contrail above this temperatur</t>
  </si>
  <si>
    <t>E_w'</t>
  </si>
  <si>
    <t>Pa/°C</t>
  </si>
  <si>
    <t>E_w' - G</t>
  </si>
  <si>
    <t>&lt;= drive to Zero with the Solver (settings on the right)</t>
  </si>
  <si>
    <t>= a_w*b_w*c_w*EXP(b_w*t/(c_w+t))/(c_w+t)^2-G</t>
  </si>
  <si>
    <t>E_w</t>
  </si>
  <si>
    <t>= a_w*EXP(b_w*t/(c_w+t))</t>
  </si>
  <si>
    <t>E_i</t>
  </si>
  <si>
    <t>= a_i*EXP(b_i*t/(c_i+t))</t>
  </si>
  <si>
    <t>L</t>
  </si>
  <si>
    <t>°C/ft</t>
  </si>
  <si>
    <t>t_0</t>
  </si>
  <si>
    <t>k_a</t>
  </si>
  <si>
    <t>1/ft</t>
  </si>
  <si>
    <t>Constants of the ISA, Scholz</t>
  </si>
  <si>
    <t>k_b</t>
  </si>
  <si>
    <t>k_exp</t>
  </si>
  <si>
    <t>H_T</t>
  </si>
  <si>
    <t>ft</t>
  </si>
  <si>
    <t>p_0</t>
  </si>
  <si>
    <t>p_T</t>
  </si>
  <si>
    <t>H</t>
  </si>
  <si>
    <t>Input of the flight altitude</t>
  </si>
  <si>
    <t>p</t>
  </si>
  <si>
    <t>Pressure from the ISA, Scholz</t>
  </si>
  <si>
    <t>= WENN(H&lt;H_T;p_0*(1-k_a*H)^k_exp;p_T*EXP(-k_b*(H-H_T)))</t>
  </si>
  <si>
    <t>EI_H2O</t>
  </si>
  <si>
    <t>Data for Kerosine</t>
  </si>
  <si>
    <t>c_p</t>
  </si>
  <si>
    <t>J/(kgK)</t>
  </si>
  <si>
    <t>eps</t>
  </si>
  <si>
    <t>GIERENS, Klaus, et al.,2008. A Review of Various Strategies for Contrail Avoidance. In: OASC, vol.2, pp. 1-7.</t>
  </si>
  <si>
    <t>Q</t>
  </si>
  <si>
    <t>J/kg</t>
  </si>
  <si>
    <t>https://doi.org/10.2174/1874282300802010001</t>
  </si>
  <si>
    <t>eta</t>
  </si>
  <si>
    <t>G</t>
  </si>
  <si>
    <t>= EI_H2O*p*c_p/(eps*Q*(1-eta))</t>
  </si>
  <si>
    <t>G0</t>
  </si>
  <si>
    <t>= E_w-G*t</t>
  </si>
  <si>
    <t>f(t)</t>
  </si>
  <si>
    <t>= G*t+G0</t>
  </si>
  <si>
    <t>f(t)=E_w(t) ?</t>
  </si>
  <si>
    <t>G*t+G0</t>
  </si>
  <si>
    <t>phi = E_i/E_w</t>
  </si>
  <si>
    <t>This according to:</t>
  </si>
  <si>
    <t>1.) Enter altitude, H in tab "SAC" and operate Solver (e.g. for a calculation of a new altitude)</t>
  </si>
  <si>
    <t>2.) Copy new colum "C" into the column to the right to safe for later</t>
  </si>
  <si>
    <t>m</t>
  </si>
  <si>
    <t>t_SAC,100</t>
  </si>
  <si>
    <t>t_SAC,0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</si>
  <si>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</si>
  <si>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phi</t>
  </si>
  <si>
    <t>Diagram for typical kerosine aircraft</t>
  </si>
  <si>
    <t>n.a.</t>
  </si>
  <si>
    <t xml:space="preserve">EI_H2O and Q for Kerosine </t>
  </si>
  <si>
    <t>Schmidt-Appleman-Diagram from Approximate Equation</t>
  </si>
  <si>
    <r>
      <t>phi = 1 - (1/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 xml:space="preserve">t,tot(H)^b_t)*((H - b_H)/a_H - t)^b_t     with    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 = a_tot*H + b_tot</t>
    </r>
  </si>
  <si>
    <t>H, ft</t>
  </si>
  <si>
    <t>t, °C</t>
  </si>
  <si>
    <t xml:space="preserve">    calculated: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</si>
  <si>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t,tot(H)</t>
    </r>
  </si>
  <si>
    <t>Error of the Schmidt-Appleman-Diagram from Approximate Equation</t>
  </si>
  <si>
    <t>The Approximate Equation was calculated for a typical altitude of 40000 ft. Errors occur for lower relative humidity (towards 0%) at high and low altitudes.</t>
  </si>
  <si>
    <t>Calculation of the Approximate Equation for the Schmidt-Appleman-Diagram</t>
  </si>
  <si>
    <t>Calculate the correction that has to be applied to get from phi = 100% to the actual phi at temperatures lower than t_SAC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</si>
  <si>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t_tot:</t>
    </r>
  </si>
  <si>
    <t>valid for 40000 ft or "40k"</t>
  </si>
  <si>
    <t xml:space="preserve">a_t =  </t>
  </si>
  <si>
    <t>a_t: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</si>
  <si>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 9,246 °C</t>
    </r>
  </si>
  <si>
    <t xml:space="preserve">b_t =  </t>
  </si>
  <si>
    <t>Delta t, °C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</si>
  <si>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</si>
  <si>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error^2</t>
  </si>
  <si>
    <t>sum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</si>
  <si>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t^b_t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</si>
  <si>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1) =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</si>
  <si>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t_tot,40k =</t>
    </r>
  </si>
  <si>
    <r>
      <t xml:space="preserve">General equation with modified a_t(H) from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t_tot(H):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</si>
  <si>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a_tot*H + b_tot</t>
    </r>
  </si>
  <si>
    <t>see below</t>
  </si>
  <si>
    <r>
      <t>a_t(H) = 1/(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t_tot(H)^b_t)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</si>
  <si>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 = a_t(H)*((H - b_H)/a_H - t)^b_t</t>
    </r>
  </si>
  <si>
    <t>see above</t>
  </si>
  <si>
    <r>
      <t xml:space="preserve">phi = 1 -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</t>
    </r>
  </si>
  <si>
    <t>Important for the approximate equation for the Schmidt-Appleman-Diagram:</t>
  </si>
  <si>
    <t>H_SAC = f (t_SAC), to answer the question: "At what altitude do contrails start to form depending on temperature?"</t>
  </si>
  <si>
    <t>t_SAC</t>
  </si>
  <si>
    <t>a_H</t>
  </si>
  <si>
    <t>ft/°C</t>
  </si>
  <si>
    <t>b_H</t>
  </si>
  <si>
    <t>With the above, we obtain an equation:</t>
  </si>
  <si>
    <t>phi = 1 - a_t*(((H - b_H)*1/a_H) - t)^b_t</t>
  </si>
  <si>
    <t>This means for a relative humidity larger than phi, we will have a contrail.</t>
  </si>
  <si>
    <t>We will have a persistent contrail, if the relative humidity is much larger than the required phi.</t>
  </si>
  <si>
    <t>H_SAC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</si>
  <si>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from SAD</t>
    </r>
  </si>
  <si>
    <t>a_tot</t>
  </si>
  <si>
    <t>b_tot</t>
  </si>
  <si>
    <t>Evaluating and Planning Flights for Contrail Avoidance</t>
  </si>
  <si>
    <t>t_SAC = f ( H_SAC), to answer the question: "At what temperature do contrails start (and end) to form depending on altitude?"</t>
  </si>
  <si>
    <r>
      <t xml:space="preserve">average </t>
    </r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</t>
    </r>
  </si>
  <si>
    <t>t_ICAO,H_T=36089 ft</t>
  </si>
  <si>
    <t>t_ICAO,H_T,pole</t>
  </si>
  <si>
    <t>t_ICAO,H_T,lat,tropo</t>
  </si>
  <si>
    <t>t_ICAO,H_T,lat,strato</t>
  </si>
  <si>
    <t>t_ICAO, H_T,equator</t>
  </si>
  <si>
    <t>m/ft</t>
  </si>
  <si>
    <t>t_0,lat</t>
  </si>
  <si>
    <t>H_T,pole</t>
  </si>
  <si>
    <t>km</t>
  </si>
  <si>
    <t>H_T,lat</t>
  </si>
  <si>
    <t>H_T,equator</t>
  </si>
  <si>
    <t>t_T,pole</t>
  </si>
  <si>
    <t>t_T</t>
  </si>
  <si>
    <t>t_T,lat</t>
  </si>
  <si>
    <t>t_T,equator</t>
  </si>
  <si>
    <t>L_SAC,0</t>
  </si>
  <si>
    <t>L_SAC,100</t>
  </si>
  <si>
    <t>t_SAC,0,0</t>
  </si>
  <si>
    <t>t_SAC,0,100</t>
  </si>
  <si>
    <t>t_SAC,100 = t_SAC,0,100 - L_SAC,100*H</t>
  </si>
  <si>
    <t>t_SAC,0 = t_SAC,0,0 - L_SAC,0*H</t>
  </si>
  <si>
    <t>Calculating Possible Intersections of t_SAC and t_atmosphere</t>
  </si>
  <si>
    <t>Troposphere:</t>
  </si>
  <si>
    <t>Flight Level, FL:</t>
  </si>
  <si>
    <t>H_SAC,100</t>
  </si>
  <si>
    <t>H_SAC,lat,100</t>
  </si>
  <si>
    <t>H_SAC,0</t>
  </si>
  <si>
    <t>H_SAC,lat,0</t>
  </si>
  <si>
    <t>Stratosphere:</t>
  </si>
  <si>
    <t>H_SAC,pole,0</t>
  </si>
  <si>
    <t>H_SAC,pole,100</t>
  </si>
  <si>
    <t>H_SAC,ICAO,0</t>
  </si>
  <si>
    <t>H_SAC,ICAO,100</t>
  </si>
  <si>
    <t>H_SAC,equator,0</t>
  </si>
  <si>
    <t>H_SAC,equator,100</t>
  </si>
  <si>
    <t>Calculating a SAD with Lines of Equal Relative Humidity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</si>
  <si>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</t>
    </r>
  </si>
  <si>
    <t>a_t(H)</t>
  </si>
  <si>
    <t>1/°C</t>
  </si>
  <si>
    <t>phi:</t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</si>
  <si>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2"/>
      </rPr>
      <t>phi:</t>
    </r>
  </si>
  <si>
    <r>
      <rPr>
        <u/>
        <sz val="11"/>
        <color rgb="FF000000"/>
        <rFont val="Symbol"/>
        <family val="1"/>
        <charset val="2"/>
      </rPr>
      <t>D</t>
    </r>
    <r>
      <rPr>
        <u/>
        <sz val="11"/>
        <color rgb="FF000000"/>
        <rFont val="Calibri"/>
        <family val="1"/>
        <charset val="2"/>
      </rPr>
      <t>t:</t>
    </r>
  </si>
  <si>
    <t>t:</t>
  </si>
  <si>
    <t xml:space="preserve">   H_SAC = a_H*t _SAC+ b_H</t>
  </si>
  <si>
    <t>drive sum to min. with solver (setting on the right)</t>
  </si>
  <si>
    <t>a_lat</t>
  </si>
  <si>
    <t>b_lat</t>
  </si>
  <si>
    <t>h_measured</t>
  </si>
  <si>
    <t>H_T calc</t>
  </si>
  <si>
    <t>latitude, B</t>
  </si>
  <si>
    <t>H_T = a_lat*(1-(COS(2*B)))+b_lat</t>
  </si>
  <si>
    <t>deg</t>
  </si>
  <si>
    <t>Latitude, B</t>
  </si>
  <si>
    <t>H_T,lat(B)</t>
  </si>
  <si>
    <t>https://doi.org/10.1175/1520-0493(1999)127%3C2248:THAWAT%3E2.0.CO;2</t>
  </si>
  <si>
    <t>Figure 1</t>
  </si>
  <si>
    <t>GEERTS, B., LINACRE, E., 1997: The height of the tropopause. University of Wyoming, Department of Atmospheric Science.</t>
  </si>
  <si>
    <t>http://www-das.uwyo.edu/~geerts/cwx/notes/chap01/tropo.html</t>
  </si>
  <si>
    <t>https://perma.cc/42TC-K7EF</t>
  </si>
  <si>
    <t>H_T,amplitude</t>
  </si>
  <si>
    <t>standard values</t>
  </si>
  <si>
    <t>deg  (Hamburg)</t>
  </si>
  <si>
    <t>Mean height z (km) of the global tropopause (1979–93; 1200 UTC): annual mean</t>
  </si>
  <si>
    <t>[(a), all], northern summer [(b), JJA], and northern winter [(c), DJF]. The height increment is 500 m.</t>
  </si>
  <si>
    <t>Klaus P. Hoinka, 1999. Temperature, Humidity, and Wind at the Global Tropopause. In: Monthly Weather Review, Vol. 127 (1999), No. 10, pp. 2248–2265.</t>
  </si>
  <si>
    <t>Literature Review: Relative Humidity, RH</t>
  </si>
  <si>
    <t>Shading in the relative humidity field indicates 0%–10% (none), 10%–20% (weak), 20%–30% (moderate), 30%–40% (strong), and greater than 40% (very strong).</t>
  </si>
  <si>
    <t>Figure 8</t>
  </si>
  <si>
    <r>
      <t xml:space="preserve">Mean annual </t>
    </r>
    <r>
      <rPr>
        <b/>
        <sz val="11"/>
        <color rgb="FF000000"/>
        <rFont val="Calibri"/>
        <family val="2"/>
      </rPr>
      <t>rh (%)</t>
    </r>
    <r>
      <rPr>
        <sz val="11"/>
        <color rgb="FF000000"/>
        <rFont val="Calibri"/>
        <family val="2"/>
      </rPr>
      <t xml:space="preserve"> at the global </t>
    </r>
    <r>
      <rPr>
        <b/>
        <sz val="11"/>
        <color rgb="FF000000"/>
        <rFont val="Calibri"/>
        <family val="2"/>
      </rPr>
      <t>tropopause</t>
    </r>
    <r>
      <rPr>
        <sz val="11"/>
        <color rgb="FF000000"/>
        <rFont val="Calibri"/>
        <family val="2"/>
      </rPr>
      <t xml:space="preserve"> (1979–93; 1200 UTC). The increment is 5%.</t>
    </r>
  </si>
  <si>
    <t>Zonally averaged, nonsaturated, latitude–height distributions of RH for (left) January and (right) July in (top to bottom) 2003, 2007, and 2011.</t>
  </si>
  <si>
    <t>The colored RH (%) shadings of 10, 30, 60, 80, 90, 100 are displayed and RH is only plotted for good-quality data (QC = 0, 1).</t>
  </si>
  <si>
    <t>White areas indicate that there are no retrievals of this quality or the RH &lt; 10%.</t>
  </si>
  <si>
    <t>Figure 2</t>
  </si>
  <si>
    <t>In all cases, with a slight exception of January 2011, the minimum RH is reached at 300 hPa.</t>
  </si>
  <si>
    <t>Figure 4</t>
  </si>
  <si>
    <t>RUZMAIKIN, Alexander, AUMANN, Hartmut H., MANNING, Evan M. , 2014. Relative Humidity in the Troposphere with AIRS . In: Journal of the Atmospheric Sciences, Vol. 71 (2014), No. 7, pp. 2516–2533.</t>
  </si>
  <si>
    <t>https://doi.org/10.1175/JAS-D-13-0363.1</t>
  </si>
  <si>
    <r>
      <t xml:space="preserve">Height vs latitude </t>
    </r>
    <r>
      <rPr>
        <b/>
        <sz val="11"/>
        <color rgb="FF000000"/>
        <rFont val="Calibri"/>
        <family val="2"/>
      </rPr>
      <t>RH climatologies</t>
    </r>
    <r>
      <rPr>
        <sz val="11"/>
        <color rgb="FF000000"/>
        <rFont val="Calibri"/>
        <family val="2"/>
      </rPr>
      <t xml:space="preserve"> of (left) January and (right) July from AIRS 11 yr of measurements (1 Sep 2002–31 Aug 2013).</t>
    </r>
  </si>
  <si>
    <r>
      <t xml:space="preserve">The </t>
    </r>
    <r>
      <rPr>
        <b/>
        <sz val="11"/>
        <color rgb="FF000000"/>
        <rFont val="Calibri"/>
        <family val="2"/>
      </rPr>
      <t>RH profiles in the tropics</t>
    </r>
    <r>
      <rPr>
        <sz val="11"/>
        <color rgb="FF000000"/>
        <rFont val="Calibri"/>
        <family val="2"/>
      </rPr>
      <t xml:space="preserve"> for (left) January and (right) July in (top to bottom) 2003, 2007, and 2011. </t>
    </r>
  </si>
  <si>
    <t>This file: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</si>
  <si>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phi_calc_8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</si>
  <si>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phi_calc_12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</si>
  <si>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phi_calc_10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</si>
  <si>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phi_calc_9,246</t>
    </r>
  </si>
  <si>
    <t>°C  (ICAO)</t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</si>
  <si>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(b)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</si>
  <si>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t,tot  calculated   (a)</t>
    </r>
  </si>
  <si>
    <r>
      <rPr>
        <sz val="11"/>
        <color rgb="FF000000"/>
        <rFont val="Symbol"/>
        <family val="1"/>
        <charset val="2"/>
      </rPr>
      <t>D</t>
    </r>
    <r>
      <rPr>
        <sz val="11"/>
        <color rgb="FF000000"/>
        <rFont val="Calibri"/>
        <family val="2"/>
      </rPr>
      <t>t_tot = t_SAC_0_100-t_SAC_0_0-(L_SAC_100-L_SAC_0)*H</t>
    </r>
  </si>
  <si>
    <t>from trendline</t>
  </si>
  <si>
    <t>Minimum Relative Humidity for Persistent Contrails</t>
  </si>
  <si>
    <t>title of legend</t>
  </si>
  <si>
    <t>H_T = 20000 ft</t>
  </si>
  <si>
    <t>H_T = 36089 ft</t>
  </si>
  <si>
    <t>H_T = 50000 ft</t>
  </si>
  <si>
    <t>H_T = 70000 ft</t>
  </si>
  <si>
    <t>hPa</t>
  </si>
  <si>
    <t>p(H, H_T)</t>
  </si>
  <si>
    <t>p_0 =</t>
  </si>
  <si>
    <t>Result:</t>
  </si>
  <si>
    <t>The influence of the altitude of the tropopause, H_T on the pressure is small!</t>
  </si>
  <si>
    <t>Further approach:</t>
  </si>
  <si>
    <t>even if later the SAD is evaluated for the temperatures of various other H_T.</t>
  </si>
  <si>
    <t>Checking the Influence of the Altitude of the Tropopause on Pressure</t>
  </si>
  <si>
    <t>The SAC and SAD is calculated with a standard H_T = 36089 ft,</t>
  </si>
  <si>
    <t>Constructing the Schmidt-Appleman-Diagram (SAD)</t>
  </si>
  <si>
    <t>Depending on the Latitude, B</t>
  </si>
  <si>
    <t>Calculating the Altitude of the Tropopause, H_T</t>
  </si>
  <si>
    <t>RH_min = RH_a*t + RH_b</t>
  </si>
  <si>
    <t>RH_a</t>
  </si>
  <si>
    <t>RH_b</t>
  </si>
  <si>
    <t>RH_min = E_i(t) / E_w(t)</t>
  </si>
  <si>
    <t>exact:</t>
  </si>
  <si>
    <t>approx.:</t>
  </si>
  <si>
    <t>according to Gierens (2008)</t>
  </si>
  <si>
    <t>t_Schumann</t>
  </si>
  <si>
    <t>= -46+9,43*LN(G-0,053)+0,72*(LN(G-0,053))^2</t>
  </si>
  <si>
    <t>Approximate equation for t. Schumann 1996 (https://elib.dlr.de/32128), Schumann 2000 (https://elib.dlr.de/9281)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</si>
</sst>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000E+00"/>
    <numFmt numFmtId="165" formatCode="0.000"/>
    <numFmt numFmtId="166" formatCode="0.0"/>
    <numFmt numFmtId="167" formatCode="0.0%"/>
    <numFmt numFmtId="168" formatCode="0.0000"/>
    <numFmt numFmtId="169" formatCode="0.000000"/>
    <numFmt numFmtId="170" formatCode="0.0000000"/>
    <numFmt numFmtId="171" formatCode="0.000E+00"/>
  </numFmts>
  <fonts count="11">
    <font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1"/>
      <color rgb="FF0563C1"/>
      <name val="Calibri"/>
      <family val="2"/>
    </font>
    <font>
      <b/>
      <sz val="16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Symbol"/>
      <family val="1"/>
      <charset val="2"/>
    </font>
    <font>
      <b/>
      <sz val="14"/>
      <color rgb="FF000000"/>
      <name val="Calibri"/>
      <family val="2"/>
    </font>
    <font>
      <u/>
      <sz val="11"/>
      <color rgb="FF000000"/>
      <name val="Calibri"/>
      <family val="2"/>
    </font>
    <font>
      <u/>
      <sz val="11"/>
      <color rgb="FF000000"/>
      <name val="Calibri"/>
      <family val="1"/>
      <charset val="2"/>
    </font>
    <font>
      <u/>
      <sz val="11"/>
      <color rgb="FF000000"/>
      <name val="Symbol"/>
      <family val="1"/>
      <charset val="2"/>
    </font>
    <font>
      <sz val="11"/>
      <color rgb="FF000000"/>
      <name val="Calibri"/>
      <family val="1"/>
      <charset val="2"/>
    </font>
  </fonts>
  <fills count="15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00B0F0"/>
        <bgColor rgb="FF00B0F0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BFBFBF"/>
      </patternFill>
    </fill>
    <fill>
      <patternFill patternType="solid">
        <fgColor theme="0" tint="-0.34998626667073579"/>
        <bgColor rgb="FFBFBFB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BFBFBF"/>
      </patternFill>
    </fill>
    <fill>
      <patternFill patternType="solid">
        <fgColor rgb="FF92D050"/>
        <bgColor rgb="FFBFBFBF"/>
      </patternFill>
    </fill>
    <fill>
      <patternFill patternType="solid">
        <fgColor theme="0" tint="-0.249977111117893"/>
        <bgColor rgb="FF92D050"/>
      </patternFill>
    </fill>
    <fill>
      <patternFill patternType="solid">
        <fgColor theme="0" tint="-0.249977111117893"/>
        <bgColor rgb="FFFFFF00"/>
      </patternFill>
    </fill>
    <fill>
      <patternFill patternType="solid">
        <fgColor rgb="FF92D050"/>
        <bgColor rgb="FFFFFF00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02">
    <xf numFmtId="0" fontId="0" fillId="0" borderId="0" xfId="0"/>
    <xf numFmtId="0" fontId="3" fillId="2" borderId="0" xfId="0" applyFont="1" applyFill="1"/>
    <xf numFmtId="0" fontId="0" fillId="2" borderId="0" xfId="0" applyFill="1"/>
    <xf numFmtId="0" fontId="2" fillId="2" borderId="0" xfId="2" applyFill="1"/>
    <xf numFmtId="0" fontId="4" fillId="2" borderId="0" xfId="0" applyFont="1" applyFill="1"/>
    <xf numFmtId="0" fontId="4" fillId="2" borderId="1" xfId="0" applyFont="1" applyFill="1" applyBorder="1"/>
    <xf numFmtId="166" fontId="4" fillId="2" borderId="2" xfId="0" applyNumberFormat="1" applyFont="1" applyFill="1" applyBorder="1"/>
    <xf numFmtId="0" fontId="4" fillId="2" borderId="3" xfId="0" applyFont="1" applyFill="1" applyBorder="1"/>
    <xf numFmtId="165" fontId="0" fillId="2" borderId="0" xfId="0" applyNumberFormat="1" applyFill="1"/>
    <xf numFmtId="0" fontId="0" fillId="3" borderId="0" xfId="0" applyFill="1"/>
    <xf numFmtId="0" fontId="4" fillId="3" borderId="0" xfId="0" applyFont="1" applyFill="1"/>
    <xf numFmtId="2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4" fillId="4" borderId="2" xfId="0" applyFont="1" applyFill="1" applyBorder="1"/>
    <xf numFmtId="1" fontId="4" fillId="2" borderId="2" xfId="0" applyNumberFormat="1" applyFont="1" applyFill="1" applyBorder="1"/>
    <xf numFmtId="11" fontId="0" fillId="2" borderId="0" xfId="0" applyNumberFormat="1" applyFill="1"/>
    <xf numFmtId="0" fontId="0" fillId="2" borderId="0" xfId="0" applyFill="1" applyAlignment="1">
      <alignment horizontal="right"/>
    </xf>
    <xf numFmtId="0" fontId="0" fillId="2" borderId="4" xfId="0" applyFill="1" applyBorder="1" applyAlignment="1">
      <alignment horizontal="right"/>
    </xf>
    <xf numFmtId="167" fontId="1" fillId="2" borderId="0" xfId="1" applyNumberFormat="1" applyFill="1"/>
    <xf numFmtId="165" fontId="0" fillId="5" borderId="0" xfId="0" applyNumberFormat="1" applyFill="1"/>
    <xf numFmtId="166" fontId="0" fillId="5" borderId="0" xfId="0" applyNumberFormat="1" applyFill="1"/>
    <xf numFmtId="0" fontId="0" fillId="6" borderId="0" xfId="0" applyFill="1"/>
    <xf numFmtId="0" fontId="0" fillId="5" borderId="0" xfId="0" applyFill="1"/>
    <xf numFmtId="1" fontId="0" fillId="2" borderId="0" xfId="0" applyNumberFormat="1" applyFill="1"/>
    <xf numFmtId="1" fontId="0" fillId="5" borderId="0" xfId="0" applyNumberFormat="1" applyFill="1"/>
    <xf numFmtId="0" fontId="0" fillId="6" borderId="4" xfId="0" applyFill="1" applyBorder="1" applyAlignment="1">
      <alignment horizontal="right"/>
    </xf>
    <xf numFmtId="168" fontId="0" fillId="2" borderId="0" xfId="0" applyNumberFormat="1" applyFill="1" applyAlignment="1">
      <alignment horizontal="right"/>
    </xf>
    <xf numFmtId="168" fontId="0" fillId="2" borderId="0" xfId="0" applyNumberFormat="1" applyFill="1"/>
    <xf numFmtId="0" fontId="0" fillId="2" borderId="4" xfId="0" applyFill="1" applyBorder="1" applyAlignment="1">
      <alignment horizontal="left"/>
    </xf>
    <xf numFmtId="0" fontId="0" fillId="2" borderId="4" xfId="0" applyFill="1" applyBorder="1"/>
    <xf numFmtId="166" fontId="0" fillId="2" borderId="4" xfId="0" applyNumberFormat="1" applyFill="1" applyBorder="1"/>
    <xf numFmtId="165" fontId="0" fillId="2" borderId="0" xfId="0" applyNumberFormat="1" applyFill="1" applyAlignment="1">
      <alignment horizontal="right"/>
    </xf>
    <xf numFmtId="2" fontId="1" fillId="2" borderId="0" xfId="1" applyNumberFormat="1" applyFill="1" applyAlignment="1">
      <alignment horizontal="right"/>
    </xf>
    <xf numFmtId="2" fontId="0" fillId="2" borderId="0" xfId="0" applyNumberFormat="1" applyFill="1" applyAlignment="1">
      <alignment horizontal="right"/>
    </xf>
    <xf numFmtId="0" fontId="0" fillId="5" borderId="0" xfId="0" applyFill="1" applyAlignment="1">
      <alignment horizontal="left"/>
    </xf>
    <xf numFmtId="0" fontId="4" fillId="2" borderId="0" xfId="0" applyFont="1" applyFill="1" applyAlignment="1">
      <alignment horizontal="right"/>
    </xf>
    <xf numFmtId="170" fontId="0" fillId="3" borderId="0" xfId="0" applyNumberFormat="1" applyFill="1"/>
    <xf numFmtId="169" fontId="0" fillId="2" borderId="0" xfId="0" applyNumberFormat="1" applyFill="1"/>
    <xf numFmtId="0" fontId="0" fillId="2" borderId="0" xfId="0" applyFill="1" applyAlignment="1">
      <alignment horizontal="left"/>
    </xf>
    <xf numFmtId="168" fontId="0" fillId="3" borderId="0" xfId="0" applyNumberFormat="1" applyFill="1"/>
    <xf numFmtId="168" fontId="0" fillId="2" borderId="4" xfId="0" applyNumberFormat="1" applyFill="1" applyBorder="1"/>
    <xf numFmtId="165" fontId="0" fillId="2" borderId="4" xfId="0" applyNumberFormat="1" applyFill="1" applyBorder="1"/>
    <xf numFmtId="0" fontId="0" fillId="6" borderId="0" xfId="0" applyFill="1" applyAlignment="1">
      <alignment horizontal="right"/>
    </xf>
    <xf numFmtId="165" fontId="0" fillId="6" borderId="0" xfId="0" applyNumberFormat="1" applyFill="1"/>
    <xf numFmtId="0" fontId="0" fillId="2" borderId="5" xfId="0" applyFill="1" applyBorder="1"/>
    <xf numFmtId="0" fontId="0" fillId="2" borderId="6" xfId="0" applyFill="1" applyBorder="1"/>
    <xf numFmtId="166" fontId="0" fillId="2" borderId="6" xfId="0" applyNumberFormat="1" applyFill="1" applyBorder="1"/>
    <xf numFmtId="0" fontId="0" fillId="2" borderId="7" xfId="0" applyFill="1" applyBorder="1"/>
    <xf numFmtId="164" fontId="0" fillId="3" borderId="0" xfId="0" applyNumberFormat="1" applyFill="1"/>
    <xf numFmtId="1" fontId="0" fillId="3" borderId="0" xfId="0" applyNumberFormat="1" applyFill="1"/>
    <xf numFmtId="0" fontId="0" fillId="2" borderId="8" xfId="0" applyFill="1" applyBorder="1"/>
    <xf numFmtId="0" fontId="0" fillId="6" borderId="4" xfId="0" applyFill="1" applyBorder="1"/>
    <xf numFmtId="0" fontId="6" fillId="2" borderId="0" xfId="0" applyFont="1" applyFill="1"/>
    <xf numFmtId="1" fontId="0" fillId="2" borderId="4" xfId="0" applyNumberFormat="1" applyFill="1" applyBorder="1"/>
    <xf numFmtId="1" fontId="0" fillId="2" borderId="0" xfId="0" applyNumberFormat="1" applyFill="1" applyAlignment="1">
      <alignment horizontal="right"/>
    </xf>
    <xf numFmtId="0" fontId="7" fillId="2" borderId="0" xfId="0" applyFont="1" applyFill="1" applyAlignment="1">
      <alignment horizontal="right"/>
    </xf>
    <xf numFmtId="0" fontId="8" fillId="2" borderId="0" xfId="0" applyFont="1" applyFill="1" applyAlignment="1">
      <alignment horizontal="right"/>
    </xf>
    <xf numFmtId="9" fontId="1" fillId="2" borderId="0" xfId="1" applyFill="1"/>
    <xf numFmtId="9" fontId="0" fillId="2" borderId="0" xfId="0" applyNumberFormat="1" applyFill="1"/>
    <xf numFmtId="0" fontId="0" fillId="7" borderId="0" xfId="0" applyFill="1"/>
    <xf numFmtId="0" fontId="0" fillId="2" borderId="9" xfId="0" applyFill="1" applyBorder="1"/>
    <xf numFmtId="0" fontId="0" fillId="2" borderId="9" xfId="0" applyFill="1" applyBorder="1" applyAlignment="1">
      <alignment horizontal="right"/>
    </xf>
    <xf numFmtId="0" fontId="0" fillId="2" borderId="9" xfId="0" applyFill="1" applyBorder="1" applyAlignment="1">
      <alignment horizontal="left"/>
    </xf>
    <xf numFmtId="0" fontId="0" fillId="8" borderId="0" xfId="0" applyFill="1"/>
    <xf numFmtId="0" fontId="0" fillId="9" borderId="0" xfId="0" applyFill="1"/>
    <xf numFmtId="0" fontId="4" fillId="9" borderId="0" xfId="0" applyFont="1" applyFill="1"/>
    <xf numFmtId="0" fontId="2" fillId="9" borderId="0" xfId="2" applyFill="1"/>
    <xf numFmtId="0" fontId="0" fillId="9" borderId="9" xfId="0" applyFill="1" applyBorder="1"/>
    <xf numFmtId="0" fontId="0" fillId="2" borderId="0" xfId="0" quotePrefix="1" applyFill="1"/>
    <xf numFmtId="0" fontId="0" fillId="10" borderId="0" xfId="0" applyFill="1"/>
    <xf numFmtId="0" fontId="10" fillId="2" borderId="4" xfId="0" applyFont="1" applyFill="1" applyBorder="1" applyAlignment="1">
      <alignment horizontal="right"/>
    </xf>
    <xf numFmtId="168" fontId="0" fillId="2" borderId="9" xfId="0" applyNumberFormat="1" applyFill="1" applyBorder="1"/>
    <xf numFmtId="2" fontId="0" fillId="2" borderId="4" xfId="0" applyNumberFormat="1" applyFill="1" applyBorder="1"/>
    <xf numFmtId="165" fontId="0" fillId="3" borderId="0" xfId="0" applyNumberFormat="1" applyFill="1"/>
    <xf numFmtId="2" fontId="0" fillId="5" borderId="0" xfId="0" applyNumberFormat="1" applyFill="1"/>
    <xf numFmtId="0" fontId="0" fillId="2" borderId="10" xfId="0" applyFill="1" applyBorder="1"/>
    <xf numFmtId="0" fontId="0" fillId="2" borderId="11" xfId="0" applyFill="1" applyBorder="1"/>
    <xf numFmtId="0" fontId="0" fillId="2" borderId="11" xfId="0" applyFill="1" applyBorder="1" applyAlignment="1">
      <alignment horizontal="right"/>
    </xf>
    <xf numFmtId="0" fontId="0" fillId="2" borderId="12" xfId="0" applyFill="1" applyBorder="1"/>
    <xf numFmtId="0" fontId="0" fillId="2" borderId="13" xfId="0" applyFill="1" applyBorder="1"/>
    <xf numFmtId="2" fontId="0" fillId="2" borderId="9" xfId="0" applyNumberFormat="1" applyFill="1" applyBorder="1"/>
    <xf numFmtId="2" fontId="0" fillId="2" borderId="14" xfId="0" applyNumberFormat="1" applyFill="1" applyBorder="1"/>
    <xf numFmtId="0" fontId="10" fillId="2" borderId="0" xfId="0" applyFont="1" applyFill="1" applyAlignment="1">
      <alignment horizontal="left"/>
    </xf>
    <xf numFmtId="0" fontId="0" fillId="11" borderId="0" xfId="0" applyFill="1"/>
    <xf numFmtId="0" fontId="0" fillId="11" borderId="0" xfId="0" quotePrefix="1" applyFill="1"/>
    <xf numFmtId="0" fontId="0" fillId="2" borderId="15" xfId="0" applyFill="1" applyBorder="1"/>
    <xf numFmtId="166" fontId="0" fillId="2" borderId="16" xfId="0" applyNumberFormat="1" applyFill="1" applyBorder="1"/>
    <xf numFmtId="166" fontId="0" fillId="2" borderId="9" xfId="0" applyNumberFormat="1" applyFill="1" applyBorder="1"/>
    <xf numFmtId="166" fontId="0" fillId="2" borderId="14" xfId="0" applyNumberFormat="1" applyFill="1" applyBorder="1"/>
    <xf numFmtId="11" fontId="0" fillId="7" borderId="0" xfId="0" applyNumberFormat="1" applyFill="1"/>
    <xf numFmtId="166" fontId="0" fillId="7" borderId="0" xfId="0" applyNumberFormat="1" applyFill="1"/>
    <xf numFmtId="166" fontId="0" fillId="7" borderId="4" xfId="0" applyNumberFormat="1" applyFill="1" applyBorder="1"/>
    <xf numFmtId="0" fontId="4" fillId="2" borderId="4" xfId="0" applyFont="1" applyFill="1" applyBorder="1"/>
    <xf numFmtId="0" fontId="0" fillId="12" borderId="9" xfId="0" applyFill="1" applyBorder="1"/>
    <xf numFmtId="0" fontId="0" fillId="2" borderId="14" xfId="0" applyFill="1" applyBorder="1"/>
    <xf numFmtId="0" fontId="0" fillId="2" borderId="16" xfId="0" applyFill="1" applyBorder="1"/>
    <xf numFmtId="2" fontId="0" fillId="7" borderId="0" xfId="0" applyNumberFormat="1" applyFill="1"/>
    <xf numFmtId="0" fontId="0" fillId="13" borderId="0" xfId="0" applyFill="1"/>
    <xf numFmtId="0" fontId="0" fillId="14" borderId="0" xfId="0" applyFill="1"/>
    <xf numFmtId="0" fontId="0" fillId="14" borderId="0" xfId="0" applyFill="1" applyAlignment="1">
      <alignment horizontal="right"/>
    </xf>
    <xf numFmtId="171" fontId="0" fillId="7" borderId="0" xfId="0" applyNumberFormat="1" applyFill="1"/>
  </cellXfs>
  <cellStyles count="3">
    <cellStyle name="Link" xfId="2" xr:uid="{00000000-0005-0000-0000-000000000000}"/>
    <cellStyle name="Prozent" xfId="1" builtinId="5" customBuiltin="1"/>
    <cellStyle name="Standard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SAC!$B$43:$B$43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SAC!$B$44:$B$79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63-4708-98C0-EC01F62649A1}"/>
            </c:ext>
          </c:extLst>
        </c:ser>
        <c:ser>
          <c:idx val="1"/>
          <c:order val="1"/>
          <c:tx>
            <c:strRef>
              <c:f>SAC!$C$43:$C$43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SAC!$C$44:$C$79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63-4708-98C0-EC01F62649A1}"/>
            </c:ext>
          </c:extLst>
        </c:ser>
        <c:ser>
          <c:idx val="2"/>
          <c:order val="2"/>
          <c:tx>
            <c:strRef>
              <c:f>SAC!$D$43:$D$43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SAC!$D$44:$D$79</c:f>
              <c:numCache>
                <c:formatCode>0.00</c:formatCode>
                <c:ptCount val="36"/>
                <c:pt idx="0">
                  <c:v>-9.2090784891219215</c:v>
                </c:pt>
                <c:pt idx="1">
                  <c:v>-7.8552690358656747</c:v>
                </c:pt>
                <c:pt idx="2">
                  <c:v>-6.5014595826094137</c:v>
                </c:pt>
                <c:pt idx="3">
                  <c:v>-5.1476501293531669</c:v>
                </c:pt>
                <c:pt idx="4">
                  <c:v>-3.7938406760969059</c:v>
                </c:pt>
                <c:pt idx="5">
                  <c:v>-2.4400312228406591</c:v>
                </c:pt>
                <c:pt idx="6">
                  <c:v>-1.0862217695843981</c:v>
                </c:pt>
                <c:pt idx="7">
                  <c:v>0.26758768367184871</c:v>
                </c:pt>
                <c:pt idx="8">
                  <c:v>1.6213971369280955</c:v>
                </c:pt>
                <c:pt idx="9">
                  <c:v>2.9752065901843565</c:v>
                </c:pt>
                <c:pt idx="10">
                  <c:v>4.3290160434406033</c:v>
                </c:pt>
                <c:pt idx="11">
                  <c:v>5.6828254966968643</c:v>
                </c:pt>
                <c:pt idx="12">
                  <c:v>7.0366349499531111</c:v>
                </c:pt>
                <c:pt idx="13">
                  <c:v>8.390444403209365</c:v>
                </c:pt>
                <c:pt idx="14">
                  <c:v>9.7442538564656189</c:v>
                </c:pt>
                <c:pt idx="15">
                  <c:v>11.098063309721873</c:v>
                </c:pt>
                <c:pt idx="16">
                  <c:v>12.451872762978127</c:v>
                </c:pt>
                <c:pt idx="17">
                  <c:v>13.805682216234381</c:v>
                </c:pt>
                <c:pt idx="18">
                  <c:v>15.159491669490635</c:v>
                </c:pt>
                <c:pt idx="19">
                  <c:v>16.513301122746888</c:v>
                </c:pt>
                <c:pt idx="20">
                  <c:v>17.867110576003142</c:v>
                </c:pt>
                <c:pt idx="21">
                  <c:v>19.220920029259396</c:v>
                </c:pt>
                <c:pt idx="22">
                  <c:v>20.57472948251565</c:v>
                </c:pt>
                <c:pt idx="23">
                  <c:v>21.928538935771897</c:v>
                </c:pt>
                <c:pt idx="24">
                  <c:v>23.282348389028151</c:v>
                </c:pt>
                <c:pt idx="25">
                  <c:v>24.636157842284405</c:v>
                </c:pt>
                <c:pt idx="26">
                  <c:v>25.989967295540659</c:v>
                </c:pt>
                <c:pt idx="27">
                  <c:v>27.343776748796913</c:v>
                </c:pt>
                <c:pt idx="28">
                  <c:v>28.697586202053166</c:v>
                </c:pt>
                <c:pt idx="29">
                  <c:v>30.05139565530942</c:v>
                </c:pt>
                <c:pt idx="30">
                  <c:v>31.405205108565674</c:v>
                </c:pt>
                <c:pt idx="31">
                  <c:v>32.759014561821928</c:v>
                </c:pt>
                <c:pt idx="32">
                  <c:v>34.112824015078182</c:v>
                </c:pt>
                <c:pt idx="33">
                  <c:v>35.466633468334436</c:v>
                </c:pt>
                <c:pt idx="34">
                  <c:v>36.820442921590683</c:v>
                </c:pt>
                <c:pt idx="35">
                  <c:v>38.174252374846937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63-4708-98C0-EC01F6264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2128"/>
        <c:axId val="1089863040"/>
      </c:scatterChart>
      <c:valAx>
        <c:axId val="1089863040"/>
        <c:scaling>
          <c:orientation val="minMax"/>
          <c:max val="5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2128"/>
        <c:crossesAt val="-60"/>
        <c:crossBetween val="midCat"/>
      </c:valAx>
      <c:valAx>
        <c:axId val="1089852128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63040"/>
        <c:crosses val="autoZero"/>
        <c:crossBetween val="midCat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71753562773963"/>
          <c:y val="9.4857336606697568E-2"/>
          <c:w val="0.76124024138926372"/>
          <c:h val="0.7097086161884806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SAD!$B$313</c:f>
              <c:strCache>
                <c:ptCount val="1"/>
                <c:pt idx="0">
                  <c:v>h_measured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SAD!$B$314:$B$332</c:f>
              <c:numCache>
                <c:formatCode>0.0</c:formatCode>
                <c:ptCount val="19"/>
                <c:pt idx="0">
                  <c:v>9</c:v>
                </c:pt>
                <c:pt idx="1">
                  <c:v>9</c:v>
                </c:pt>
                <c:pt idx="2">
                  <c:v>9.5</c:v>
                </c:pt>
                <c:pt idx="3">
                  <c:v>10</c:v>
                </c:pt>
                <c:pt idx="4">
                  <c:v>11</c:v>
                </c:pt>
                <c:pt idx="5">
                  <c:v>13</c:v>
                </c:pt>
                <c:pt idx="6">
                  <c:v>15.2</c:v>
                </c:pt>
                <c:pt idx="7">
                  <c:v>16</c:v>
                </c:pt>
                <c:pt idx="8">
                  <c:v>16.8</c:v>
                </c:pt>
                <c:pt idx="9">
                  <c:v>16.399999999999999</c:v>
                </c:pt>
                <c:pt idx="10">
                  <c:v>16.399999999999999</c:v>
                </c:pt>
                <c:pt idx="11">
                  <c:v>15.8</c:v>
                </c:pt>
                <c:pt idx="12">
                  <c:v>13</c:v>
                </c:pt>
                <c:pt idx="13">
                  <c:v>10.4</c:v>
                </c:pt>
                <c:pt idx="14">
                  <c:v>9.6999999999999993</c:v>
                </c:pt>
                <c:pt idx="15">
                  <c:v>8.9</c:v>
                </c:pt>
                <c:pt idx="16">
                  <c:v>8.4</c:v>
                </c:pt>
                <c:pt idx="17">
                  <c:v>8</c:v>
                </c:pt>
                <c:pt idx="18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DC-4CFF-B132-7452367B3DBD}"/>
            </c:ext>
          </c:extLst>
        </c:ser>
        <c:ser>
          <c:idx val="1"/>
          <c:order val="1"/>
          <c:tx>
            <c:strRef>
              <c:f>SAD!$C$313</c:f>
              <c:strCache>
                <c:ptCount val="1"/>
                <c:pt idx="0">
                  <c:v>H_T calc</c:v>
                </c:pt>
              </c:strCache>
            </c:strRef>
          </c:tx>
          <c:spPr>
            <a:ln w="635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SAD!$A$314:$A$332</c:f>
              <c:numCache>
                <c:formatCode>General</c:formatCode>
                <c:ptCount val="19"/>
                <c:pt idx="0">
                  <c:v>-90</c:v>
                </c:pt>
                <c:pt idx="1">
                  <c:v>-80</c:v>
                </c:pt>
                <c:pt idx="2">
                  <c:v>-70</c:v>
                </c:pt>
                <c:pt idx="3">
                  <c:v>-60</c:v>
                </c:pt>
                <c:pt idx="4">
                  <c:v>-50</c:v>
                </c:pt>
                <c:pt idx="5">
                  <c:v>-40</c:v>
                </c:pt>
                <c:pt idx="6">
                  <c:v>-30</c:v>
                </c:pt>
                <c:pt idx="7">
                  <c:v>-20</c:v>
                </c:pt>
                <c:pt idx="8">
                  <c:v>-10</c:v>
                </c:pt>
                <c:pt idx="9">
                  <c:v>0</c:v>
                </c:pt>
                <c:pt idx="10">
                  <c:v>10</c:v>
                </c:pt>
                <c:pt idx="11">
                  <c:v>20</c:v>
                </c:pt>
                <c:pt idx="12">
                  <c:v>30</c:v>
                </c:pt>
                <c:pt idx="13">
                  <c:v>40</c:v>
                </c:pt>
                <c:pt idx="14">
                  <c:v>50</c:v>
                </c:pt>
                <c:pt idx="15">
                  <c:v>60</c:v>
                </c:pt>
                <c:pt idx="16">
                  <c:v>70</c:v>
                </c:pt>
                <c:pt idx="17">
                  <c:v>80</c:v>
                </c:pt>
                <c:pt idx="18">
                  <c:v>90</c:v>
                </c:pt>
              </c:numCache>
            </c:numRef>
          </c:xVal>
          <c:yVal>
            <c:numRef>
              <c:f>SAD!$C$314:$C$332</c:f>
              <c:numCache>
                <c:formatCode>0.00</c:formatCode>
                <c:ptCount val="19"/>
                <c:pt idx="0">
                  <c:v>8.5</c:v>
                </c:pt>
                <c:pt idx="1">
                  <c:v>8.7412295168563663</c:v>
                </c:pt>
                <c:pt idx="2">
                  <c:v>9.4358222275240884</c:v>
                </c:pt>
                <c:pt idx="3">
                  <c:v>10.5</c:v>
                </c:pt>
                <c:pt idx="4">
                  <c:v>11.80540728933228</c:v>
                </c:pt>
                <c:pt idx="5">
                  <c:v>13.194592710667722</c:v>
                </c:pt>
                <c:pt idx="6">
                  <c:v>14.5</c:v>
                </c:pt>
                <c:pt idx="7">
                  <c:v>15.564177772475912</c:v>
                </c:pt>
                <c:pt idx="8">
                  <c:v>16.258770483143635</c:v>
                </c:pt>
                <c:pt idx="9">
                  <c:v>16.5</c:v>
                </c:pt>
                <c:pt idx="10">
                  <c:v>16.258770483143635</c:v>
                </c:pt>
                <c:pt idx="11">
                  <c:v>15.564177772475912</c:v>
                </c:pt>
                <c:pt idx="12">
                  <c:v>14.5</c:v>
                </c:pt>
                <c:pt idx="13">
                  <c:v>13.194592710667722</c:v>
                </c:pt>
                <c:pt idx="14">
                  <c:v>11.80540728933228</c:v>
                </c:pt>
                <c:pt idx="15">
                  <c:v>10.5</c:v>
                </c:pt>
                <c:pt idx="16">
                  <c:v>9.4358222275240884</c:v>
                </c:pt>
                <c:pt idx="17">
                  <c:v>8.7412295168563663</c:v>
                </c:pt>
                <c:pt idx="18">
                  <c:v>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CDC-4CFF-B132-7452367B3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9220895"/>
        <c:axId val="1353823215"/>
      </c:scatterChart>
      <c:valAx>
        <c:axId val="1159220895"/>
        <c:scaling>
          <c:orientation val="minMax"/>
          <c:max val="90"/>
          <c:min val="-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b="1"/>
                  <a:t>Latitude, B [deg]</a:t>
                </a:r>
              </a:p>
            </c:rich>
          </c:tx>
          <c:layout>
            <c:manualLayout>
              <c:xMode val="edge"/>
              <c:yMode val="edge"/>
              <c:x val="0.50710822911841891"/>
              <c:y val="0.885785107760257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53823215"/>
        <c:crosses val="autoZero"/>
        <c:crossBetween val="midCat"/>
        <c:majorUnit val="10"/>
      </c:valAx>
      <c:valAx>
        <c:axId val="1353823215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/>
                  <a:t>altitude</a:t>
                </a:r>
                <a:r>
                  <a:rPr lang="en-US" b="1" baseline="0"/>
                  <a:t> of tropopause, H_T [km]</a:t>
                </a:r>
                <a:endParaRPr lang="en-US" b="1"/>
              </a:p>
            </c:rich>
          </c:tx>
          <c:layout>
            <c:manualLayout>
              <c:xMode val="edge"/>
              <c:yMode val="edge"/>
              <c:x val="5.4055621563928555E-2"/>
              <c:y val="0.22556845155308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59220895"/>
        <c:crossesAt val="-90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019077538581335"/>
          <c:y val="0.92870439625734169"/>
          <c:w val="0.25428170583536391"/>
          <c:h val="5.0392284065063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blipFill>
      <a:blip xmlns:r="http://schemas.openxmlformats.org/officeDocument/2006/relationships" r:embed="rId3"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4.0441995596692482E-2"/>
                  <c:y val="-0.22613546050228689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4B3-41E3-B66E-B9896926F1F5}"/>
            </c:ext>
          </c:extLst>
        </c:ser>
        <c:ser>
          <c:idx val="1"/>
          <c:order val="1"/>
          <c:tx>
            <c:strRef>
              <c:f>SAD!$A$227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44037467916938916"/>
                  <c:y val="-0.10292998954360721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rgbClr val="595959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4B3-41E3-B66E-B9896926F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7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Schmidt-Appleman-Criterion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7.4718881343645127E-2"/>
          <c:y val="9.6678780872683182E-2"/>
          <c:w val="0.91596983297105994"/>
          <c:h val="0.73596410239359999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SAC!$B$43:$B$43</c:f>
              <c:strCache>
                <c:ptCount val="1"/>
                <c:pt idx="0">
                  <c:v>E_w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SAC!$B$44:$B$79</c:f>
              <c:numCache>
                <c:formatCode>0.000</c:formatCode>
                <c:ptCount val="36"/>
                <c:pt idx="0">
                  <c:v>1.9005832334432484</c:v>
                </c:pt>
                <c:pt idx="1">
                  <c:v>2.1580720285136241</c:v>
                </c:pt>
                <c:pt idx="2">
                  <c:v>2.4470837568804815</c:v>
                </c:pt>
                <c:pt idx="3">
                  <c:v>2.7710553357390935</c:v>
                </c:pt>
                <c:pt idx="4">
                  <c:v>3.1337506106185335</c:v>
                </c:pt>
                <c:pt idx="5">
                  <c:v>3.5392866469854303</c:v>
                </c:pt>
                <c:pt idx="6">
                  <c:v>3.9921617145835251</c:v>
                </c:pt>
                <c:pt idx="7">
                  <c:v>4.4972850420001285</c:v>
                </c:pt>
                <c:pt idx="8">
                  <c:v>5.0600084205480069</c:v>
                </c:pt>
                <c:pt idx="9">
                  <c:v>5.6861597380800797</c:v>
                </c:pt>
                <c:pt idx="10">
                  <c:v>6.3820785248092848</c:v>
                </c:pt>
                <c:pt idx="11">
                  <c:v>7.1546535945823591</c:v>
                </c:pt>
                <c:pt idx="12">
                  <c:v>8.0113628663497938</c:v>
                </c:pt>
                <c:pt idx="13">
                  <c:v>8.9603154517796142</c:v>
                </c:pt>
                <c:pt idx="14">
                  <c:v>10.010296096076241</c:v>
                </c:pt>
                <c:pt idx="15">
                  <c:v>11.170812060082898</c:v>
                </c:pt>
                <c:pt idx="16">
                  <c:v>12.45214253266311</c:v>
                </c:pt>
                <c:pt idx="17">
                  <c:v>13.865390663169581</c:v>
                </c:pt>
                <c:pt idx="18">
                  <c:v>15.422538304514172</c:v>
                </c:pt>
                <c:pt idx="19">
                  <c:v>17.136503557946799</c:v>
                </c:pt>
                <c:pt idx="20">
                  <c:v>19.021201211131025</c:v>
                </c:pt>
                <c:pt idx="21">
                  <c:v>21.091606161467279</c:v>
                </c:pt>
                <c:pt idx="22">
                  <c:v>23.363819916857381</c:v>
                </c:pt>
                <c:pt idx="23">
                  <c:v>25.85514026622538</c:v>
                </c:pt>
                <c:pt idx="24">
                  <c:v>28.584134212105994</c:v>
                </c:pt>
                <c:pt idx="25">
                  <c:v>31.570714257482457</c:v>
                </c:pt>
                <c:pt idx="26">
                  <c:v>34.836218138797832</c:v>
                </c:pt>
                <c:pt idx="27">
                  <c:v>38.403492096677262</c:v>
                </c:pt>
                <c:pt idx="28">
                  <c:v>42.296977775381023</c:v>
                </c:pt>
                <c:pt idx="29">
                  <c:v>46.54280284136037</c:v>
                </c:pt>
                <c:pt idx="30">
                  <c:v>51.168875410507653</c:v>
                </c:pt>
                <c:pt idx="31">
                  <c:v>56.204982372779831</c:v>
                </c:pt>
                <c:pt idx="32">
                  <c:v>61.682891701831217</c:v>
                </c:pt>
                <c:pt idx="33">
                  <c:v>67.63645883611386</c:v>
                </c:pt>
                <c:pt idx="34">
                  <c:v>74.101737216597968</c:v>
                </c:pt>
                <c:pt idx="35">
                  <c:v>81.117093064826406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E2-47ED-9F57-2E6BBB6758E1}"/>
            </c:ext>
          </c:extLst>
        </c:ser>
        <c:ser>
          <c:idx val="1"/>
          <c:order val="1"/>
          <c:tx>
            <c:strRef>
              <c:f>SAC!$C$43:$C$43</c:f>
              <c:strCache>
                <c:ptCount val="1"/>
                <c:pt idx="0">
                  <c:v>E_i</c:v>
                </c:pt>
              </c:strCache>
            </c:strRef>
          </c:tx>
          <c:spPr>
            <a:ln w="28575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SAC!$C$44:$C$79</c:f>
              <c:numCache>
                <c:formatCode>0.000</c:formatCode>
                <c:ptCount val="36"/>
                <c:pt idx="0">
                  <c:v>1.0804269890819316</c:v>
                </c:pt>
                <c:pt idx="1">
                  <c:v>1.2363532460196305</c:v>
                </c:pt>
                <c:pt idx="2">
                  <c:v>1.4130064150112283</c:v>
                </c:pt>
                <c:pt idx="3">
                  <c:v>1.6129009425677314</c:v>
                </c:pt>
                <c:pt idx="4">
                  <c:v>1.8388263172150796</c:v>
                </c:pt>
                <c:pt idx="5">
                  <c:v>2.0938737503897915</c:v>
                </c:pt>
                <c:pt idx="6">
                  <c:v>2.381465097471049</c:v>
                </c:pt>
                <c:pt idx="7">
                  <c:v>2.7053841754374703</c:v>
                </c:pt>
                <c:pt idx="8">
                  <c:v>3.0698106420697409</c:v>
                </c:pt>
                <c:pt idx="9">
                  <c:v>3.4793566103390958</c:v>
                </c:pt>
                <c:pt idx="10">
                  <c:v>3.9391061806264154</c:v>
                </c:pt>
                <c:pt idx="11">
                  <c:v>4.4546580827070592</c:v>
                </c:pt>
                <c:pt idx="12">
                  <c:v>5.0321716290111462</c:v>
                </c:pt>
                <c:pt idx="13">
                  <c:v>5.6784161905267929</c:v>
                </c:pt>
                <c:pt idx="14">
                  <c:v>6.4008244168518109</c:v>
                </c:pt>
                <c:pt idx="15">
                  <c:v>7.2075494323155214</c:v>
                </c:pt>
                <c:pt idx="16">
                  <c:v>8.1075262507828576</c:v>
                </c:pt>
                <c:pt idx="17">
                  <c:v>9.1105376627137336</c:v>
                </c:pt>
                <c:pt idx="18">
                  <c:v>10.227284859277372</c:v>
                </c:pt>
                <c:pt idx="19">
                  <c:v>11.469463069808405</c:v>
                </c:pt>
                <c:pt idx="20">
                  <c:v>12.849842500633567</c:v>
                </c:pt>
                <c:pt idx="21">
                  <c:v>14.382354875287552</c:v>
                </c:pt>
                <c:pt idx="22">
                  <c:v>16.082185888367583</c:v>
                </c:pt>
                <c:pt idx="23">
                  <c:v>17.965873897740696</c:v>
                </c:pt>
                <c:pt idx="24">
                  <c:v>20.051415192506301</c:v>
                </c:pt>
                <c:pt idx="25">
                  <c:v>22.358376187022177</c:v>
                </c:pt>
                <c:pt idx="26">
                  <c:v>24.908012904412381</c:v>
                </c:pt>
                <c:pt idx="27">
                  <c:v>27.723398126283897</c:v>
                </c:pt>
                <c:pt idx="28">
                  <c:v>30.829556598870408</c:v>
                </c:pt>
                <c:pt idx="29">
                  <c:v>34.253608699488815</c:v>
                </c:pt>
                <c:pt idx="30">
                  <c:v>38.024922981022137</c:v>
                </c:pt>
                <c:pt idx="31">
                  <c:v>42.17527802612117</c:v>
                </c:pt>
                <c:pt idx="32">
                  <c:v>46.739034056930642</c:v>
                </c:pt>
                <c:pt idx="33">
                  <c:v>51.753314760384683</c:v>
                </c:pt>
                <c:pt idx="34">
                  <c:v>57.258199803461935</c:v>
                </c:pt>
                <c:pt idx="35">
                  <c:v>63.296928527231493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E2-47ED-9F57-2E6BBB6758E1}"/>
            </c:ext>
          </c:extLst>
        </c:ser>
        <c:ser>
          <c:idx val="2"/>
          <c:order val="2"/>
          <c:tx>
            <c:strRef>
              <c:f>SAC!$D$43:$D$43</c:f>
              <c:strCache>
                <c:ptCount val="1"/>
                <c:pt idx="0">
                  <c:v>G*t+G0</c:v>
                </c:pt>
              </c:strCache>
            </c:strRef>
          </c:tx>
          <c:spPr>
            <a:ln w="28575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SAC!$D$44:$D$79</c:f>
              <c:numCache>
                <c:formatCode>0.00</c:formatCode>
                <c:ptCount val="36"/>
                <c:pt idx="0">
                  <c:v>-9.2090784891219215</c:v>
                </c:pt>
                <c:pt idx="1">
                  <c:v>-7.8552690358656747</c:v>
                </c:pt>
                <c:pt idx="2">
                  <c:v>-6.5014595826094137</c:v>
                </c:pt>
                <c:pt idx="3">
                  <c:v>-5.1476501293531669</c:v>
                </c:pt>
                <c:pt idx="4">
                  <c:v>-3.7938406760969059</c:v>
                </c:pt>
                <c:pt idx="5">
                  <c:v>-2.4400312228406591</c:v>
                </c:pt>
                <c:pt idx="6">
                  <c:v>-1.0862217695843981</c:v>
                </c:pt>
                <c:pt idx="7">
                  <c:v>0.26758768367184871</c:v>
                </c:pt>
                <c:pt idx="8">
                  <c:v>1.6213971369280955</c:v>
                </c:pt>
                <c:pt idx="9">
                  <c:v>2.9752065901843565</c:v>
                </c:pt>
                <c:pt idx="10">
                  <c:v>4.3290160434406033</c:v>
                </c:pt>
                <c:pt idx="11">
                  <c:v>5.6828254966968643</c:v>
                </c:pt>
                <c:pt idx="12">
                  <c:v>7.0366349499531111</c:v>
                </c:pt>
                <c:pt idx="13">
                  <c:v>8.390444403209365</c:v>
                </c:pt>
                <c:pt idx="14">
                  <c:v>9.7442538564656189</c:v>
                </c:pt>
                <c:pt idx="15">
                  <c:v>11.098063309721873</c:v>
                </c:pt>
                <c:pt idx="16">
                  <c:v>12.451872762978127</c:v>
                </c:pt>
                <c:pt idx="17">
                  <c:v>13.805682216234381</c:v>
                </c:pt>
                <c:pt idx="18">
                  <c:v>15.159491669490635</c:v>
                </c:pt>
                <c:pt idx="19">
                  <c:v>16.513301122746888</c:v>
                </c:pt>
                <c:pt idx="20">
                  <c:v>17.867110576003142</c:v>
                </c:pt>
                <c:pt idx="21">
                  <c:v>19.220920029259396</c:v>
                </c:pt>
                <c:pt idx="22">
                  <c:v>20.57472948251565</c:v>
                </c:pt>
                <c:pt idx="23">
                  <c:v>21.928538935771897</c:v>
                </c:pt>
                <c:pt idx="24">
                  <c:v>23.282348389028151</c:v>
                </c:pt>
                <c:pt idx="25">
                  <c:v>24.636157842284405</c:v>
                </c:pt>
                <c:pt idx="26">
                  <c:v>25.989967295540659</c:v>
                </c:pt>
                <c:pt idx="27">
                  <c:v>27.343776748796913</c:v>
                </c:pt>
                <c:pt idx="28">
                  <c:v>28.697586202053166</c:v>
                </c:pt>
                <c:pt idx="29">
                  <c:v>30.05139565530942</c:v>
                </c:pt>
                <c:pt idx="30">
                  <c:v>31.405205108565674</c:v>
                </c:pt>
                <c:pt idx="31">
                  <c:v>32.759014561821928</c:v>
                </c:pt>
                <c:pt idx="32">
                  <c:v>34.112824015078182</c:v>
                </c:pt>
                <c:pt idx="33">
                  <c:v>35.466633468334436</c:v>
                </c:pt>
                <c:pt idx="34">
                  <c:v>36.820442921590683</c:v>
                </c:pt>
                <c:pt idx="35">
                  <c:v>38.174252374846937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9E2-47ED-9F57-2E6BBB675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7584"/>
        <c:axId val="1089857088"/>
      </c:scatterChart>
      <c:valAx>
        <c:axId val="1089857088"/>
        <c:scaling>
          <c:orientation val="minMax"/>
          <c:max val="10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water vapor partial pressure, Pa</a:t>
                </a:r>
              </a:p>
            </c:rich>
          </c:tx>
          <c:layout>
            <c:manualLayout>
              <c:xMode val="edge"/>
              <c:yMode val="edge"/>
              <c:x val="2.7397485240244129E-2"/>
              <c:y val="0.16564842545159733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584"/>
        <c:crossesAt val="-60"/>
        <c:crossBetween val="midCat"/>
        <c:majorUnit val="1"/>
      </c:valAx>
      <c:valAx>
        <c:axId val="1089857584"/>
        <c:scaling>
          <c:orientation val="minMax"/>
          <c:max val="-46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7088"/>
        <c:crosses val="autoZero"/>
        <c:crossBetween val="midCat"/>
        <c:majorUnit val="1"/>
      </c:valAx>
      <c:spPr>
        <a:noFill/>
        <a:ln>
          <a:noFill/>
        </a:ln>
      </c:spPr>
    </c:plotArea>
    <c:legend>
      <c:legendPos val="b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1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title>
      <c:tx>
        <c:rich>
          <a:bodyPr lIns="0" tIns="0" rIns="0" bIns="0"/>
          <a:lstStyle/>
          <a:p>
            <a:pPr marL="0" marR="0" indent="0" algn="ctr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400" b="1" i="0" u="none" strike="noStrike" kern="1200" spc="0" baseline="0">
                <a:solidFill>
                  <a:srgbClr val="000000"/>
                </a:solidFill>
                <a:latin typeface="Calibri"/>
              </a:defRPr>
            </a:pPr>
            <a:r>
              <a:rPr lang="de-DE" sz="1400" b="1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RH_min = E_i / E_w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>
        <c:manualLayout>
          <c:xMode val="edge"/>
          <c:yMode val="edge"/>
          <c:x val="6.5364238079717474E-2"/>
          <c:y val="0.15147863827091915"/>
          <c:w val="0.92372024319471824"/>
          <c:h val="0.73926058157752306"/>
        </c:manualLayout>
      </c:layout>
      <c:scatterChart>
        <c:scatterStyle val="lineMarker"/>
        <c:varyColors val="0"/>
        <c:ser>
          <c:idx val="0"/>
          <c:order val="0"/>
          <c:tx>
            <c:strRef>
              <c:f>SAC!$E$43:$E$43</c:f>
              <c:strCache>
                <c:ptCount val="1"/>
                <c:pt idx="0">
                  <c:v>phi = E_i/E_w</c:v>
                </c:pt>
              </c:strCache>
            </c:strRef>
          </c:tx>
          <c:spPr>
            <a:ln w="31747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trendline>
            <c:trendlineType val="linear"/>
            <c:dispRSqr val="1"/>
            <c:dispEq val="1"/>
            <c:trendlineLbl>
              <c:layout>
                <c:manualLayout>
                  <c:x val="-0.4860938072017455"/>
                  <c:y val="9.3193340336038183E-2"/>
                </c:manualLayout>
              </c:layout>
              <c:numFmt formatCode="0.0000E+00" sourceLinked="0"/>
              <c:spPr>
                <a:solidFill>
                  <a:schemeClr val="bg1"/>
                </a:solidFill>
                <a:ln>
                  <a:solidFill>
                    <a:schemeClr val="tx1"/>
                  </a:solidFill>
                </a:ln>
              </c:spPr>
            </c:trendlineLbl>
          </c:trendline>
          <c:xVal>
            <c:numRef>
              <c:f>SAC!$A$44:$A$79</c:f>
              <c:numCache>
                <c:formatCode>General</c:formatCode>
                <c:ptCount val="36"/>
                <c:pt idx="0">
                  <c:v>-60</c:v>
                </c:pt>
                <c:pt idx="1">
                  <c:v>-59</c:v>
                </c:pt>
                <c:pt idx="2">
                  <c:v>-58</c:v>
                </c:pt>
                <c:pt idx="3">
                  <c:v>-57</c:v>
                </c:pt>
                <c:pt idx="4">
                  <c:v>-56</c:v>
                </c:pt>
                <c:pt idx="5">
                  <c:v>-55</c:v>
                </c:pt>
                <c:pt idx="6">
                  <c:v>-54</c:v>
                </c:pt>
                <c:pt idx="7">
                  <c:v>-53</c:v>
                </c:pt>
                <c:pt idx="8">
                  <c:v>-52</c:v>
                </c:pt>
                <c:pt idx="9">
                  <c:v>-51</c:v>
                </c:pt>
                <c:pt idx="10">
                  <c:v>-50</c:v>
                </c:pt>
                <c:pt idx="11">
                  <c:v>-49</c:v>
                </c:pt>
                <c:pt idx="12">
                  <c:v>-48</c:v>
                </c:pt>
                <c:pt idx="13">
                  <c:v>-47</c:v>
                </c:pt>
                <c:pt idx="14">
                  <c:v>-46</c:v>
                </c:pt>
                <c:pt idx="15">
                  <c:v>-45</c:v>
                </c:pt>
                <c:pt idx="16">
                  <c:v>-44</c:v>
                </c:pt>
                <c:pt idx="17">
                  <c:v>-43</c:v>
                </c:pt>
                <c:pt idx="18">
                  <c:v>-42</c:v>
                </c:pt>
                <c:pt idx="19">
                  <c:v>-41</c:v>
                </c:pt>
                <c:pt idx="20">
                  <c:v>-40</c:v>
                </c:pt>
                <c:pt idx="21">
                  <c:v>-39</c:v>
                </c:pt>
                <c:pt idx="22">
                  <c:v>-38</c:v>
                </c:pt>
                <c:pt idx="23">
                  <c:v>-37</c:v>
                </c:pt>
                <c:pt idx="24">
                  <c:v>-36</c:v>
                </c:pt>
                <c:pt idx="25">
                  <c:v>-35</c:v>
                </c:pt>
                <c:pt idx="26">
                  <c:v>-34</c:v>
                </c:pt>
                <c:pt idx="27">
                  <c:v>-33</c:v>
                </c:pt>
                <c:pt idx="28">
                  <c:v>-32</c:v>
                </c:pt>
                <c:pt idx="29">
                  <c:v>-31</c:v>
                </c:pt>
                <c:pt idx="30">
                  <c:v>-30</c:v>
                </c:pt>
                <c:pt idx="31">
                  <c:v>-29</c:v>
                </c:pt>
                <c:pt idx="32">
                  <c:v>-28</c:v>
                </c:pt>
                <c:pt idx="33">
                  <c:v>-27</c:v>
                </c:pt>
                <c:pt idx="34">
                  <c:v>-26</c:v>
                </c:pt>
                <c:pt idx="35">
                  <c:v>-25</c:v>
                </c:pt>
              </c:numCache>
            </c:numRef>
          </c:xVal>
          <c:yVal>
            <c:numRef>
              <c:f>SAC!$E$44:$E$79</c:f>
              <c:numCache>
                <c:formatCode>0.0%</c:formatCode>
                <c:ptCount val="36"/>
                <c:pt idx="0">
                  <c:v>0.56847128295693938</c:v>
                </c:pt>
                <c:pt idx="1">
                  <c:v>0.57289711820748213</c:v>
                </c:pt>
                <c:pt idx="2">
                  <c:v>0.57742462269150729</c:v>
                </c:pt>
                <c:pt idx="3">
                  <c:v>0.58205295353206643</c:v>
                </c:pt>
                <c:pt idx="4">
                  <c:v>0.58678131915932386</c:v>
                </c:pt>
                <c:pt idx="5">
                  <c:v>0.59160897639450538</c:v>
                </c:pt>
                <c:pt idx="6">
                  <c:v>0.59653522771170875</c:v>
                </c:pt>
                <c:pt idx="7">
                  <c:v>0.60155941866523854</c:v>
                </c:pt>
                <c:pt idx="8">
                  <c:v>0.60668093547110646</c:v>
                </c:pt>
                <c:pt idx="9">
                  <c:v>0.61189920273219289</c:v>
                </c:pt>
                <c:pt idx="10">
                  <c:v>0.6172136812973682</c:v>
                </c:pt>
                <c:pt idx="11">
                  <c:v>0.62262386624562949</c:v>
                </c:pt>
                <c:pt idx="12">
                  <c:v>0.62812928498693099</c:v>
                </c:pt>
                <c:pt idx="13">
                  <c:v>0.63372949547205937</c:v>
                </c:pt>
                <c:pt idx="14">
                  <c:v>0.63942408450442911</c:v>
                </c:pt>
                <c:pt idx="15">
                  <c:v>0.6452126661472124</c:v>
                </c:pt>
                <c:pt idx="16">
                  <c:v>0.65109488021969497</c:v>
                </c:pt>
                <c:pt idx="17">
                  <c:v>0.65707039087718688</c:v>
                </c:pt>
                <c:pt idx="18">
                  <c:v>0.66313888526921982</c:v>
                </c:pt>
                <c:pt idx="19">
                  <c:v>0.66930007227113797</c:v>
                </c:pt>
                <c:pt idx="20">
                  <c:v>0.67555368128454274</c:v>
                </c:pt>
                <c:pt idx="21">
                  <c:v>0.68189946110235045</c:v>
                </c:pt>
                <c:pt idx="22">
                  <c:v>0.68833717883452872</c:v>
                </c:pt>
                <c:pt idx="23">
                  <c:v>0.69486661889084977</c:v>
                </c:pt>
                <c:pt idx="24">
                  <c:v>0.70148758201723305</c:v>
                </c:pt>
                <c:pt idx="25">
                  <c:v>0.70819988438250492</c:v>
                </c:pt>
                <c:pt idx="26">
                  <c:v>0.71500335671258763</c:v>
                </c:pt>
                <c:pt idx="27">
                  <c:v>0.72189784346935926</c:v>
                </c:pt>
                <c:pt idx="28">
                  <c:v>0.72888320207158552</c:v>
                </c:pt>
                <c:pt idx="29">
                  <c:v>0.73595930215550465</c:v>
                </c:pt>
                <c:pt idx="30">
                  <c:v>0.74312602487280044</c:v>
                </c:pt>
                <c:pt idx="31">
                  <c:v>0.75038326222386165</c:v>
                </c:pt>
                <c:pt idx="32">
                  <c:v>0.75773091642431989</c:v>
                </c:pt>
                <c:pt idx="33">
                  <c:v>0.76516889930304099</c:v>
                </c:pt>
                <c:pt idx="34">
                  <c:v>0.77269713172981769</c:v>
                </c:pt>
                <c:pt idx="35">
                  <c:v>0.78031554307113105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4D-4982-B8CC-447D336B4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8080"/>
        <c:axId val="1089856096"/>
      </c:scatterChart>
      <c:valAx>
        <c:axId val="1089856096"/>
        <c:scaling>
          <c:orientation val="minMax"/>
          <c:max val="0.8"/>
          <c:min val="0.5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relative humidity</a:t>
                </a:r>
              </a:p>
            </c:rich>
          </c:tx>
          <c:layout>
            <c:manualLayout>
              <c:xMode val="edge"/>
              <c:yMode val="edge"/>
              <c:x val="2.4959875575342075E-2"/>
              <c:y val="0.35127390334943476"/>
            </c:manualLayout>
          </c:layout>
          <c:overlay val="0"/>
          <c:spPr>
            <a:noFill/>
            <a:ln>
              <a:noFill/>
            </a:ln>
          </c:spPr>
        </c:title>
        <c:numFmt formatCode="0%" sourceLinked="0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8080"/>
        <c:crossesAt val="-60"/>
        <c:crossBetween val="midCat"/>
        <c:majorUnit val="5.000000000000001E-2"/>
      </c:valAx>
      <c:valAx>
        <c:axId val="1089858080"/>
        <c:scaling>
          <c:orientation val="minMax"/>
          <c:max val="-25"/>
          <c:min val="-6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200" b="0" i="0" u="none" strike="noStrike" kern="1200" baseline="0">
                    <a:solidFill>
                      <a:srgbClr val="000000"/>
                    </a:solidFill>
                    <a:latin typeface="Calibri"/>
                  </a:defRPr>
                </a:pPr>
                <a:r>
                  <a:rPr lang="de-DE" sz="1200" b="0" i="0" u="none" strike="noStrike" kern="1200" cap="none" spc="0" baseline="0">
                    <a:solidFill>
                      <a:srgbClr val="000000"/>
                    </a:solidFill>
                    <a:uFillTx/>
                    <a:latin typeface="Calibri"/>
                  </a:rPr>
                  <a:t>temperature, °C</a:t>
                </a:r>
              </a:p>
            </c:rich>
          </c:tx>
          <c:layout>
            <c:manualLayout>
              <c:xMode val="edge"/>
              <c:yMode val="edge"/>
              <c:x val="0.46532179920829753"/>
              <c:y val="0.89720585966518374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1200" b="0" i="0" u="none" strike="noStrike" kern="1200" baseline="0">
                <a:solidFill>
                  <a:srgbClr val="000000"/>
                </a:solidFill>
                <a:latin typeface="Calibri"/>
              </a:defRPr>
            </a:pPr>
            <a:endParaRPr lang="de-DE"/>
          </a:p>
        </c:txPr>
        <c:crossAx val="1089856096"/>
        <c:crossesAt val="-60"/>
        <c:crossBetween val="midCat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de-DE" b="1">
                <a:solidFill>
                  <a:schemeClr val="tx1"/>
                </a:solidFill>
              </a:rPr>
              <a:t>p(H, H_T)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SAC!$Q$117</c:f>
              <c:strCache>
                <c:ptCount val="1"/>
                <c:pt idx="0">
                  <c:v>H_T = 20000 ft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SAC!$D$116:$O$116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SAC!$D$117:$O$117</c:f>
              <c:numCache>
                <c:formatCode>0</c:formatCode>
                <c:ptCount val="12"/>
                <c:pt idx="0">
                  <c:v>465.58560984464981</c:v>
                </c:pt>
                <c:pt idx="1">
                  <c:v>366.12653190706061</c:v>
                </c:pt>
                <c:pt idx="2">
                  <c:v>287.91404745309768</c:v>
                </c:pt>
                <c:pt idx="3">
                  <c:v>226.40942815328913</c:v>
                </c:pt>
                <c:pt idx="4">
                  <c:v>214.86371569423667</c:v>
                </c:pt>
                <c:pt idx="5">
                  <c:v>178.04351545247212</c:v>
                </c:pt>
                <c:pt idx="6">
                  <c:v>140.00959965860054</c:v>
                </c:pt>
                <c:pt idx="7">
                  <c:v>110.10054450309049</c:v>
                </c:pt>
                <c:pt idx="8">
                  <c:v>86.580705390456217</c:v>
                </c:pt>
                <c:pt idx="9">
                  <c:v>68.08520865851446</c:v>
                </c:pt>
                <c:pt idx="10">
                  <c:v>53.540746950121701</c:v>
                </c:pt>
                <c:pt idx="11">
                  <c:v>42.103294393274631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B1-455D-9B73-091B0FD800E2}"/>
            </c:ext>
          </c:extLst>
        </c:ser>
        <c:ser>
          <c:idx val="1"/>
          <c:order val="1"/>
          <c:tx>
            <c:strRef>
              <c:f>SAC!$Q$118</c:f>
              <c:strCache>
                <c:ptCount val="1"/>
                <c:pt idx="0">
                  <c:v>H_T = 36089 ft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SAC!$D$116:$O$116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SAC!$D$118:$O$118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187.51987610628152</c:v>
                </c:pt>
                <c:pt idx="6">
                  <c:v>147.46160630983147</c:v>
                </c:pt>
                <c:pt idx="7">
                  <c:v>115.96064261023326</c:v>
                </c:pt>
                <c:pt idx="8">
                  <c:v>91.188960781595142</c:v>
                </c:pt>
                <c:pt idx="9">
                  <c:v>71.709041802890809</c:v>
                </c:pt>
                <c:pt idx="10">
                  <c:v>56.390451565784254</c:v>
                </c:pt>
                <c:pt idx="11">
                  <c:v>44.34424094710004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B1-455D-9B73-091B0FD800E2}"/>
            </c:ext>
          </c:extLst>
        </c:ser>
        <c:ser>
          <c:idx val="2"/>
          <c:order val="2"/>
          <c:tx>
            <c:strRef>
              <c:f>SAC!$Q$119</c:f>
              <c:strCache>
                <c:ptCount val="1"/>
                <c:pt idx="0">
                  <c:v>H_T = 50000 ft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SAC!$D$116:$O$116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SAC!$D$119:$O$119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87.044098295365018</c:v>
                </c:pt>
                <c:pt idx="9">
                  <c:v>68.449610894316407</c:v>
                </c:pt>
                <c:pt idx="10">
                  <c:v>53.827305048121886</c:v>
                </c:pt>
                <c:pt idx="11">
                  <c:v>42.328637531877433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BB1-455D-9B73-091B0FD800E2}"/>
            </c:ext>
          </c:extLst>
        </c:ser>
        <c:ser>
          <c:idx val="3"/>
          <c:order val="3"/>
          <c:tx>
            <c:strRef>
              <c:f>SAC!$Q$120</c:f>
              <c:strCache>
                <c:ptCount val="1"/>
                <c:pt idx="0">
                  <c:v>H_T = 70000 ft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SAC!$D$116:$O$116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SAC!$D$120:$O$120</c:f>
              <c:numCache>
                <c:formatCode>0</c:formatCode>
                <c:ptCount val="12"/>
                <c:pt idx="0">
                  <c:v>465.58560984464981</c:v>
                </c:pt>
                <c:pt idx="1">
                  <c:v>375.97092340716307</c:v>
                </c:pt>
                <c:pt idx="2">
                  <c:v>300.86505755783213</c:v>
                </c:pt>
                <c:pt idx="3">
                  <c:v>238.39835665961203</c:v>
                </c:pt>
                <c:pt idx="4">
                  <c:v>226.29983037755792</c:v>
                </c:pt>
                <c:pt idx="5">
                  <c:v>186.87512990727714</c:v>
                </c:pt>
                <c:pt idx="6">
                  <c:v>144.76424314167357</c:v>
                </c:pt>
                <c:pt idx="7">
                  <c:v>110.68981911016655</c:v>
                </c:pt>
                <c:pt idx="8">
                  <c:v>83.422049984400147</c:v>
                </c:pt>
                <c:pt idx="9">
                  <c:v>61.868126276407672</c:v>
                </c:pt>
                <c:pt idx="10">
                  <c:v>45.063286671360494</c:v>
                </c:pt>
                <c:pt idx="11">
                  <c:v>32.161993729646518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BB1-455D-9B73-091B0FD8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338271"/>
        <c:axId val="194956047"/>
      </c:scatterChart>
      <c:valAx>
        <c:axId val="1059338271"/>
        <c:scaling>
          <c:orientation val="minMax"/>
          <c:max val="70000"/>
          <c:min val="20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altitude, H [ft]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94956047"/>
        <c:crosses val="autoZero"/>
        <c:crossBetween val="midCat"/>
      </c:valAx>
      <c:valAx>
        <c:axId val="194956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 sz="1200">
                    <a:solidFill>
                      <a:schemeClr val="tx1"/>
                    </a:solidFill>
                  </a:rPr>
                  <a:t>pressure, p [hPa]</a:t>
                </a:r>
              </a:p>
            </c:rich>
          </c:tx>
          <c:layout>
            <c:manualLayout>
              <c:xMode val="edge"/>
              <c:yMode val="edge"/>
              <c:x val="1.5217045887458923E-2"/>
              <c:y val="0.32421195277638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0593382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63408082897157"/>
          <c:y val="0.30692008510931551"/>
          <c:w val="0.17328249692903344"/>
          <c:h val="0.280390184862946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SAD!$A$226:$A$226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SAD!$D$226:$O$226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EC-4352-8BD6-C5E9DD1199D7}"/>
            </c:ext>
          </c:extLst>
        </c:ser>
        <c:ser>
          <c:idx val="1"/>
          <c:order val="1"/>
          <c:tx>
            <c:strRef>
              <c:f>SAD!$A$227:$A$227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trendline>
            <c:spPr>
              <a:ln w="19046" cap="rnd">
                <a:solidFill>
                  <a:srgbClr val="ED7D31"/>
                </a:solidFill>
                <a:custDash>
                  <a:ds d="200000" sp="0"/>
                </a:custDash>
              </a:ln>
            </c:spPr>
            <c:trendlineType val="linear"/>
            <c:dispRSqr val="0"/>
            <c:dispEq val="0"/>
          </c:trendline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SAD!$D$227:$O$227</c:f>
              <c:numCache>
                <c:formatCode>0.0</c:formatCode>
                <c:ptCount val="12"/>
                <c:pt idx="0">
                  <c:v>-44.363465643033599</c:v>
                </c:pt>
                <c:pt idx="1">
                  <c:v>-46.517434517002748</c:v>
                </c:pt>
                <c:pt idx="2">
                  <c:v>-48.711040977676006</c:v>
                </c:pt>
                <c:pt idx="3">
                  <c:v>-50.947486947312008</c:v>
                </c:pt>
                <c:pt idx="4">
                  <c:v>-51.439769180250117</c:v>
                </c:pt>
                <c:pt idx="5">
                  <c:v>-53.197655351741197</c:v>
                </c:pt>
                <c:pt idx="6">
                  <c:v>-55.396277736292191</c:v>
                </c:pt>
                <c:pt idx="7">
                  <c:v>-57.542094016895945</c:v>
                </c:pt>
                <c:pt idx="8">
                  <c:v>-59.637044713545428</c:v>
                </c:pt>
                <c:pt idx="9">
                  <c:v>-61.68297421310848</c:v>
                </c:pt>
                <c:pt idx="10">
                  <c:v>-63.681636755849084</c:v>
                </c:pt>
                <c:pt idx="11">
                  <c:v>-65.634701973512776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DEC-4352-8BD6-C5E9DD1199D7}"/>
            </c:ext>
          </c:extLst>
        </c:ser>
        <c:ser>
          <c:idx val="2"/>
          <c:order val="2"/>
          <c:tx>
            <c:strRef>
              <c:f>SAD!$A$234:$A$234</c:f>
              <c:strCache>
                <c:ptCount val="1"/>
                <c:pt idx="0">
                  <c:v>t_ICAO, H_T,equator</c:v>
                </c:pt>
              </c:strCache>
            </c:strRef>
          </c:tx>
          <c:spPr>
            <a:ln w="19046" cap="rnd">
              <a:solidFill>
                <a:srgbClr val="FF0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SAD!$D$234:$O$234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-64.24799999999999</c:v>
                </c:pt>
                <c:pt idx="6">
                  <c:v>-74.153999999999996</c:v>
                </c:pt>
                <c:pt idx="7">
                  <c:v>-84.059999999999988</c:v>
                </c:pt>
                <c:pt idx="8">
                  <c:v>-84.059999999999988</c:v>
                </c:pt>
                <c:pt idx="9">
                  <c:v>-84.059999999999988</c:v>
                </c:pt>
                <c:pt idx="10">
                  <c:v>-84.059999999999988</c:v>
                </c:pt>
                <c:pt idx="11">
                  <c:v>-84.059999999999988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DEC-4352-8BD6-C5E9DD1199D7}"/>
            </c:ext>
          </c:extLst>
        </c:ser>
        <c:ser>
          <c:idx val="3"/>
          <c:order val="3"/>
          <c:tx>
            <c:strRef>
              <c:f>SAD!$A$233:$A$233</c:f>
              <c:strCache>
                <c:ptCount val="1"/>
                <c:pt idx="0">
                  <c:v>t_ICAO,H_T,lat,strato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SAD!$D$233:$O$233</c:f>
              <c:numCache>
                <c:formatCode>0.0</c:formatCode>
                <c:ptCount val="12"/>
                <c:pt idx="0">
                  <c:v>-71.167155521093406</c:v>
                </c:pt>
                <c:pt idx="1">
                  <c:v>-71.167155521093406</c:v>
                </c:pt>
                <c:pt idx="2">
                  <c:v>-71.167155521093406</c:v>
                </c:pt>
                <c:pt idx="3">
                  <c:v>-71.167155521093406</c:v>
                </c:pt>
                <c:pt idx="4">
                  <c:v>-71.167155521093406</c:v>
                </c:pt>
                <c:pt idx="5">
                  <c:v>-71.167155521093406</c:v>
                </c:pt>
                <c:pt idx="6">
                  <c:v>-71.167155521093406</c:v>
                </c:pt>
                <c:pt idx="7">
                  <c:v>-71.167155521093406</c:v>
                </c:pt>
                <c:pt idx="8">
                  <c:v>-71.167155521093406</c:v>
                </c:pt>
                <c:pt idx="9">
                  <c:v>-71.167155521093406</c:v>
                </c:pt>
                <c:pt idx="10">
                  <c:v>-71.167155521093406</c:v>
                </c:pt>
                <c:pt idx="11">
                  <c:v>-71.167155521093406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DEC-4352-8BD6-C5E9DD1199D7}"/>
            </c:ext>
          </c:extLst>
        </c:ser>
        <c:ser>
          <c:idx val="4"/>
          <c:order val="4"/>
          <c:tx>
            <c:strRef>
              <c:f>SAD!$A$232:$A$232</c:f>
              <c:strCache>
                <c:ptCount val="1"/>
                <c:pt idx="0">
                  <c:v>t_ICAO,H_T,lat,tropo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SAD!$D$232:$O$232</c:f>
              <c:numCache>
                <c:formatCode>0.0</c:formatCode>
                <c:ptCount val="12"/>
                <c:pt idx="0">
                  <c:v>-9.6239999999999952</c:v>
                </c:pt>
                <c:pt idx="1">
                  <c:v>-19.529999999999994</c:v>
                </c:pt>
                <c:pt idx="2">
                  <c:v>-29.435999999999993</c:v>
                </c:pt>
                <c:pt idx="3">
                  <c:v>-39.341999999999999</c:v>
                </c:pt>
                <c:pt idx="4">
                  <c:v>-41.499526799999998</c:v>
                </c:pt>
                <c:pt idx="5">
                  <c:v>-49.24799999999999</c:v>
                </c:pt>
                <c:pt idx="6">
                  <c:v>-59.153999999999996</c:v>
                </c:pt>
                <c:pt idx="7">
                  <c:v>-69.059999999999988</c:v>
                </c:pt>
                <c:pt idx="8">
                  <c:v>-78.965999999999994</c:v>
                </c:pt>
                <c:pt idx="9">
                  <c:v>-88.871999999999986</c:v>
                </c:pt>
                <c:pt idx="10">
                  <c:v>-98.777999999999992</c:v>
                </c:pt>
                <c:pt idx="11">
                  <c:v>-108.684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DEC-4352-8BD6-C5E9DD1199D7}"/>
            </c:ext>
          </c:extLst>
        </c:ser>
        <c:ser>
          <c:idx val="5"/>
          <c:order val="5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DEC-4352-8BD6-C5E9DD1199D7}"/>
            </c:ext>
          </c:extLst>
        </c:ser>
        <c:ser>
          <c:idx val="6"/>
          <c:order val="6"/>
          <c:tx>
            <c:strRef>
              <c:f>SAD!$A$231:$A$231</c:f>
              <c:strCache>
                <c:ptCount val="1"/>
                <c:pt idx="0">
                  <c:v>t_ICAO,H_T,pole</c:v>
                </c:pt>
              </c:strCache>
            </c:strRef>
          </c:tx>
          <c:spPr>
            <a:ln w="19046" cap="rnd">
              <a:solidFill>
                <a:schemeClr val="bg1">
                  <a:lumMod val="50000"/>
                </a:schemeClr>
              </a:solidFill>
              <a:prstDash val="solid"/>
              <a:round/>
            </a:ln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SAD!$D$231:$O$231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-44.435999999999993</c:v>
                </c:pt>
                <c:pt idx="4">
                  <c:v>-44.435999999999993</c:v>
                </c:pt>
                <c:pt idx="5">
                  <c:v>-44.435999999999993</c:v>
                </c:pt>
                <c:pt idx="6">
                  <c:v>-44.435999999999993</c:v>
                </c:pt>
                <c:pt idx="7">
                  <c:v>-44.435999999999993</c:v>
                </c:pt>
                <c:pt idx="8">
                  <c:v>-44.435999999999993</c:v>
                </c:pt>
                <c:pt idx="9">
                  <c:v>-44.435999999999993</c:v>
                </c:pt>
                <c:pt idx="10">
                  <c:v>-44.435999999999993</c:v>
                </c:pt>
                <c:pt idx="11">
                  <c:v>-44.435999999999993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DEC-4352-8BD6-C5E9DD1199D7}"/>
            </c:ext>
          </c:extLst>
        </c:ser>
        <c:ser>
          <c:idx val="7"/>
          <c:order val="7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400173" sp="200173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DEC-4352-8BD6-C5E9DD1199D7}"/>
            </c:ext>
          </c:extLst>
        </c:ser>
        <c:ser>
          <c:idx val="8"/>
          <c:order val="8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  <a:ds d="200000" sp="0"/>
                <a:ds d="200000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8DEC-4352-8BD6-C5E9DD1199D7}"/>
            </c:ext>
          </c:extLst>
        </c:ser>
        <c:ser>
          <c:idx val="9"/>
          <c:order val="9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custDash>
                <a:ds d="900693" sp="0"/>
              </a:custDash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DEC-4352-8BD6-C5E9DD119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5024"/>
        <c:axId val="1089864032"/>
      </c:scatterChart>
      <c:valAx>
        <c:axId val="1089864032"/>
        <c:scaling>
          <c:orientation val="minMax"/>
          <c:max val="-30"/>
          <c:min val="-9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9444507429112398E-2"/>
              <c:y val="0.1243012366793152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5024"/>
        <c:crosses val="autoZero"/>
        <c:crossBetween val="midCat"/>
        <c:majorUnit val="5"/>
      </c:valAx>
      <c:valAx>
        <c:axId val="1089865024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032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9.3970500878401433E-2"/>
          <c:y val="7.4518388841624969E-2"/>
          <c:w val="0.62953788079860806"/>
          <c:h val="0.79118098935047554"/>
        </c:manualLayout>
      </c:layout>
      <c:scatterChart>
        <c:scatterStyle val="lineMarker"/>
        <c:varyColors val="0"/>
        <c:ser>
          <c:idx val="2"/>
          <c:order val="0"/>
          <c:tx>
            <c:strRef>
              <c:f>SAD!$F$149</c:f>
              <c:strCache>
                <c:ptCount val="1"/>
                <c:pt idx="0">
                  <c:v>Dphi_calc_8</c:v>
                </c:pt>
              </c:strCache>
            </c:strRef>
          </c:tx>
          <c:spPr>
            <a:ln w="19046" cap="rnd">
              <a:solidFill>
                <a:srgbClr val="7030A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SAD!$F$150:$F$162</c:f>
              <c:numCache>
                <c:formatCode>0.000</c:formatCode>
                <c:ptCount val="13"/>
                <c:pt idx="0">
                  <c:v>2.8689563436604417</c:v>
                </c:pt>
                <c:pt idx="1">
                  <c:v>2.2882211867997633</c:v>
                </c:pt>
                <c:pt idx="2">
                  <c:v>1.786091327459804</c:v>
                </c:pt>
                <c:pt idx="3">
                  <c:v>1.3581997186524062</c:v>
                </c:pt>
                <c:pt idx="4">
                  <c:v>0.99999999999999989</c:v>
                </c:pt>
                <c:pt idx="5">
                  <c:v>0.70673770514236056</c:v>
                </c:pt>
                <c:pt idx="6">
                  <c:v>0.47341247337333386</c:v>
                </c:pt>
                <c:pt idx="7">
                  <c:v>0.29472665726400582</c:v>
                </c:pt>
                <c:pt idx="8">
                  <c:v>0.16501208685849758</c:v>
                </c:pt>
                <c:pt idx="9">
                  <c:v>7.8118780176176739E-2</c:v>
                </c:pt>
                <c:pt idx="10">
                  <c:v>2.7228988809396337E-2</c:v>
                </c:pt>
                <c:pt idx="11">
                  <c:v>4.4931122664851643E-3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9C7-4237-803A-EDDB45DC4FB4}"/>
            </c:ext>
          </c:extLst>
        </c:ser>
        <c:ser>
          <c:idx val="0"/>
          <c:order val="1"/>
          <c:tx>
            <c:strRef>
              <c:f>SAD!$C$149</c:f>
              <c:strCache>
                <c:ptCount val="1"/>
                <c:pt idx="0">
                  <c:v>Dphi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SAD!$C$150:$C$162</c:f>
              <c:numCache>
                <c:formatCode>General</c:formatCode>
                <c:ptCount val="13"/>
                <c:pt idx="3" formatCode="0.0000">
                  <c:v>0.94050017262129304</c:v>
                </c:pt>
                <c:pt idx="4" formatCode="0.0000">
                  <c:v>0.67956631646227661</c:v>
                </c:pt>
                <c:pt idx="5" formatCode="0.0000">
                  <c:v>0.47676345244762175</c:v>
                </c:pt>
                <c:pt idx="6" formatCode="0.0000">
                  <c:v>0.32169182397047258</c:v>
                </c:pt>
                <c:pt idx="7" formatCode="0.0000">
                  <c:v>0.2057161927448159</c:v>
                </c:pt>
                <c:pt idx="8" formatCode="0.0000">
                  <c:v>0.12166817714509504</c:v>
                </c:pt>
                <c:pt idx="9" formatCode="0.0000">
                  <c:v>6.3599440403302676E-2</c:v>
                </c:pt>
                <c:pt idx="10" formatCode="0.0000">
                  <c:v>2.6576860170490102E-2</c:v>
                </c:pt>
                <c:pt idx="11" formatCode="0.0000">
                  <c:v>6.5123958732581366E-3</c:v>
                </c:pt>
                <c:pt idx="12" formatCode="0.0000">
                  <c:v>2.1664519521569225E-5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C7-4237-803A-EDDB45DC4FB4}"/>
            </c:ext>
          </c:extLst>
        </c:ser>
        <c:ser>
          <c:idx val="1"/>
          <c:order val="2"/>
          <c:tx>
            <c:strRef>
              <c:f>SAD!$D$149</c:f>
              <c:strCache>
                <c:ptCount val="1"/>
                <c:pt idx="0">
                  <c:v>Dphi_calc_9,246</c:v>
                </c:pt>
              </c:strCache>
            </c:strRef>
          </c:tx>
          <c:spPr>
            <a:ln w="19046" cap="rnd">
              <a:solidFill>
                <a:srgbClr val="00B05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SAD!$D$150:$D$162</c:f>
              <c:numCache>
                <c:formatCode>0.000</c:formatCode>
                <c:ptCount val="13"/>
                <c:pt idx="0">
                  <c:v>1.9694981033824521</c:v>
                </c:pt>
                <c:pt idx="1">
                  <c:v>1.5708316013521977</c:v>
                </c:pt>
                <c:pt idx="2">
                  <c:v>1.2261265284405707</c:v>
                </c:pt>
                <c:pt idx="3">
                  <c:v>0.93238496842637664</c:v>
                </c:pt>
                <c:pt idx="4">
                  <c:v>0.68648590897329942</c:v>
                </c:pt>
                <c:pt idx="5">
                  <c:v>0.48516547592035714</c:v>
                </c:pt>
                <c:pt idx="6">
                  <c:v>0.32499099210299104</c:v>
                </c:pt>
                <c:pt idx="7">
                  <c:v>0.20232569721054314</c:v>
                </c:pt>
                <c:pt idx="8">
                  <c:v>0.11327847243863676</c:v>
                </c:pt>
                <c:pt idx="9">
                  <c:v>5.3627441817128065E-2</c:v>
                </c:pt>
                <c:pt idx="10">
                  <c:v>1.8692317133242244E-2</c:v>
                </c:pt>
                <c:pt idx="11">
                  <c:v>3.08445825837715E-3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9C7-4237-803A-EDDB45DC4FB4}"/>
            </c:ext>
          </c:extLst>
        </c:ser>
        <c:ser>
          <c:idx val="4"/>
          <c:order val="3"/>
          <c:tx>
            <c:strRef>
              <c:f>SAD!$G$149</c:f>
              <c:strCache>
                <c:ptCount val="1"/>
                <c:pt idx="0">
                  <c:v>Dphi_calc_10</c:v>
                </c:pt>
              </c:strCache>
            </c:strRef>
          </c:tx>
          <c:spPr>
            <a:ln w="19046" cap="rnd">
              <a:solidFill>
                <a:srgbClr val="FFC00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SAD!$G$150:$G$162</c:f>
              <c:numCache>
                <c:formatCode>0.000</c:formatCode>
                <c:ptCount val="13"/>
                <c:pt idx="0">
                  <c:v>1.6062763978260275</c:v>
                </c:pt>
                <c:pt idx="1">
                  <c:v>1.2811333617828451</c:v>
                </c:pt>
                <c:pt idx="2">
                  <c:v>1</c:v>
                </c:pt>
                <c:pt idx="3">
                  <c:v>0.76043128241602886</c:v>
                </c:pt>
                <c:pt idx="4">
                  <c:v>0.55988178466898975</c:v>
                </c:pt>
                <c:pt idx="5">
                  <c:v>0.39568956764797109</c:v>
                </c:pt>
                <c:pt idx="6">
                  <c:v>0.26505502047682278</c:v>
                </c:pt>
                <c:pt idx="7">
                  <c:v>0.16501208685849725</c:v>
                </c:pt>
                <c:pt idx="8">
                  <c:v>9.2387261682289973E-2</c:v>
                </c:pt>
                <c:pt idx="9">
                  <c:v>4.373728206120233E-2</c:v>
                </c:pt>
                <c:pt idx="10">
                  <c:v>1.524501484933677E-2</c:v>
                </c:pt>
                <c:pt idx="11">
                  <c:v>2.5156117144778433E-3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9C7-4237-803A-EDDB45DC4FB4}"/>
            </c:ext>
          </c:extLst>
        </c:ser>
        <c:ser>
          <c:idx val="3"/>
          <c:order val="4"/>
          <c:tx>
            <c:strRef>
              <c:f>SAD!$H$149</c:f>
              <c:strCache>
                <c:ptCount val="1"/>
                <c:pt idx="0">
                  <c:v>Dphi_calc_12</c:v>
                </c:pt>
              </c:strCache>
            </c:strRef>
          </c:tx>
          <c:spPr>
            <a:ln w="19046" cap="rnd">
              <a:solidFill>
                <a:srgbClr val="0070C0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SAD!$A$150:$A$162</c:f>
              <c:numCache>
                <c:formatCode>General</c:formatCode>
                <c:ptCount val="13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9</c:v>
                </c:pt>
                <c:pt idx="4">
                  <c:v>8</c:v>
                </c:pt>
                <c:pt idx="5">
                  <c:v>7</c:v>
                </c:pt>
                <c:pt idx="6">
                  <c:v>6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</c:numCache>
            </c:numRef>
          </c:xVal>
          <c:yVal>
            <c:numRef>
              <c:f>SAD!$H$150:$H$162</c:f>
              <c:numCache>
                <c:formatCode>0.000</c:formatCode>
                <c:ptCount val="13"/>
                <c:pt idx="0">
                  <c:v>1</c:v>
                </c:pt>
                <c:pt idx="1">
                  <c:v>0.79757964663912229</c:v>
                </c:pt>
                <c:pt idx="2">
                  <c:v>0.62255786199275776</c:v>
                </c:pt>
                <c:pt idx="3">
                  <c:v>0.47341247337333392</c:v>
                </c:pt>
                <c:pt idx="4">
                  <c:v>0.3485588068322158</c:v>
                </c:pt>
                <c:pt idx="5">
                  <c:v>0.24633965124775956</c:v>
                </c:pt>
                <c:pt idx="6">
                  <c:v>0.16501208685849739</c:v>
                </c:pt>
                <c:pt idx="7">
                  <c:v>0.10272957199758928</c:v>
                </c:pt>
                <c:pt idx="8">
                  <c:v>5.7516416108291876E-2</c:v>
                </c:pt>
                <c:pt idx="9">
                  <c:v>2.722898880939632E-2</c:v>
                </c:pt>
                <c:pt idx="10">
                  <c:v>9.490903850650944E-3</c:v>
                </c:pt>
                <c:pt idx="11">
                  <c:v>1.5661138505692618E-3</c:v>
                </c:pt>
                <c:pt idx="1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C7-4237-803A-EDDB45DC4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9072"/>
        <c:axId val="1089852624"/>
      </c:scatterChart>
      <c:valAx>
        <c:axId val="1089852624"/>
        <c:scaling>
          <c:orientation val="minMax"/>
          <c:max val="1"/>
          <c:min val="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phi, °C     i.e.   phi = 1 + Delta phi </a:t>
                </a:r>
              </a:p>
            </c:rich>
          </c:tx>
          <c:layout>
            <c:manualLayout>
              <c:xMode val="edge"/>
              <c:yMode val="edge"/>
              <c:x val="2.4999852546521571E-2"/>
              <c:y val="0.14717129684913716"/>
            </c:manualLayout>
          </c:layout>
          <c:overlay val="0"/>
          <c:spPr>
            <a:noFill/>
            <a:ln>
              <a:noFill/>
            </a:ln>
          </c:spPr>
        </c:title>
        <c:numFmt formatCode="0.0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9072"/>
        <c:crossesAt val="-10"/>
        <c:crossBetween val="midCat"/>
      </c:valAx>
      <c:valAx>
        <c:axId val="1089859072"/>
        <c:scaling>
          <c:orientation val="minMax"/>
          <c:max val="12"/>
          <c:min val="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 t = t_SAC - t, °C</a:t>
                </a:r>
              </a:p>
            </c:rich>
          </c:tx>
          <c:layout>
            <c:manualLayout>
              <c:xMode val="edge"/>
              <c:yMode val="edge"/>
              <c:x val="0.32313427113745613"/>
              <c:y val="0.88866079044965229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2624"/>
        <c:crossesAt val="-1"/>
        <c:crossBetween val="midCat"/>
        <c:majorUnit val="1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73991413314737908"/>
          <c:y val="0.31065676848809382"/>
          <c:w val="0.23012329983918292"/>
          <c:h val="0.3061241980298488"/>
        </c:manualLayout>
      </c:layout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>
        <c:manualLayout>
          <c:xMode val="edge"/>
          <c:yMode val="edge"/>
          <c:x val="4.8778704176178085E-2"/>
          <c:y val="2.5497594050743658E-2"/>
          <c:w val="0.67716251657842041"/>
          <c:h val="0.85318277923592878"/>
        </c:manualLayout>
      </c:layout>
      <c:scatterChart>
        <c:scatterStyle val="lineMarker"/>
        <c:varyColors val="0"/>
        <c:ser>
          <c:idx val="0"/>
          <c:order val="0"/>
          <c:tx>
            <c:strRef>
              <c:f>SAD!$B$178</c:f>
              <c:strCache>
                <c:ptCount val="1"/>
                <c:pt idx="0">
                  <c:v>H_SAC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7.3310563718739508E-2"/>
                  <c:y val="-0.60475320793234177"/>
                </c:manualLayout>
              </c:layout>
              <c:numFmt formatCode="General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SAD!$D$177:$O$177</c:f>
              <c:numCache>
                <c:formatCode>0.0</c:formatCode>
                <c:ptCount val="12"/>
                <c:pt idx="0">
                  <c:v>-34.171657846038833</c:v>
                </c:pt>
                <c:pt idx="1">
                  <c:v>-36.556995939242505</c:v>
                </c:pt>
                <c:pt idx="2">
                  <c:v>-38.983215462422002</c:v>
                </c:pt>
                <c:pt idx="3">
                  <c:v>-41.453686614326799</c:v>
                </c:pt>
                <c:pt idx="4">
                  <c:v>-41.997060149801399</c:v>
                </c:pt>
                <c:pt idx="5">
                  <c:v>-43.936149738567622</c:v>
                </c:pt>
                <c:pt idx="6">
                  <c:v>-46.358686546546537</c:v>
                </c:pt>
                <c:pt idx="7">
                  <c:v>-48.720135430706478</c:v>
                </c:pt>
                <c:pt idx="8">
                  <c:v>-51.022841943746812</c:v>
                </c:pt>
                <c:pt idx="9">
                  <c:v>-53.26904401732731</c:v>
                </c:pt>
                <c:pt idx="10">
                  <c:v>-55.460885188547678</c:v>
                </c:pt>
                <c:pt idx="11">
                  <c:v>-57.600302356601937</c:v>
                </c:pt>
              </c:numCache>
            </c:numRef>
          </c:xVal>
          <c:yVal>
            <c:numRef>
              <c:f>SAD!$D$178:$O$178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C2-4767-BD04-D29999BB6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4528"/>
        <c:axId val="1089851632"/>
      </c:scatterChart>
      <c:valAx>
        <c:axId val="1089851632"/>
        <c:scaling>
          <c:orientation val="minMax"/>
          <c:max val="70000"/>
          <c:min val="2000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layout>
            <c:manualLayout>
              <c:xMode val="edge"/>
              <c:yMode val="edge"/>
              <c:x val="1.9444471093407349E-2"/>
              <c:y val="9.5096237970253725E-2"/>
            </c:manualLayout>
          </c:layout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high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4528"/>
        <c:crossesAt val="-25"/>
        <c:crossBetween val="midCat"/>
      </c:valAx>
      <c:valAx>
        <c:axId val="1089864528"/>
        <c:scaling>
          <c:orientation val="minMax"/>
          <c:max val="-3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1632"/>
        <c:crosses val="autoZero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SAD!$A$204:$A$204</c:f>
              <c:strCache>
                <c:ptCount val="1"/>
                <c:pt idx="0">
                  <c:v>Dt,tot  from SAD</c:v>
                </c:pt>
              </c:strCache>
            </c:strRef>
          </c:tx>
          <c:spPr>
            <a:ln w="19046" cap="rnd">
              <a:noFill/>
              <a:prstDash val="solid"/>
              <a:round/>
            </a:ln>
          </c:spPr>
          <c:marker>
            <c:symbol val="circle"/>
            <c:size val="5"/>
            <c:spPr>
              <a:solidFill>
                <a:srgbClr val="002060"/>
              </a:solidFill>
              <a:ln>
                <a:noFill/>
              </a:ln>
            </c:spPr>
          </c:marker>
          <c:trendline>
            <c:spPr>
              <a:ln w="19046" cap="rnd">
                <a:solidFill>
                  <a:srgbClr val="4472C4"/>
                </a:solidFill>
                <a:custDash>
                  <a:ds d="200000" sp="0"/>
                </a:custDash>
              </a:ln>
            </c:spPr>
            <c:trendlineType val="linear"/>
            <c:dispRSqr val="1"/>
            <c:dispEq val="1"/>
            <c:trendlineLbl>
              <c:layout>
                <c:manualLayout>
                  <c:x val="-0.11397024097301506"/>
                  <c:y val="-0.51510270893968713"/>
                </c:manualLayout>
              </c:layout>
              <c:numFmt formatCode="0.0000E+00" sourceLinked="0"/>
              <c:spPr>
                <a:solidFill>
                  <a:srgbClr val="FFFFFF"/>
                </a:solidFill>
                <a:ln w="9528">
                  <a:solidFill>
                    <a:srgbClr val="000000"/>
                  </a:solidFill>
                  <a:prstDash val="solid"/>
                </a:ln>
              </c:spPr>
              <c:txPr>
                <a:bodyPr lIns="0" tIns="0" rIns="0" bIns="0"/>
                <a:lstStyle/>
                <a:p>
                  <a:pPr marL="0" marR="0" indent="0" algn="ctr" defTabSz="914400" fontAlgn="auto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tabLst/>
                    <a:defRPr sz="900" b="0" i="0" u="none" strike="noStrike" kern="1200" baseline="0">
                      <a:solidFill>
                        <a:schemeClr val="tx1"/>
                      </a:solidFill>
                      <a:latin typeface="Calibri"/>
                    </a:defRPr>
                  </a:pPr>
                  <a:endParaRPr lang="de-DE"/>
                </a:p>
              </c:txPr>
            </c:trendlineLbl>
          </c:trendline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SAD!$D$204:$O$204</c:f>
              <c:numCache>
                <c:formatCode>0.00</c:formatCode>
                <c:ptCount val="12"/>
                <c:pt idx="0">
                  <c:v>10.191807796994766</c:v>
                </c:pt>
                <c:pt idx="1">
                  <c:v>9.9604385777602431</c:v>
                </c:pt>
                <c:pt idx="2">
                  <c:v>9.7278255152540041</c:v>
                </c:pt>
                <c:pt idx="3">
                  <c:v>9.4938003329852094</c:v>
                </c:pt>
                <c:pt idx="4">
                  <c:v>9.442709030448718</c:v>
                </c:pt>
                <c:pt idx="5">
                  <c:v>9.2615056131735756</c:v>
                </c:pt>
                <c:pt idx="6">
                  <c:v>9.0375911897456547</c:v>
                </c:pt>
                <c:pt idx="7">
                  <c:v>8.8219585861894672</c:v>
                </c:pt>
                <c:pt idx="8">
                  <c:v>8.6142027697986165</c:v>
                </c:pt>
                <c:pt idx="9">
                  <c:v>8.4139301957811696</c:v>
                </c:pt>
                <c:pt idx="10">
                  <c:v>8.2207515673014058</c:v>
                </c:pt>
                <c:pt idx="11">
                  <c:v>8.0343996169108394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66-452B-BAB8-91E02C098C9E}"/>
            </c:ext>
          </c:extLst>
        </c:ser>
        <c:ser>
          <c:idx val="1"/>
          <c:order val="1"/>
          <c:tx>
            <c:strRef>
              <c:f>SAD!$A$206:$A$206</c:f>
              <c:strCache>
                <c:ptCount val="1"/>
                <c:pt idx="0">
                  <c:v>Dt,tot  calculated   (b)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circle"/>
            <c:size val="5"/>
            <c:spPr>
              <a:noFill/>
              <a:ln>
                <a:noFill/>
              </a:ln>
            </c:spPr>
          </c:marker>
          <c:xVal>
            <c:numRef>
              <c:f>SAD!$D$203:$O$203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SAD!$D$206:$O$206</c:f>
              <c:numCache>
                <c:formatCode>0.00</c:formatCode>
                <c:ptCount val="12"/>
                <c:pt idx="0">
                  <c:v>10.154199999999998</c:v>
                </c:pt>
                <c:pt idx="1">
                  <c:v>9.937249999999997</c:v>
                </c:pt>
                <c:pt idx="2">
                  <c:v>9.7202999999999982</c:v>
                </c:pt>
                <c:pt idx="3">
                  <c:v>9.5033499999999975</c:v>
                </c:pt>
                <c:pt idx="4">
                  <c:v>9.4560982899999981</c:v>
                </c:pt>
                <c:pt idx="5">
                  <c:v>9.2863999999999969</c:v>
                </c:pt>
                <c:pt idx="6">
                  <c:v>9.0694499999999962</c:v>
                </c:pt>
                <c:pt idx="7">
                  <c:v>8.8524999999999974</c:v>
                </c:pt>
                <c:pt idx="8">
                  <c:v>8.6355499999999967</c:v>
                </c:pt>
                <c:pt idx="9">
                  <c:v>8.4185999999999961</c:v>
                </c:pt>
                <c:pt idx="10">
                  <c:v>8.2016499999999972</c:v>
                </c:pt>
                <c:pt idx="11">
                  <c:v>7.9846999999999966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66-452B-BAB8-91E02C098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56592"/>
        <c:axId val="1089860560"/>
      </c:scatterChart>
      <c:valAx>
        <c:axId val="1089860560"/>
        <c:scaling>
          <c:orientation val="minMax"/>
          <c:max val="10.5"/>
          <c:min val="8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Delta_t,tot   in  °C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6592"/>
        <c:crosses val="autoZero"/>
        <c:crossBetween val="midCat"/>
      </c:valAx>
      <c:valAx>
        <c:axId val="108985659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altitude, ft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0560"/>
        <c:crosses val="autoZero"/>
        <c:crossBetween val="midCat"/>
        <c:majorUnit val="10000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chemeClr val="tx1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c:style val="2"/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SAD!$A$230:$A$230</c:f>
              <c:strCache>
                <c:ptCount val="1"/>
                <c:pt idx="0">
                  <c:v>t_ICAO,H_T=36089 ft</c:v>
                </c:pt>
              </c:strCache>
            </c:strRef>
          </c:tx>
          <c:spPr>
            <a:ln w="19046" cap="rnd">
              <a:solidFill>
                <a:srgbClr val="A5A5A5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SAD!$D$225:$O$225</c:f>
              <c:numCache>
                <c:formatCode>General</c:formatCode>
                <c:ptCount val="12"/>
                <c:pt idx="0">
                  <c:v>20000</c:v>
                </c:pt>
                <c:pt idx="1">
                  <c:v>25000</c:v>
                </c:pt>
                <c:pt idx="2">
                  <c:v>30000</c:v>
                </c:pt>
                <c:pt idx="3">
                  <c:v>35000</c:v>
                </c:pt>
                <c:pt idx="4">
                  <c:v>36089</c:v>
                </c:pt>
                <c:pt idx="5">
                  <c:v>40000</c:v>
                </c:pt>
                <c:pt idx="6">
                  <c:v>45000</c:v>
                </c:pt>
                <c:pt idx="7">
                  <c:v>50000</c:v>
                </c:pt>
                <c:pt idx="8">
                  <c:v>55000</c:v>
                </c:pt>
                <c:pt idx="9">
                  <c:v>60000</c:v>
                </c:pt>
                <c:pt idx="10">
                  <c:v>65000</c:v>
                </c:pt>
                <c:pt idx="11">
                  <c:v>70000</c:v>
                </c:pt>
              </c:numCache>
            </c:numRef>
          </c:xVal>
          <c:yVal>
            <c:numRef>
              <c:f>SAD!$D$230:$O$230</c:f>
              <c:numCache>
                <c:formatCode>0.0</c:formatCode>
                <c:ptCount val="12"/>
                <c:pt idx="0">
                  <c:v>-24.623999999999995</c:v>
                </c:pt>
                <c:pt idx="1">
                  <c:v>-34.529999999999994</c:v>
                </c:pt>
                <c:pt idx="2">
                  <c:v>-44.435999999999993</c:v>
                </c:pt>
                <c:pt idx="3">
                  <c:v>-54.341999999999999</c:v>
                </c:pt>
                <c:pt idx="4">
                  <c:v>-56.499526799999998</c:v>
                </c:pt>
                <c:pt idx="5">
                  <c:v>-56.499526799999998</c:v>
                </c:pt>
                <c:pt idx="6">
                  <c:v>-56.499526799999998</c:v>
                </c:pt>
                <c:pt idx="7">
                  <c:v>-56.499526799999998</c:v>
                </c:pt>
                <c:pt idx="8">
                  <c:v>-56.499526799999998</c:v>
                </c:pt>
                <c:pt idx="9">
                  <c:v>-56.499526799999998</c:v>
                </c:pt>
                <c:pt idx="10">
                  <c:v>-56.499526799999998</c:v>
                </c:pt>
                <c:pt idx="11">
                  <c:v>-56.499526799999998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594-4AEE-9CD5-415F14EB0073}"/>
            </c:ext>
          </c:extLst>
        </c:ser>
        <c:ser>
          <c:idx val="1"/>
          <c:order val="1"/>
          <c:tx>
            <c:strRef>
              <c:f>SAD!$A$289:$A$289</c:f>
              <c:strCache>
                <c:ptCount val="1"/>
                <c:pt idx="0">
                  <c:v>t_SAC,100</c:v>
                </c:pt>
              </c:strCache>
            </c:strRef>
          </c:tx>
          <c:spPr>
            <a:ln w="19046" cap="rnd">
              <a:solidFill>
                <a:srgbClr val="4472C4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SAD!$C$289:$D$289</c:f>
              <c:numCache>
                <c:formatCode>General</c:formatCode>
                <c:ptCount val="2"/>
                <c:pt idx="0">
                  <c:v>-34.352199999999996</c:v>
                </c:pt>
                <c:pt idx="1">
                  <c:v>-57.9377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594-4AEE-9CD5-415F14EB0073}"/>
            </c:ext>
          </c:extLst>
        </c:ser>
        <c:ser>
          <c:idx val="2"/>
          <c:order val="2"/>
          <c:tx>
            <c:strRef>
              <c:f>SAD!$A$290:$A$290</c:f>
              <c:strCache>
                <c:ptCount val="1"/>
                <c:pt idx="0">
                  <c:v>t_SAC,0</c:v>
                </c:pt>
              </c:strCache>
            </c:strRef>
          </c:tx>
          <c:spPr>
            <a:ln w="19046" cap="rnd">
              <a:solidFill>
                <a:srgbClr val="ED7D31"/>
              </a:solidFill>
              <a:prstDash val="solid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SAD!$C$290:$D$290</c:f>
              <c:numCache>
                <c:formatCode>General</c:formatCode>
                <c:ptCount val="2"/>
                <c:pt idx="0">
                  <c:v>-44.506399999999999</c:v>
                </c:pt>
                <c:pt idx="1">
                  <c:v>-65.922399999999996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594-4AEE-9CD5-415F14EB0073}"/>
            </c:ext>
          </c:extLst>
        </c:ser>
        <c:ser>
          <c:idx val="3"/>
          <c:order val="3"/>
          <c:tx>
            <c:strRef>
              <c:f>SAD!$A$287:$A$287</c:f>
              <c:strCache>
                <c:ptCount val="1"/>
                <c:pt idx="0">
                  <c:v>95%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lgDashDot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SAD!$C$287:$D$287</c:f>
              <c:numCache>
                <c:formatCode>0.0</c:formatCode>
                <c:ptCount val="2"/>
                <c:pt idx="0">
                  <c:v>-37.378880293930528</c:v>
                </c:pt>
                <c:pt idx="1">
                  <c:v>-60.122352871455398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594-4AEE-9CD5-415F14EB0073}"/>
            </c:ext>
          </c:extLst>
        </c:ser>
        <c:ser>
          <c:idx val="4"/>
          <c:order val="4"/>
          <c:tx>
            <c:strRef>
              <c:f>SAD!$A$286:$A$286</c:f>
              <c:strCache>
                <c:ptCount val="1"/>
                <c:pt idx="0">
                  <c:v>80%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SAD!$C$286:$D$286</c:f>
              <c:numCache>
                <c:formatCode>0.0</c:formatCode>
                <c:ptCount val="2"/>
                <c:pt idx="0">
                  <c:v>-39.638643741185561</c:v>
                </c:pt>
                <c:pt idx="1">
                  <c:v>-61.899353892804278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594-4AEE-9CD5-415F14EB0073}"/>
            </c:ext>
          </c:extLst>
        </c:ser>
        <c:ser>
          <c:idx val="5"/>
          <c:order val="5"/>
          <c:tx>
            <c:strRef>
              <c:f>SAD!$A$285:$A$285</c:f>
              <c:strCache>
                <c:ptCount val="1"/>
                <c:pt idx="0">
                  <c:v>50%</c:v>
                </c:pt>
              </c:strCache>
            </c:strRef>
          </c:tx>
          <c:spPr>
            <a:ln w="6345" cap="rnd">
              <a:solidFill>
                <a:srgbClr val="000000"/>
              </a:solidFill>
              <a:prstDash val="dashDot"/>
              <a:round/>
            </a:ln>
          </c:spPr>
          <c:marker>
            <c:symbol val="none"/>
          </c:marker>
          <c:xVal>
            <c:numRef>
              <c:f>SAD!$C$275:$D$275</c:f>
              <c:numCache>
                <c:formatCode>General</c:formatCode>
                <c:ptCount val="2"/>
                <c:pt idx="0">
                  <c:v>20000</c:v>
                </c:pt>
                <c:pt idx="1">
                  <c:v>70000</c:v>
                </c:pt>
              </c:numCache>
            </c:numRef>
          </c:xVal>
          <c:yVal>
            <c:numRef>
              <c:f>SAD!$C$285:$D$285</c:f>
              <c:numCache>
                <c:formatCode>0.0</c:formatCode>
                <c:ptCount val="2"/>
                <c:pt idx="0">
                  <c:v>-41.949152110208814</c:v>
                </c:pt>
                <c:pt idx="1">
                  <c:v>-63.716258992573366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594-4AEE-9CD5-415F14EB0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89866512"/>
        <c:axId val="1089858576"/>
      </c:scatterChart>
      <c:valAx>
        <c:axId val="1089858576"/>
        <c:scaling>
          <c:orientation val="minMax"/>
          <c:max val="-30"/>
          <c:min val="-60"/>
        </c:scaling>
        <c:delete val="0"/>
        <c:axPos val="l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t_SAC, °C   i.e.   saturation temperature</a:t>
                </a:r>
              </a:p>
            </c:rich>
          </c:tx>
          <c:layout>
            <c:manualLayout>
              <c:xMode val="edge"/>
              <c:yMode val="edge"/>
              <c:x val="1.0924810587510785E-2"/>
              <c:y val="0.30652014134683009"/>
            </c:manualLayout>
          </c:layout>
          <c:overlay val="0"/>
          <c:spPr>
            <a:noFill/>
            <a:ln>
              <a:noFill/>
            </a:ln>
          </c:spPr>
        </c:title>
        <c:numFmt formatCode="0" sourceLinked="0"/>
        <c:majorTickMark val="none"/>
        <c:minorTickMark val="none"/>
        <c:tickLblPos val="low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66512"/>
        <c:crosses val="autoZero"/>
        <c:crossBetween val="midCat"/>
        <c:majorUnit val="2"/>
      </c:valAx>
      <c:valAx>
        <c:axId val="1089866512"/>
        <c:scaling>
          <c:orientation val="minMax"/>
          <c:max val="70000"/>
          <c:min val="20000"/>
        </c:scaling>
        <c:delete val="0"/>
        <c:axPos val="b"/>
        <c:majorGridlines>
          <c:spPr>
            <a:ln w="9528" cap="flat">
              <a:solidFill>
                <a:srgbClr val="D9D9D9"/>
              </a:solidFill>
              <a:prstDash val="solid"/>
              <a:round/>
            </a:ln>
          </c:spPr>
        </c:majorGridlines>
        <c:title>
          <c:tx>
            <c:rich>
              <a:bodyPr lIns="0" tIns="0" rIns="0" bIns="0"/>
              <a:lstStyle/>
              <a:p>
                <a:pPr marL="0" marR="0" indent="0" algn="ctr" defTabSz="914400" fontAlgn="auto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tabLst/>
                  <a:defRPr sz="1000" b="1" i="0" u="none" strike="noStrike" kern="1200" baseline="0">
                    <a:solidFill>
                      <a:schemeClr val="tx1"/>
                    </a:solidFill>
                    <a:latin typeface="Calibri"/>
                  </a:defRPr>
                </a:pPr>
                <a:r>
                  <a:rPr lang="de-DE" sz="1000" b="1" i="0" u="none" strike="noStrike" kern="1200" cap="none" spc="0" baseline="0">
                    <a:solidFill>
                      <a:schemeClr val="tx1"/>
                    </a:solidFill>
                    <a:uFillTx/>
                    <a:latin typeface="Calibri"/>
                  </a:rPr>
                  <a:t>H_SAC, ft   i.e.   saturation altitude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8" cap="flat">
            <a:solidFill>
              <a:srgbClr val="BFBFBF"/>
            </a:solidFill>
            <a:prstDash val="solid"/>
            <a:round/>
          </a:ln>
        </c:spPr>
        <c:txPr>
          <a:bodyPr lIns="0" tIns="0" rIns="0" bIns="0"/>
          <a:lstStyle/>
          <a:p>
            <a:pPr marL="0" marR="0" indent="0" defTabSz="91440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tabLst/>
              <a:defRPr sz="900" b="0" i="0" u="none" strike="noStrike" kern="1200" baseline="0">
                <a:solidFill>
                  <a:schemeClr val="tx1"/>
                </a:solidFill>
                <a:latin typeface="Calibri"/>
              </a:defRPr>
            </a:pPr>
            <a:endParaRPr lang="de-DE"/>
          </a:p>
        </c:txPr>
        <c:crossAx val="1089858576"/>
        <c:crossesAt val="-100"/>
        <c:crossBetween val="midCat"/>
      </c:valAx>
      <c:spPr>
        <a:noFill/>
        <a:ln>
          <a:noFill/>
        </a:ln>
      </c:spPr>
    </c:plotArea>
    <c:legend>
      <c:legendPos val="r"/>
      <c:overlay val="0"/>
      <c:spPr>
        <a:noFill/>
        <a:ln>
          <a:noFill/>
        </a:ln>
      </c:spPr>
      <c:txPr>
        <a:bodyPr lIns="0" tIns="0" rIns="0" bIns="0"/>
        <a:lstStyle/>
        <a:p>
          <a:pPr marL="0" marR="0" indent="0" defTabSz="91440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tabLst/>
            <a:defRPr sz="900" b="0" i="0" u="none" strike="noStrike" kern="1200" baseline="0">
              <a:solidFill>
                <a:srgbClr val="595959"/>
              </a:solidFill>
              <a:latin typeface="Calibri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8" cap="flat">
      <a:solidFill>
        <a:srgbClr val="D9D9D9"/>
      </a:solidFill>
      <a:prstDash val="solid"/>
      <a:round/>
    </a:ln>
  </c:spPr>
  <c:txPr>
    <a:bodyPr lIns="0" tIns="0" rIns="0" bIns="0"/>
    <a:lstStyle/>
    <a:p>
      <a:pPr marL="0" marR="0" indent="0" defTabSz="914400" fontAlgn="auto" hangingPunct="1">
        <a:lnSpc>
          <a:spcPct val="100000"/>
        </a:lnSpc>
        <a:spcBef>
          <a:spcPts val="0"/>
        </a:spcBef>
        <a:spcAft>
          <a:spcPts val="0"/>
        </a:spcAft>
        <a:tabLst/>
        <a:defRPr lang="de-DE" sz="1000" b="0" i="0" u="none" strike="noStrike" kern="1200" baseline="0">
          <a:solidFill>
            <a:srgbClr val="000000"/>
          </a:solidFill>
          <a:latin typeface="Calibri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image" Target="../media/image3.png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3.xml"/><Relationship Id="rId5" Type="http://schemas.openxmlformats.org/officeDocument/2006/relationships/chart" Target="../charts/chart2.xml"/><Relationship Id="rId4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chart" Target="../charts/chart7.xml"/><Relationship Id="rId7" Type="http://schemas.openxmlformats.org/officeDocument/2006/relationships/chart" Target="../charts/chart10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image" Target="../media/image5.png"/><Relationship Id="rId5" Type="http://schemas.openxmlformats.org/officeDocument/2006/relationships/chart" Target="../charts/chart9.xml"/><Relationship Id="rId4" Type="http://schemas.openxmlformats.org/officeDocument/2006/relationships/chart" Target="../charts/chart8.xml"/><Relationship Id="rId9" Type="http://schemas.openxmlformats.org/officeDocument/2006/relationships/chart" Target="../charts/chart1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gif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9528</xdr:colOff>
      <xdr:row>3</xdr:row>
      <xdr:rowOff>28575</xdr:rowOff>
    </xdr:from>
    <xdr:ext cx="3357667" cy="561907"/>
    <xdr:pic>
      <xdr:nvPicPr>
        <xdr:cNvPr id="2" name="Grafik 1">
          <a:extLst>
            <a:ext uri="{FF2B5EF4-FFF2-40B4-BE49-F238E27FC236}">
              <a16:creationId xmlns:a16="http://schemas.microsoft.com/office/drawing/2014/main" id="{645195B4-44F5-63C1-CEC5-E50F268E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3" y="676275"/>
          <a:ext cx="3357667" cy="56190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533396</xdr:colOff>
      <xdr:row>3</xdr:row>
      <xdr:rowOff>60798</xdr:rowOff>
    </xdr:from>
    <xdr:ext cx="2105021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𝑤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𝑤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3" name="Textfeld 2">
              <a:extLst>
                <a:ext uri="{FF2B5EF4-FFF2-40B4-BE49-F238E27FC236}">
                  <a16:creationId xmlns:a16="http://schemas.microsoft.com/office/drawing/2014/main" id="{FD6FED0D-2359-10AA-AD4D-B45054F1D11B}"/>
                </a:ext>
              </a:extLst>
            </xdr:cNvPr>
            <xdr:cNvSpPr txBox="1"/>
          </xdr:nvSpPr>
          <xdr:spPr>
            <a:xfrm>
              <a:off x="6924671" y="708498"/>
              <a:ext cx="2105021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𝑤+𝑡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28575</xdr:colOff>
      <xdr:row>31</xdr:row>
      <xdr:rowOff>142875</xdr:rowOff>
    </xdr:from>
    <xdr:ext cx="1586173" cy="760012"/>
    <xdr:pic>
      <xdr:nvPicPr>
        <xdr:cNvPr id="7" name="Grafik 3">
          <a:extLst>
            <a:ext uri="{FF2B5EF4-FFF2-40B4-BE49-F238E27FC236}">
              <a16:creationId xmlns:a16="http://schemas.microsoft.com/office/drawing/2014/main" id="{3A4CA161-A1D9-5437-F23F-6E8EB6E4B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19450" y="6124575"/>
          <a:ext cx="1586173" cy="76001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8</xdr:col>
      <xdr:colOff>609603</xdr:colOff>
      <xdr:row>6</xdr:row>
      <xdr:rowOff>60798</xdr:rowOff>
    </xdr:from>
    <xdr:ext cx="1838328" cy="501173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7000878" y="1279998"/>
              <a:ext cx="1838328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de-DE" i="0">
                        <a:latin typeface="Cambria Math" panose="02040503050406030204" pitchFamily="18" charset="0"/>
                      </a:rPr>
                      <m:t>(</m:t>
                    </m:r>
                    <m:r>
                      <a:rPr lang="de-DE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de-DE" i="0">
                        <a:latin typeface="Cambria Math" panose="02040503050406030204" pitchFamily="18" charset="0"/>
                      </a:rPr>
                      <m:t>)=</m:t>
                    </m:r>
                    <m:sSub>
                      <m:sSub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𝑎</m:t>
                        </m:r>
                      </m:e>
                      <m:sub>
                        <m:r>
                          <a:rPr lang="de-DE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sSup>
                      <m:sSupPr>
                        <m:ctrlPr>
                          <a:rPr lang="de-DE" i="1">
                            <a:solidFill>
                              <a:srgbClr val="836967"/>
                            </a:solidFill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i="1">
                            <a:latin typeface="Cambria Math" panose="02040503050406030204" pitchFamily="18" charset="0"/>
                          </a:rPr>
                          <m:t>𝑒</m:t>
                        </m:r>
                      </m:e>
                      <m:sup>
                        <m:f>
                          <m:fPr>
                            <m:ctrlPr>
                              <a:rPr lang="de-DE" i="1">
                                <a:solidFill>
                                  <a:srgbClr val="836967"/>
                                </a:solidFill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𝑏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sSub>
                              <m:sSubPr>
                                <m:ctrlPr>
                                  <a:rPr lang="de-DE" i="1">
                                    <a:solidFill>
                                      <a:srgbClr val="836967"/>
                                    </a:solidFill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𝑐</m:t>
                                </m:r>
                              </m:e>
                              <m:sub>
                                <m:r>
                                  <a:rPr lang="de-DE" i="1">
                                    <a:latin typeface="Cambria Math" panose="02040503050406030204" pitchFamily="18" charset="0"/>
                                  </a:rPr>
                                  <m:t>𝑖</m:t>
                                </m:r>
                              </m:sub>
                            </m:sSub>
                            <m:r>
                              <a:rPr lang="de-DE" i="0">
                                <a:latin typeface="Cambria Math" panose="02040503050406030204" pitchFamily="18" charset="0"/>
                              </a:rPr>
                              <m:t>+</m:t>
                            </m:r>
                            <m:r>
                              <a:rPr lang="de-DE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den>
                        </m:f>
                      </m:sup>
                    </m:sSup>
                  </m:oMath>
                </m:oMathPara>
              </a14:m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Choice>
      <mc:Fallback xmlns="">
        <xdr:sp macro="" textlink="">
          <xdr:nvSpPr>
            <xdr:cNvPr id="5" name="Textfeld 4">
              <a:extLst>
                <a:ext uri="{FF2B5EF4-FFF2-40B4-BE49-F238E27FC236}">
                  <a16:creationId xmlns:a16="http://schemas.microsoft.com/office/drawing/2014/main" id="{7219149B-4DCF-561D-76C2-AD23838C5ABD}"/>
                </a:ext>
              </a:extLst>
            </xdr:cNvPr>
            <xdr:cNvSpPr txBox="1"/>
          </xdr:nvSpPr>
          <xdr:spPr>
            <a:xfrm>
              <a:off x="7000878" y="1279998"/>
              <a:ext cx="1838328" cy="501173"/>
            </a:xfrm>
            <a:prstGeom prst="rect">
              <a:avLst/>
            </a:prstGeom>
            <a:noFill/>
            <a:ln cap="flat">
              <a:noFill/>
            </a:ln>
          </xdr:spPr>
          <xdr:txBody>
            <a:bodyPr vert="horz" wrap="square" lIns="0" tIns="0" rIns="0" bIns="0" anchor="t" anchorCtr="0" compatLnSpc="0">
              <a:noAutofit/>
            </a:bodyPr>
            <a:lstStyle/>
            <a:p>
              <a:pPr marL="0" marR="0" lvl="0" indent="0" defTabSz="914400" rtl="0" fontAlgn="auto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None/>
                <a:tabLst/>
                <a:defRPr sz="1800" b="0" i="0" u="none" strike="noStrike" kern="0" cap="none" spc="0" baseline="0">
                  <a:solidFill>
                    <a:srgbClr val="000000"/>
                  </a:solidFill>
                  <a:uFillTx/>
                </a:defRPr>
              </a:pPr>
              <a:r>
                <a:rPr lang="de-DE" i="0">
                  <a:latin typeface="Cambria Math" panose="02040503050406030204" pitchFamily="18" charset="0"/>
                </a:rPr>
                <a:t>𝐸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(𝑡)=𝑎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 </a:t>
              </a:r>
              <a:r>
                <a:rPr lang="de-DE" i="0">
                  <a:latin typeface="Cambria Math" panose="02040503050406030204" pitchFamily="18" charset="0"/>
                </a:rPr>
                <a:t>𝑒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^((</a:t>
              </a:r>
              <a:r>
                <a:rPr lang="de-DE" i="0">
                  <a:latin typeface="Cambria Math" panose="02040503050406030204" pitchFamily="18" charset="0"/>
                </a:rPr>
                <a:t>𝑏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 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)/(</a:t>
              </a:r>
              <a:r>
                <a:rPr lang="de-DE" i="0">
                  <a:latin typeface="Cambria Math" panose="02040503050406030204" pitchFamily="18" charset="0"/>
                </a:rPr>
                <a:t>𝑐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_</a:t>
              </a:r>
              <a:r>
                <a:rPr lang="de-DE" i="0">
                  <a:latin typeface="Cambria Math" panose="02040503050406030204" pitchFamily="18" charset="0"/>
                </a:rPr>
                <a:t>𝑖+𝑡</a:t>
              </a:r>
              <a:r>
                <a:rPr lang="de-DE" i="0">
                  <a:solidFill>
                    <a:srgbClr val="836967"/>
                  </a:solidFill>
                  <a:latin typeface="Cambria Math" panose="02040503050406030204" pitchFamily="18" charset="0"/>
                </a:rPr>
                <a:t>))</a:t>
              </a:r>
              <a:endParaRPr lang="de-DE" sz="1800" b="0" i="0" u="none" strike="noStrike" kern="0" cap="none" spc="0" baseline="0">
                <a:solidFill>
                  <a:srgbClr val="000000"/>
                </a:solidFill>
                <a:uFillTx/>
                <a:latin typeface="Calibri"/>
              </a:endParaRPr>
            </a:p>
          </xdr:txBody>
        </xdr:sp>
      </mc:Fallback>
    </mc:AlternateContent>
    <xdr:clientData/>
  </xdr:oneCellAnchor>
  <xdr:oneCellAnchor>
    <xdr:from>
      <xdr:col>4</xdr:col>
      <xdr:colOff>19046</xdr:colOff>
      <xdr:row>6</xdr:row>
      <xdr:rowOff>76196</xdr:rowOff>
    </xdr:from>
    <xdr:ext cx="3348569" cy="523814"/>
    <xdr:pic>
      <xdr:nvPicPr>
        <xdr:cNvPr id="4" name="Grafik 5">
          <a:extLst>
            <a:ext uri="{FF2B5EF4-FFF2-40B4-BE49-F238E27FC236}">
              <a16:creationId xmlns:a16="http://schemas.microsoft.com/office/drawing/2014/main" id="{F57F6FB8-C9FF-9D4D-7FAA-1DD7D7EFD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9921" y="1295396"/>
          <a:ext cx="3348569" cy="52381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228600</xdr:colOff>
      <xdr:row>41</xdr:row>
      <xdr:rowOff>180978</xdr:rowOff>
    </xdr:from>
    <xdr:ext cx="6819896" cy="3910010"/>
    <xdr:graphicFrame macro="">
      <xdr:nvGraphicFramePr>
        <xdr:cNvPr id="8" name="Diagramm 6">
          <a:extLst>
            <a:ext uri="{FF2B5EF4-FFF2-40B4-BE49-F238E27FC236}">
              <a16:creationId xmlns:a16="http://schemas.microsoft.com/office/drawing/2014/main" id="{7C4094A6-730B-2556-BCFD-004D54F6BE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228600</xdr:colOff>
      <xdr:row>63</xdr:row>
      <xdr:rowOff>142878</xdr:rowOff>
    </xdr:from>
    <xdr:ext cx="6819896" cy="3910010"/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C29760E0-B48A-DC7C-3027-36C9D056C7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229125</xdr:colOff>
      <xdr:row>85</xdr:row>
      <xdr:rowOff>112182</xdr:rowOff>
    </xdr:from>
    <xdr:ext cx="6828900" cy="3928006"/>
    <xdr:graphicFrame macro="">
      <xdr:nvGraphicFramePr>
        <xdr:cNvPr id="10" name="Diagramm 9">
          <a:extLst>
            <a:ext uri="{FF2B5EF4-FFF2-40B4-BE49-F238E27FC236}">
              <a16:creationId xmlns:a16="http://schemas.microsoft.com/office/drawing/2014/main" id="{593E8BA0-92B4-EE1F-13D6-ED888B66DF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14</xdr:col>
      <xdr:colOff>733421</xdr:colOff>
      <xdr:row>6</xdr:row>
      <xdr:rowOff>123828</xdr:rowOff>
    </xdr:from>
    <xdr:ext cx="5372849" cy="4191582"/>
    <xdr:pic>
      <xdr:nvPicPr>
        <xdr:cNvPr id="6" name="Grafik 13">
          <a:extLst>
            <a:ext uri="{FF2B5EF4-FFF2-40B4-BE49-F238E27FC236}">
              <a16:creationId xmlns:a16="http://schemas.microsoft.com/office/drawing/2014/main" id="{4A4E9E70-DE90-F072-3F03-930F311C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96696" y="1343028"/>
          <a:ext cx="5372849" cy="419158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>
    <xdr:from>
      <xdr:col>5</xdr:col>
      <xdr:colOff>276224</xdr:colOff>
      <xdr:row>120</xdr:row>
      <xdr:rowOff>142873</xdr:rowOff>
    </xdr:from>
    <xdr:to>
      <xdr:col>15</xdr:col>
      <xdr:colOff>38100</xdr:colOff>
      <xdr:row>141</xdr:row>
      <xdr:rowOff>57150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FDAB33C4-2E4B-4D99-F053-707512AD6B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385757</xdr:colOff>
      <xdr:row>235</xdr:row>
      <xdr:rowOff>42867</xdr:rowOff>
    </xdr:from>
    <xdr:ext cx="7453310" cy="5910260"/>
    <xdr:graphicFrame macro="">
      <xdr:nvGraphicFramePr>
        <xdr:cNvPr id="5" name="Diagramm 6">
          <a:extLst>
            <a:ext uri="{FF2B5EF4-FFF2-40B4-BE49-F238E27FC236}">
              <a16:creationId xmlns:a16="http://schemas.microsoft.com/office/drawing/2014/main" id="{DD3E3177-70BB-E594-04A8-EBE6E0FA64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8</xdr:col>
      <xdr:colOff>657225</xdr:colOff>
      <xdr:row>145</xdr:row>
      <xdr:rowOff>109535</xdr:rowOff>
    </xdr:from>
    <xdr:ext cx="5934071" cy="3500442"/>
    <xdr:graphicFrame macro="">
      <xdr:nvGraphicFramePr>
        <xdr:cNvPr id="2" name="Diagramm 7">
          <a:extLst>
            <a:ext uri="{FF2B5EF4-FFF2-40B4-BE49-F238E27FC236}">
              <a16:creationId xmlns:a16="http://schemas.microsoft.com/office/drawing/2014/main" id="{AF539E70-0597-9C41-3C62-5F2A697A8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5</xdr:col>
      <xdr:colOff>228596</xdr:colOff>
      <xdr:row>179</xdr:row>
      <xdr:rowOff>3</xdr:rowOff>
    </xdr:from>
    <xdr:ext cx="5524503" cy="2743200"/>
    <xdr:graphicFrame macro="">
      <xdr:nvGraphicFramePr>
        <xdr:cNvPr id="3" name="Diagramm 9">
          <a:extLst>
            <a:ext uri="{FF2B5EF4-FFF2-40B4-BE49-F238E27FC236}">
              <a16:creationId xmlns:a16="http://schemas.microsoft.com/office/drawing/2014/main" id="{D8C11B6E-5280-F621-0FF5-12F1A4AEDA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6</xdr:col>
      <xdr:colOff>304796</xdr:colOff>
      <xdr:row>206</xdr:row>
      <xdr:rowOff>128592</xdr:rowOff>
    </xdr:from>
    <xdr:ext cx="6076946" cy="2471742"/>
    <xdr:graphicFrame macro="">
      <xdr:nvGraphicFramePr>
        <xdr:cNvPr id="4" name="Diagramm 10">
          <a:extLst>
            <a:ext uri="{FF2B5EF4-FFF2-40B4-BE49-F238E27FC236}">
              <a16:creationId xmlns:a16="http://schemas.microsoft.com/office/drawing/2014/main" id="{C62ECFE1-3136-A90C-DADB-ACDE3787F2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5</xdr:col>
      <xdr:colOff>381003</xdr:colOff>
      <xdr:row>268</xdr:row>
      <xdr:rowOff>161921</xdr:rowOff>
    </xdr:from>
    <xdr:ext cx="7453310" cy="6938960"/>
    <xdr:graphicFrame macro="">
      <xdr:nvGraphicFramePr>
        <xdr:cNvPr id="6" name="Diagramm 11">
          <a:extLst>
            <a:ext uri="{FF2B5EF4-FFF2-40B4-BE49-F238E27FC236}">
              <a16:creationId xmlns:a16="http://schemas.microsoft.com/office/drawing/2014/main" id="{6BDA01AA-5459-8A9D-DBE8-FAE48D0DDD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18</xdr:col>
      <xdr:colOff>171450</xdr:colOff>
      <xdr:row>145</xdr:row>
      <xdr:rowOff>76200</xdr:rowOff>
    </xdr:from>
    <xdr:to>
      <xdr:col>25</xdr:col>
      <xdr:colOff>181721</xdr:colOff>
      <xdr:row>167</xdr:row>
      <xdr:rowOff>105364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1890F0A-89D7-F680-84B0-6AA5FE4FB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3250" y="28003500"/>
          <a:ext cx="5344271" cy="4220164"/>
        </a:xfrm>
        <a:prstGeom prst="rect">
          <a:avLst/>
        </a:prstGeom>
      </xdr:spPr>
    </xdr:pic>
    <xdr:clientData/>
  </xdr:twoCellAnchor>
  <xdr:twoCellAnchor>
    <xdr:from>
      <xdr:col>5</xdr:col>
      <xdr:colOff>390525</xdr:colOff>
      <xdr:row>306</xdr:row>
      <xdr:rowOff>171448</xdr:rowOff>
    </xdr:from>
    <xdr:to>
      <xdr:col>15</xdr:col>
      <xdr:colOff>123825</xdr:colOff>
      <xdr:row>328</xdr:row>
      <xdr:rowOff>152399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71EF9639-E4E2-81E1-1C8F-2A600AE1320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16</xdr:col>
      <xdr:colOff>0</xdr:colOff>
      <xdr:row>268</xdr:row>
      <xdr:rowOff>175232</xdr:rowOff>
    </xdr:from>
    <xdr:to>
      <xdr:col>23</xdr:col>
      <xdr:colOff>466725</xdr:colOff>
      <xdr:row>327</xdr:row>
      <xdr:rowOff>84713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6C2BA8E8-6B13-816C-C91E-81777D122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25425" y="52610357"/>
          <a:ext cx="5800725" cy="11387106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224</xdr:row>
      <xdr:rowOff>0</xdr:rowOff>
    </xdr:from>
    <xdr:ext cx="7453310" cy="3590925"/>
    <xdr:graphicFrame macro="">
      <xdr:nvGraphicFramePr>
        <xdr:cNvPr id="13" name="Diagramm 6">
          <a:extLst>
            <a:ext uri="{FF2B5EF4-FFF2-40B4-BE49-F238E27FC236}">
              <a16:creationId xmlns:a16="http://schemas.microsoft.com/office/drawing/2014/main" id="{3269969A-E164-4ED2-AF48-03CA270BA8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4</xdr:row>
      <xdr:rowOff>152399</xdr:rowOff>
    </xdr:from>
    <xdr:to>
      <xdr:col>10</xdr:col>
      <xdr:colOff>9524</xdr:colOff>
      <xdr:row>30</xdr:row>
      <xdr:rowOff>140354</xdr:rowOff>
    </xdr:to>
    <xdr:pic>
      <xdr:nvPicPr>
        <xdr:cNvPr id="2" name="Grafik 1" descr="Fig. 8.">
          <a:extLst>
            <a:ext uri="{FF2B5EF4-FFF2-40B4-BE49-F238E27FC236}">
              <a16:creationId xmlns:a16="http://schemas.microsoft.com/office/drawing/2014/main" id="{1943E88A-998D-93C8-34A2-0F049C21D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371599"/>
          <a:ext cx="7610475" cy="4940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39</xdr:row>
      <xdr:rowOff>9525</xdr:rowOff>
    </xdr:from>
    <xdr:to>
      <xdr:col>11</xdr:col>
      <xdr:colOff>494193</xdr:colOff>
      <xdr:row>90</xdr:row>
      <xdr:rowOff>46406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8E056DD9-4E7C-4D52-8CB9-4FDD5533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7134225"/>
          <a:ext cx="8857143" cy="9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12</xdr:col>
      <xdr:colOff>609600</xdr:colOff>
      <xdr:row>133</xdr:row>
      <xdr:rowOff>161925</xdr:rowOff>
    </xdr:to>
    <xdr:pic>
      <xdr:nvPicPr>
        <xdr:cNvPr id="4" name="Grafik 3" descr="Fig. 2.">
          <a:extLst>
            <a:ext uri="{FF2B5EF4-FFF2-40B4-BE49-F238E27FC236}">
              <a16:creationId xmlns:a16="http://schemas.microsoft.com/office/drawing/2014/main" id="{5BF93327-8F8E-A117-30DA-0DBF73C1A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983200"/>
          <a:ext cx="9753600" cy="7210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139</xdr:row>
      <xdr:rowOff>19050</xdr:rowOff>
    </xdr:from>
    <xdr:to>
      <xdr:col>10</xdr:col>
      <xdr:colOff>294288</xdr:colOff>
      <xdr:row>190</xdr:row>
      <xdr:rowOff>55931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DD33C638-441F-8CEB-6523-F45EB0C8D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" y="26574750"/>
          <a:ext cx="7895238" cy="97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Vapour_pressure_of_water" TargetMode="External"/><Relationship Id="rId2" Type="http://schemas.openxmlformats.org/officeDocument/2006/relationships/hyperlink" Target="https://de.wikipedia.org/wiki/S&#228;ttigungsdampfdruck" TargetMode="External"/><Relationship Id="rId1" Type="http://schemas.openxmlformats.org/officeDocument/2006/relationships/hyperlink" Target="https://purl.org/aero/SAC" TargetMode="External"/><Relationship Id="rId6" Type="http://schemas.openxmlformats.org/officeDocument/2006/relationships/drawing" Target="../drawings/drawing1.xml"/><Relationship Id="rId5" Type="http://schemas.openxmlformats.org/officeDocument/2006/relationships/hyperlink" Target="https://doi.org/10.2174/1874282300802010001" TargetMode="External"/><Relationship Id="rId4" Type="http://schemas.openxmlformats.org/officeDocument/2006/relationships/hyperlink" Target="https://doi.org/10.2174/1874282300802010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perma.cc/42TC-K7EF" TargetMode="External"/><Relationship Id="rId2" Type="http://schemas.openxmlformats.org/officeDocument/2006/relationships/hyperlink" Target="http://www-das.uwyo.edu/~geerts/cwx/notes/chap01/tropo.html" TargetMode="External"/><Relationship Id="rId1" Type="http://schemas.openxmlformats.org/officeDocument/2006/relationships/hyperlink" Target="https://doi.org/10.1175/1520-0493(1999)127%3C2248:THAWAT%3E2.0.CO;2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doi.org/10.1175/JAS-D-13-0363.1" TargetMode="External"/><Relationship Id="rId1" Type="http://schemas.openxmlformats.org/officeDocument/2006/relationships/hyperlink" Target="https://doi.org/10.1175/1520-0493(1999)127%3C2248:THAWAT%3E2.0.CO;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G207"/>
  <sheetViews>
    <sheetView tabSelected="1" workbookViewId="0">
      <selection activeCell="A3" sqref="A3"/>
    </sheetView>
  </sheetViews>
  <sheetFormatPr baseColWidth="10" defaultRowHeight="15"/>
  <cols>
    <col min="1" max="1" width="11.42578125" customWidth="1"/>
    <col min="2" max="2" width="13.5703125" bestFit="1" customWidth="1"/>
    <col min="3" max="4" width="11.42578125" customWidth="1"/>
    <col min="5" max="5" width="13.7109375" customWidth="1"/>
    <col min="6" max="6" width="11.42578125" customWidth="1"/>
  </cols>
  <sheetData>
    <row r="1" spans="1:52" ht="2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</row>
    <row r="2" spans="1:52">
      <c r="A2" s="2" t="s">
        <v>198</v>
      </c>
      <c r="B2" s="3" t="s">
        <v>1</v>
      </c>
      <c r="C2" s="65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</row>
    <row r="3" spans="1:52">
      <c r="A3" s="2"/>
      <c r="B3" s="2"/>
      <c r="C3" s="2"/>
      <c r="D3" s="2"/>
      <c r="E3" s="4" t="s">
        <v>2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</row>
    <row r="4" spans="1:52">
      <c r="A4" s="2" t="s">
        <v>3</v>
      </c>
      <c r="B4" s="2">
        <v>611.20000000000005</v>
      </c>
      <c r="C4" s="2" t="s">
        <v>4</v>
      </c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</row>
    <row r="5" spans="1:52">
      <c r="A5" s="2" t="s">
        <v>5</v>
      </c>
      <c r="B5" s="2">
        <v>17.62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</row>
    <row r="6" spans="1:52">
      <c r="A6" s="2" t="s">
        <v>6</v>
      </c>
      <c r="B6" s="2">
        <v>243.12</v>
      </c>
      <c r="C6" s="2" t="s">
        <v>7</v>
      </c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</row>
    <row r="7" spans="1:52">
      <c r="A7" s="2" t="s">
        <v>8</v>
      </c>
      <c r="B7" s="2">
        <v>611.20000000000005</v>
      </c>
      <c r="C7" s="2" t="s">
        <v>4</v>
      </c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</row>
    <row r="8" spans="1:52">
      <c r="A8" s="2" t="s">
        <v>9</v>
      </c>
      <c r="B8" s="2">
        <v>22.46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</row>
    <row r="9" spans="1:52">
      <c r="A9" s="2" t="s">
        <v>10</v>
      </c>
      <c r="B9" s="2">
        <v>272.62</v>
      </c>
      <c r="C9" s="2" t="s">
        <v>7</v>
      </c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</row>
    <row r="10" spans="1:52">
      <c r="A10" s="2"/>
      <c r="B10" s="2"/>
      <c r="C10" s="2"/>
      <c r="D10" s="2"/>
      <c r="E10" s="3" t="s">
        <v>11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</row>
    <row r="11" spans="1:52">
      <c r="A11" s="2"/>
      <c r="B11" s="2"/>
      <c r="C11" s="2"/>
      <c r="D11" s="2"/>
      <c r="E11" s="3" t="s">
        <v>12</v>
      </c>
      <c r="F11" s="2"/>
      <c r="G11" s="2"/>
      <c r="H11" s="2"/>
      <c r="I11" s="2"/>
      <c r="J11" s="2" t="s">
        <v>13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</row>
    <row r="12" spans="1:52">
      <c r="A12" s="5" t="s">
        <v>14</v>
      </c>
      <c r="B12" s="6">
        <v>-43.936149738509464</v>
      </c>
      <c r="C12" s="7" t="s">
        <v>7</v>
      </c>
      <c r="D12" s="2"/>
      <c r="E12" s="2" t="s">
        <v>15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</row>
    <row r="13" spans="1:52">
      <c r="A13" s="2" t="s">
        <v>16</v>
      </c>
      <c r="B13" s="8">
        <f>a_w*b_w*c_w*EXP(b_w*t/(c_w+t))/(c_w+t)^2</f>
        <v>1.3538092637505299</v>
      </c>
      <c r="C13" s="2" t="s">
        <v>17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</row>
    <row r="14" spans="1:52">
      <c r="A14" s="9" t="s">
        <v>18</v>
      </c>
      <c r="B14" s="9">
        <f>E_w_strich-G</f>
        <v>-1.895057233358699E-7</v>
      </c>
      <c r="C14" s="9" t="s">
        <v>17</v>
      </c>
      <c r="D14" s="2"/>
      <c r="E14" s="10" t="s">
        <v>19</v>
      </c>
      <c r="F14" s="9"/>
      <c r="G14" s="9"/>
      <c r="H14" s="9"/>
      <c r="I14" s="2"/>
      <c r="J14" s="69" t="s">
        <v>20</v>
      </c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</row>
    <row r="15" spans="1:52">
      <c r="A15" s="2" t="s">
        <v>21</v>
      </c>
      <c r="B15" s="11">
        <f>a_w*EXP(b_w*t/(c_w+t))</f>
        <v>12.538313850576902</v>
      </c>
      <c r="C15" s="2" t="s">
        <v>4</v>
      </c>
      <c r="D15" s="2"/>
      <c r="E15" s="2"/>
      <c r="F15" s="2"/>
      <c r="G15" s="2"/>
      <c r="H15" s="2"/>
      <c r="I15" s="2"/>
      <c r="J15" s="69" t="s">
        <v>22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</row>
    <row r="16" spans="1:52">
      <c r="A16" s="2" t="s">
        <v>23</v>
      </c>
      <c r="B16" s="11">
        <f>a_i*EXP(b_i*t/(c_i+t))</f>
        <v>8.1683808789550287</v>
      </c>
      <c r="C16" s="2" t="s">
        <v>4</v>
      </c>
      <c r="D16" s="2"/>
      <c r="E16" s="2"/>
      <c r="F16" s="2"/>
      <c r="G16" s="2"/>
      <c r="H16" s="2"/>
      <c r="I16" s="2"/>
      <c r="J16" s="69" t="s">
        <v>24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</row>
    <row r="17" spans="1:5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</row>
    <row r="18" spans="1:52">
      <c r="A18" s="2" t="s">
        <v>25</v>
      </c>
      <c r="B18" s="12">
        <v>1.9811999999999998E-3</v>
      </c>
      <c r="C18" s="2" t="s">
        <v>26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</row>
    <row r="19" spans="1:52">
      <c r="A19" s="2" t="s">
        <v>27</v>
      </c>
      <c r="B19" s="13">
        <v>15</v>
      </c>
      <c r="C19" s="2" t="s">
        <v>7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</row>
    <row r="20" spans="1:52">
      <c r="A20" s="2" t="s">
        <v>28</v>
      </c>
      <c r="B20" s="12">
        <v>6.8755999999999999E-6</v>
      </c>
      <c r="C20" s="2" t="s">
        <v>29</v>
      </c>
      <c r="D20" s="2"/>
      <c r="E20" s="2" t="s">
        <v>30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</row>
    <row r="21" spans="1:52">
      <c r="A21" s="2" t="s">
        <v>31</v>
      </c>
      <c r="B21" s="12">
        <v>4.8063399999999998E-5</v>
      </c>
      <c r="C21" s="2" t="s">
        <v>29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</row>
    <row r="22" spans="1:52">
      <c r="A22" s="2" t="s">
        <v>32</v>
      </c>
      <c r="B22" s="2">
        <v>5.2558800000000003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</row>
    <row r="23" spans="1:52">
      <c r="A23" s="2" t="s">
        <v>33</v>
      </c>
      <c r="B23" s="2">
        <v>36089</v>
      </c>
      <c r="C23" s="2" t="s">
        <v>34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</row>
    <row r="24" spans="1:52">
      <c r="A24" s="2" t="s">
        <v>35</v>
      </c>
      <c r="B24" s="2">
        <v>101315</v>
      </c>
      <c r="C24" s="2" t="s">
        <v>4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</row>
    <row r="25" spans="1:52">
      <c r="A25" s="2" t="s">
        <v>36</v>
      </c>
      <c r="B25" s="2">
        <v>22632</v>
      </c>
      <c r="C25" s="2" t="s">
        <v>4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</row>
    <row r="26" spans="1:5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</row>
    <row r="27" spans="1:52">
      <c r="A27" s="5" t="s">
        <v>37</v>
      </c>
      <c r="B27" s="14">
        <v>40000</v>
      </c>
      <c r="C27" s="7" t="s">
        <v>34</v>
      </c>
      <c r="D27" s="2"/>
      <c r="E27" s="4" t="s">
        <v>38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</row>
    <row r="28" spans="1:5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</row>
    <row r="29" spans="1:52">
      <c r="A29" s="5" t="s">
        <v>39</v>
      </c>
      <c r="B29" s="15">
        <f>IF(H&lt;H_T,p_0*(1-k_a*H)^k_exp,p_T*EXP(-k_b*(H-H_T)))</f>
        <v>18753.658935390147</v>
      </c>
      <c r="C29" s="7" t="s">
        <v>4</v>
      </c>
      <c r="D29" s="2"/>
      <c r="E29" s="2" t="s">
        <v>40</v>
      </c>
      <c r="F29" s="2"/>
      <c r="G29" s="2"/>
      <c r="H29" s="2"/>
      <c r="I29" s="2"/>
      <c r="J29" s="2" t="s">
        <v>41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</row>
    <row r="30" spans="1:5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</row>
    <row r="31" spans="1:52">
      <c r="A31" s="2" t="s">
        <v>42</v>
      </c>
      <c r="B31" s="2">
        <v>1.25</v>
      </c>
      <c r="C31" s="2"/>
      <c r="D31" s="2"/>
      <c r="E31" s="4" t="s">
        <v>43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</row>
    <row r="32" spans="1:52">
      <c r="A32" s="2" t="s">
        <v>44</v>
      </c>
      <c r="B32" s="2">
        <v>1004</v>
      </c>
      <c r="C32" s="2" t="s">
        <v>45</v>
      </c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</row>
    <row r="33" spans="1:52">
      <c r="A33" s="2" t="s">
        <v>46</v>
      </c>
      <c r="B33" s="2">
        <v>0.622</v>
      </c>
      <c r="C33" s="2"/>
      <c r="D33" s="2"/>
      <c r="E33" s="2"/>
      <c r="F33" s="2"/>
      <c r="G33" s="2"/>
      <c r="H33" s="2" t="s">
        <v>47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</row>
    <row r="34" spans="1:52">
      <c r="A34" s="2" t="s">
        <v>48</v>
      </c>
      <c r="B34" s="16">
        <v>43000000</v>
      </c>
      <c r="C34" s="2" t="s">
        <v>49</v>
      </c>
      <c r="D34" s="2"/>
      <c r="E34" s="2"/>
      <c r="F34" s="2"/>
      <c r="G34" s="2"/>
      <c r="H34" s="3" t="s">
        <v>50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</row>
    <row r="35" spans="1:52">
      <c r="A35" s="2" t="s">
        <v>51</v>
      </c>
      <c r="B35" s="2">
        <v>0.35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</row>
    <row r="36" spans="1:52">
      <c r="A36" s="2"/>
      <c r="B36" s="2"/>
      <c r="C36" s="2"/>
      <c r="D36" s="2"/>
      <c r="E36" s="2"/>
      <c r="F36" s="2"/>
      <c r="G36" s="2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</row>
    <row r="37" spans="1:52">
      <c r="A37" s="2" t="s">
        <v>52</v>
      </c>
      <c r="B37" s="8">
        <f>EI_H2O*p*c_p/(eps*Q*(1-eta))</f>
        <v>1.3538094532562532</v>
      </c>
      <c r="C37" s="2" t="s">
        <v>17</v>
      </c>
      <c r="D37" s="2"/>
      <c r="E37" s="2" t="s">
        <v>53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</row>
    <row r="38" spans="1:52">
      <c r="A38" s="2" t="s">
        <v>233</v>
      </c>
      <c r="B38" s="13">
        <f>-46+9.43*LN(G-0.053)+0.72*(LN(G-0.053))^2</f>
        <v>-43.470238510538778</v>
      </c>
      <c r="C38" s="2" t="s">
        <v>7</v>
      </c>
      <c r="D38" s="2"/>
      <c r="E38" s="69" t="s">
        <v>234</v>
      </c>
      <c r="F38" s="2"/>
      <c r="G38" s="2"/>
      <c r="H38" s="2"/>
      <c r="I38" s="2" t="s">
        <v>235</v>
      </c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</row>
    <row r="39" spans="1:52">
      <c r="A39" s="2" t="s">
        <v>54</v>
      </c>
      <c r="B39" s="13">
        <f>E_w-G*t</f>
        <v>72.01948870625327</v>
      </c>
      <c r="C39" s="2" t="s">
        <v>4</v>
      </c>
      <c r="D39" s="2"/>
      <c r="E39" s="2" t="s">
        <v>55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</row>
    <row r="40" spans="1:52">
      <c r="A40" s="2" t="s">
        <v>56</v>
      </c>
      <c r="B40" s="11">
        <f>G*t+G0</f>
        <v>12.538313850576898</v>
      </c>
      <c r="C40" s="2" t="s">
        <v>4</v>
      </c>
      <c r="D40" s="2"/>
      <c r="E40" s="2" t="s">
        <v>57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</row>
    <row r="41" spans="1:52">
      <c r="A41" s="2" t="s">
        <v>58</v>
      </c>
      <c r="B41" s="17" t="str">
        <f>IF(E_w=f_of_t,"true","false")</f>
        <v>true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</row>
    <row r="42" spans="1:5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</row>
    <row r="43" spans="1:52">
      <c r="A43" s="18" t="s">
        <v>14</v>
      </c>
      <c r="B43" s="18" t="s">
        <v>21</v>
      </c>
      <c r="C43" s="18" t="s">
        <v>23</v>
      </c>
      <c r="D43" s="18" t="s">
        <v>59</v>
      </c>
      <c r="E43" s="18" t="s">
        <v>60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</row>
    <row r="44" spans="1:52">
      <c r="A44" s="2">
        <v>-60</v>
      </c>
      <c r="B44" s="8">
        <f t="shared" ref="B44:B79" si="0">a_w*EXP(b_w*A44/(c_w+A44))</f>
        <v>1.9005832334432484</v>
      </c>
      <c r="C44" s="8">
        <f t="shared" ref="C44:C79" si="1">a_i*EXP(b_i*A44/(c_i+A44))</f>
        <v>1.0804269890819316</v>
      </c>
      <c r="D44" s="11">
        <f t="shared" ref="D44:D79" si="2">G*A44+G0</f>
        <v>-9.2090784891219215</v>
      </c>
      <c r="E44" s="19">
        <f t="shared" ref="E44:E79" si="3">C44/B44</f>
        <v>0.56847128295693938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spans="1:52">
      <c r="A45" s="2">
        <v>-59</v>
      </c>
      <c r="B45" s="8">
        <f t="shared" si="0"/>
        <v>2.1580720285136241</v>
      </c>
      <c r="C45" s="8">
        <f t="shared" si="1"/>
        <v>1.2363532460196305</v>
      </c>
      <c r="D45" s="11">
        <f t="shared" si="2"/>
        <v>-7.8552690358656747</v>
      </c>
      <c r="E45" s="19">
        <f t="shared" si="3"/>
        <v>0.57289711820748213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spans="1:52">
      <c r="A46" s="2">
        <v>-58</v>
      </c>
      <c r="B46" s="8">
        <f t="shared" si="0"/>
        <v>2.4470837568804815</v>
      </c>
      <c r="C46" s="8">
        <f t="shared" si="1"/>
        <v>1.4130064150112283</v>
      </c>
      <c r="D46" s="11">
        <f t="shared" si="2"/>
        <v>-6.5014595826094137</v>
      </c>
      <c r="E46" s="19">
        <f t="shared" si="3"/>
        <v>0.57742462269150729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spans="1:52">
      <c r="A47" s="2">
        <v>-57</v>
      </c>
      <c r="B47" s="8">
        <f t="shared" si="0"/>
        <v>2.7710553357390935</v>
      </c>
      <c r="C47" s="8">
        <f t="shared" si="1"/>
        <v>1.6129009425677314</v>
      </c>
      <c r="D47" s="11">
        <f t="shared" si="2"/>
        <v>-5.1476501293531669</v>
      </c>
      <c r="E47" s="19">
        <f t="shared" si="3"/>
        <v>0.58205295353206643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spans="1:52">
      <c r="A48" s="2">
        <v>-56</v>
      </c>
      <c r="B48" s="8">
        <f t="shared" si="0"/>
        <v>3.1337506106185335</v>
      </c>
      <c r="C48" s="8">
        <f t="shared" si="1"/>
        <v>1.8388263172150796</v>
      </c>
      <c r="D48" s="11">
        <f t="shared" si="2"/>
        <v>-3.7938406760969059</v>
      </c>
      <c r="E48" s="19">
        <f t="shared" si="3"/>
        <v>0.58678131915932386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spans="1:52">
      <c r="A49" s="2">
        <v>-55</v>
      </c>
      <c r="B49" s="8">
        <f t="shared" si="0"/>
        <v>3.5392866469854303</v>
      </c>
      <c r="C49" s="8">
        <f t="shared" si="1"/>
        <v>2.0938737503897915</v>
      </c>
      <c r="D49" s="11">
        <f t="shared" si="2"/>
        <v>-2.4400312228406591</v>
      </c>
      <c r="E49" s="19">
        <f t="shared" si="3"/>
        <v>0.59160897639450538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spans="1:52">
      <c r="A50" s="2">
        <v>-54</v>
      </c>
      <c r="B50" s="8">
        <f t="shared" si="0"/>
        <v>3.9921617145835251</v>
      </c>
      <c r="C50" s="8">
        <f t="shared" si="1"/>
        <v>2.381465097471049</v>
      </c>
      <c r="D50" s="11">
        <f t="shared" si="2"/>
        <v>-1.0862217695843981</v>
      </c>
      <c r="E50" s="19">
        <f t="shared" si="3"/>
        <v>0.59653522771170875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spans="1:52">
      <c r="A51" s="2">
        <v>-53</v>
      </c>
      <c r="B51" s="8">
        <f t="shared" si="0"/>
        <v>4.4972850420001285</v>
      </c>
      <c r="C51" s="8">
        <f t="shared" si="1"/>
        <v>2.7053841754374703</v>
      </c>
      <c r="D51" s="11">
        <f t="shared" si="2"/>
        <v>0.26758768367184871</v>
      </c>
      <c r="E51" s="19">
        <f t="shared" si="3"/>
        <v>0.60155941866523854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spans="1:52">
      <c r="A52" s="2">
        <v>-52</v>
      </c>
      <c r="B52" s="8">
        <f t="shared" si="0"/>
        <v>5.0600084205480069</v>
      </c>
      <c r="C52" s="8">
        <f t="shared" si="1"/>
        <v>3.0698106420697409</v>
      </c>
      <c r="D52" s="11">
        <f t="shared" si="2"/>
        <v>1.6213971369280955</v>
      </c>
      <c r="E52" s="19">
        <f t="shared" si="3"/>
        <v>0.60668093547110646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spans="1:52">
      <c r="A53" s="2">
        <v>-51</v>
      </c>
      <c r="B53" s="8">
        <f t="shared" si="0"/>
        <v>5.6861597380800797</v>
      </c>
      <c r="C53" s="8">
        <f t="shared" si="1"/>
        <v>3.4793566103390958</v>
      </c>
      <c r="D53" s="11">
        <f t="shared" si="2"/>
        <v>2.9752065901843565</v>
      </c>
      <c r="E53" s="19">
        <f t="shared" si="3"/>
        <v>0.61189920273219289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>
      <c r="A54" s="2">
        <v>-50</v>
      </c>
      <c r="B54" s="8">
        <f t="shared" si="0"/>
        <v>6.3820785248092848</v>
      </c>
      <c r="C54" s="8">
        <f t="shared" si="1"/>
        <v>3.9391061806264154</v>
      </c>
      <c r="D54" s="11">
        <f t="shared" si="2"/>
        <v>4.3290160434406033</v>
      </c>
      <c r="E54" s="19">
        <f t="shared" si="3"/>
        <v>0.6172136812973682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spans="1:52">
      <c r="A55" s="2">
        <v>-49</v>
      </c>
      <c r="B55" s="8">
        <f t="shared" si="0"/>
        <v>7.1546535945823591</v>
      </c>
      <c r="C55" s="8">
        <f t="shared" si="1"/>
        <v>4.4546580827070592</v>
      </c>
      <c r="D55" s="11">
        <f t="shared" si="2"/>
        <v>5.6828254966968643</v>
      </c>
      <c r="E55" s="19">
        <f t="shared" si="3"/>
        <v>0.62262386624562949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>
      <c r="A56" s="2">
        <v>-48</v>
      </c>
      <c r="B56" s="8">
        <f t="shared" si="0"/>
        <v>8.0113628663497938</v>
      </c>
      <c r="C56" s="8">
        <f t="shared" si="1"/>
        <v>5.0321716290111462</v>
      </c>
      <c r="D56" s="11">
        <f t="shared" si="2"/>
        <v>7.0366349499531111</v>
      </c>
      <c r="E56" s="19">
        <f t="shared" si="3"/>
        <v>0.62812928498693099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>
      <c r="A57" s="2">
        <v>-47</v>
      </c>
      <c r="B57" s="8">
        <f t="shared" si="0"/>
        <v>8.9603154517796142</v>
      </c>
      <c r="C57" s="8">
        <f t="shared" si="1"/>
        <v>5.6784161905267929</v>
      </c>
      <c r="D57" s="11">
        <f t="shared" si="2"/>
        <v>8.390444403209365</v>
      </c>
      <c r="E57" s="19">
        <f t="shared" si="3"/>
        <v>0.63372949547205937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>
      <c r="A58" s="2">
        <v>-46</v>
      </c>
      <c r="B58" s="8">
        <f t="shared" si="0"/>
        <v>10.010296096076241</v>
      </c>
      <c r="C58" s="8">
        <f t="shared" si="1"/>
        <v>6.4008244168518109</v>
      </c>
      <c r="D58" s="11">
        <f t="shared" si="2"/>
        <v>9.7442538564656189</v>
      </c>
      <c r="E58" s="19">
        <f t="shared" si="3"/>
        <v>0.63942408450442911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>
      <c r="A59" s="2">
        <v>-45</v>
      </c>
      <c r="B59" s="8">
        <f t="shared" si="0"/>
        <v>11.170812060082898</v>
      </c>
      <c r="C59" s="8">
        <f t="shared" si="1"/>
        <v>7.2075494323155214</v>
      </c>
      <c r="D59" s="11">
        <f t="shared" si="2"/>
        <v>11.098063309721873</v>
      </c>
      <c r="E59" s="19">
        <f t="shared" si="3"/>
        <v>0.6452126661472124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>
      <c r="A60" s="2">
        <v>-44</v>
      </c>
      <c r="B60" s="8">
        <f t="shared" si="0"/>
        <v>12.45214253266311</v>
      </c>
      <c r="C60" s="8">
        <f t="shared" si="1"/>
        <v>8.1075262507828576</v>
      </c>
      <c r="D60" s="11">
        <f t="shared" si="2"/>
        <v>12.451872762978127</v>
      </c>
      <c r="E60" s="19">
        <f t="shared" si="3"/>
        <v>0.65109488021969497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>
      <c r="A61" s="2">
        <v>-43</v>
      </c>
      <c r="B61" s="8">
        <f t="shared" si="0"/>
        <v>13.865390663169581</v>
      </c>
      <c r="C61" s="8">
        <f t="shared" si="1"/>
        <v>9.1105376627137336</v>
      </c>
      <c r="D61" s="11">
        <f t="shared" si="2"/>
        <v>13.805682216234381</v>
      </c>
      <c r="E61" s="19">
        <f t="shared" si="3"/>
        <v>0.65707039087718688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>
      <c r="A62" s="2">
        <v>-42</v>
      </c>
      <c r="B62" s="8">
        <f t="shared" si="0"/>
        <v>15.422538304514172</v>
      </c>
      <c r="C62" s="8">
        <f t="shared" si="1"/>
        <v>10.227284859277372</v>
      </c>
      <c r="D62" s="11">
        <f t="shared" si="2"/>
        <v>15.159491669490635</v>
      </c>
      <c r="E62" s="19">
        <f t="shared" si="3"/>
        <v>0.66313888526921982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>
      <c r="A63" s="2">
        <v>-41</v>
      </c>
      <c r="B63" s="8">
        <f t="shared" si="0"/>
        <v>17.136503557946799</v>
      </c>
      <c r="C63" s="8">
        <f t="shared" si="1"/>
        <v>11.469463069808405</v>
      </c>
      <c r="D63" s="11">
        <f t="shared" si="2"/>
        <v>16.513301122746888</v>
      </c>
      <c r="E63" s="19">
        <f t="shared" si="3"/>
        <v>0.66930007227113797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>
      <c r="A64" s="2">
        <v>-40</v>
      </c>
      <c r="B64" s="8">
        <f t="shared" si="0"/>
        <v>19.021201211131025</v>
      </c>
      <c r="C64" s="8">
        <f t="shared" si="1"/>
        <v>12.849842500633567</v>
      </c>
      <c r="D64" s="11">
        <f t="shared" si="2"/>
        <v>17.867110576003142</v>
      </c>
      <c r="E64" s="19">
        <f t="shared" si="3"/>
        <v>0.67555368128454274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>
      <c r="A65" s="2">
        <v>-39</v>
      </c>
      <c r="B65" s="8">
        <f t="shared" si="0"/>
        <v>21.091606161467279</v>
      </c>
      <c r="C65" s="8">
        <f t="shared" si="1"/>
        <v>14.382354875287552</v>
      </c>
      <c r="D65" s="11">
        <f t="shared" si="2"/>
        <v>19.220920029259396</v>
      </c>
      <c r="E65" s="19">
        <f t="shared" si="3"/>
        <v>0.68189946110235045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>
      <c r="A66" s="2">
        <v>-38</v>
      </c>
      <c r="B66" s="8">
        <f t="shared" si="0"/>
        <v>23.363819916857381</v>
      </c>
      <c r="C66" s="8">
        <f t="shared" si="1"/>
        <v>16.082185888367583</v>
      </c>
      <c r="D66" s="11">
        <f t="shared" si="2"/>
        <v>20.57472948251565</v>
      </c>
      <c r="E66" s="19">
        <f t="shared" si="3"/>
        <v>0.68833717883452872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>
      <c r="A67" s="2">
        <v>-37</v>
      </c>
      <c r="B67" s="8">
        <f t="shared" si="0"/>
        <v>25.85514026622538</v>
      </c>
      <c r="C67" s="8">
        <f t="shared" si="1"/>
        <v>17.965873897740696</v>
      </c>
      <c r="D67" s="11">
        <f t="shared" si="2"/>
        <v>21.928538935771897</v>
      </c>
      <c r="E67" s="19">
        <f t="shared" si="3"/>
        <v>0.69486661889084977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>
      <c r="A68" s="2">
        <v>-36</v>
      </c>
      <c r="B68" s="8">
        <f t="shared" si="0"/>
        <v>28.584134212105994</v>
      </c>
      <c r="C68" s="8">
        <f t="shared" si="1"/>
        <v>20.051415192506301</v>
      </c>
      <c r="D68" s="11">
        <f t="shared" si="2"/>
        <v>23.282348389028151</v>
      </c>
      <c r="E68" s="19">
        <f t="shared" si="3"/>
        <v>0.70148758201723305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>
      <c r="A69" s="2">
        <v>-35</v>
      </c>
      <c r="B69" s="8">
        <f t="shared" si="0"/>
        <v>31.570714257482457</v>
      </c>
      <c r="C69" s="8">
        <f t="shared" si="1"/>
        <v>22.358376187022177</v>
      </c>
      <c r="D69" s="11">
        <f t="shared" si="2"/>
        <v>24.636157842284405</v>
      </c>
      <c r="E69" s="19">
        <f t="shared" si="3"/>
        <v>0.70819988438250492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>
      <c r="A70" s="2">
        <v>-34</v>
      </c>
      <c r="B70" s="8">
        <f t="shared" si="0"/>
        <v>34.836218138797832</v>
      </c>
      <c r="C70" s="8">
        <f t="shared" si="1"/>
        <v>24.908012904412381</v>
      </c>
      <c r="D70" s="11">
        <f t="shared" si="2"/>
        <v>25.989967295540659</v>
      </c>
      <c r="E70" s="19">
        <f t="shared" si="3"/>
        <v>0.71500335671258763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>
      <c r="A71" s="2">
        <v>-33</v>
      </c>
      <c r="B71" s="8">
        <f t="shared" si="0"/>
        <v>38.403492096677262</v>
      </c>
      <c r="C71" s="8">
        <f t="shared" si="1"/>
        <v>27.723398126283897</v>
      </c>
      <c r="D71" s="11">
        <f t="shared" si="2"/>
        <v>27.343776748796913</v>
      </c>
      <c r="E71" s="19">
        <f t="shared" si="3"/>
        <v>0.72189784346935926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>
      <c r="A72" s="2">
        <v>-32</v>
      </c>
      <c r="B72" s="8">
        <f t="shared" si="0"/>
        <v>42.296977775381023</v>
      </c>
      <c r="C72" s="8">
        <f t="shared" si="1"/>
        <v>30.829556598870408</v>
      </c>
      <c r="D72" s="11">
        <f t="shared" si="2"/>
        <v>28.697586202053166</v>
      </c>
      <c r="E72" s="19">
        <f t="shared" si="3"/>
        <v>0.72888320207158552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>
      <c r="A73" s="2">
        <v>-31</v>
      </c>
      <c r="B73" s="8">
        <f t="shared" si="0"/>
        <v>46.54280284136037</v>
      </c>
      <c r="C73" s="8">
        <f t="shared" si="1"/>
        <v>34.253608699488815</v>
      </c>
      <c r="D73" s="11">
        <f t="shared" si="2"/>
        <v>30.05139565530942</v>
      </c>
      <c r="E73" s="19">
        <f t="shared" si="3"/>
        <v>0.73595930215550465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>
      <c r="A74" s="2">
        <v>-30</v>
      </c>
      <c r="B74" s="8">
        <f t="shared" si="0"/>
        <v>51.168875410507653</v>
      </c>
      <c r="C74" s="8">
        <f t="shared" si="1"/>
        <v>38.024922981022137</v>
      </c>
      <c r="D74" s="11">
        <f t="shared" si="2"/>
        <v>31.405205108565674</v>
      </c>
      <c r="E74" s="19">
        <f t="shared" si="3"/>
        <v>0.74312602487280044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>
      <c r="A75" s="2">
        <v>-29</v>
      </c>
      <c r="B75" s="8">
        <f t="shared" si="0"/>
        <v>56.204982372779831</v>
      </c>
      <c r="C75" s="8">
        <f t="shared" si="1"/>
        <v>42.17527802612117</v>
      </c>
      <c r="D75" s="11">
        <f t="shared" si="2"/>
        <v>32.759014561821928</v>
      </c>
      <c r="E75" s="19">
        <f t="shared" si="3"/>
        <v>0.75038326222386165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>
      <c r="A76" s="2">
        <v>-28</v>
      </c>
      <c r="B76" s="8">
        <f t="shared" si="0"/>
        <v>61.682891701831217</v>
      </c>
      <c r="C76" s="8">
        <f t="shared" si="1"/>
        <v>46.739034056930642</v>
      </c>
      <c r="D76" s="11">
        <f t="shared" si="2"/>
        <v>34.112824015078182</v>
      </c>
      <c r="E76" s="19">
        <f t="shared" si="3"/>
        <v>0.75773091642431989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>
      <c r="A77" s="2">
        <v>-27</v>
      </c>
      <c r="B77" s="8">
        <f t="shared" si="0"/>
        <v>67.63645883611386</v>
      </c>
      <c r="C77" s="8">
        <f t="shared" si="1"/>
        <v>51.753314760384683</v>
      </c>
      <c r="D77" s="11">
        <f t="shared" si="2"/>
        <v>35.466633468334436</v>
      </c>
      <c r="E77" s="19">
        <f t="shared" si="3"/>
        <v>0.76516889930304099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>
      <c r="A78" s="2">
        <v>-26</v>
      </c>
      <c r="B78" s="8">
        <f t="shared" si="0"/>
        <v>74.101737216597968</v>
      </c>
      <c r="C78" s="8">
        <f t="shared" si="1"/>
        <v>57.258199803461935</v>
      </c>
      <c r="D78" s="11">
        <f t="shared" si="2"/>
        <v>36.820442921590683</v>
      </c>
      <c r="E78" s="19">
        <f t="shared" si="3"/>
        <v>0.77269713172981769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>
      <c r="A79" s="2">
        <v>-25</v>
      </c>
      <c r="B79" s="8">
        <f t="shared" si="0"/>
        <v>81.117093064826406</v>
      </c>
      <c r="C79" s="8">
        <f t="shared" si="1"/>
        <v>63.296928527231493</v>
      </c>
      <c r="D79" s="11">
        <f t="shared" si="2"/>
        <v>38.174252374846937</v>
      </c>
      <c r="E79" s="19">
        <f t="shared" si="3"/>
        <v>0.78031554307113105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21">
      <c r="A86" s="1" t="s">
        <v>208</v>
      </c>
      <c r="B86" s="6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>
      <c r="A87" s="4" t="s">
        <v>232</v>
      </c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>
      <c r="A90" s="2" t="s">
        <v>230</v>
      </c>
      <c r="B90" s="84" t="s">
        <v>229</v>
      </c>
      <c r="C90" s="84"/>
      <c r="D90" s="84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>
      <c r="A92" s="2" t="s">
        <v>231</v>
      </c>
      <c r="B92" s="84" t="s">
        <v>226</v>
      </c>
      <c r="C92" s="84"/>
      <c r="D92" s="84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>
      <c r="A94" s="2"/>
      <c r="B94" s="2" t="s">
        <v>227</v>
      </c>
      <c r="C94" s="101">
        <v>6.0585999999999999E-3</v>
      </c>
      <c r="D94" s="2" t="s">
        <v>157</v>
      </c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>
      <c r="A95" s="2"/>
      <c r="B95" s="2" t="s">
        <v>228</v>
      </c>
      <c r="C95" s="60">
        <v>0.92261000000000004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9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9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9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9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9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9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9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9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</row>
    <row r="105" spans="1:59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9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</row>
    <row r="107" spans="1:59">
      <c r="A107" s="2"/>
      <c r="B107" s="2" t="s">
        <v>61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</row>
    <row r="108" spans="1:59">
      <c r="A108" s="2"/>
      <c r="B108" s="2" t="s">
        <v>47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</row>
    <row r="109" spans="1:59">
      <c r="A109" s="2"/>
      <c r="B109" s="3" t="s">
        <v>50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</row>
    <row r="110" spans="1:59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</row>
    <row r="111" spans="1:59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</row>
    <row r="112" spans="1:59" ht="21">
      <c r="A112" s="1" t="s">
        <v>221</v>
      </c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</row>
    <row r="113" spans="1:59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</row>
    <row r="114" spans="1:59">
      <c r="A114" s="2" t="s">
        <v>215</v>
      </c>
      <c r="B114" s="2" t="s">
        <v>214</v>
      </c>
      <c r="C114" s="17" t="s">
        <v>216</v>
      </c>
      <c r="D114" s="11">
        <f>p_0/100</f>
        <v>1013.15</v>
      </c>
      <c r="E114" s="2" t="s">
        <v>214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</row>
    <row r="115" spans="1:59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</row>
    <row r="116" spans="1:59">
      <c r="A116" s="94" t="s">
        <v>37</v>
      </c>
      <c r="B116" s="61" t="s">
        <v>34</v>
      </c>
      <c r="C116" s="95"/>
      <c r="D116" s="61">
        <v>20000</v>
      </c>
      <c r="E116" s="61">
        <v>25000</v>
      </c>
      <c r="F116" s="61">
        <v>30000</v>
      </c>
      <c r="G116" s="61">
        <v>35000</v>
      </c>
      <c r="H116" s="61">
        <v>36089</v>
      </c>
      <c r="I116" s="61">
        <v>40000</v>
      </c>
      <c r="J116" s="61">
        <v>45000</v>
      </c>
      <c r="K116" s="61">
        <v>50000</v>
      </c>
      <c r="L116" s="61">
        <v>55000</v>
      </c>
      <c r="M116" s="61">
        <v>60000</v>
      </c>
      <c r="N116" s="61">
        <v>65000</v>
      </c>
      <c r="O116" s="61">
        <v>70000</v>
      </c>
      <c r="P116" s="2"/>
      <c r="Q116" s="61" t="s">
        <v>209</v>
      </c>
      <c r="R116" s="61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</row>
    <row r="117" spans="1:59">
      <c r="A117" s="2" t="s">
        <v>33</v>
      </c>
      <c r="B117" s="2" t="s">
        <v>34</v>
      </c>
      <c r="C117" s="96">
        <v>20000</v>
      </c>
      <c r="D117" s="24">
        <f t="shared" ref="D117:O120" si="4" xml:space="preserve"> IF(D$116&lt;$C117,p_0*(1-k_a*D$116)^k_exp,p_0*(1-k_a*$C117)^k_exp*EXP(-k_b*(D$116-$C117)))/100</f>
        <v>465.58560984464981</v>
      </c>
      <c r="E117" s="24">
        <f t="shared" si="4"/>
        <v>366.12653190706061</v>
      </c>
      <c r="F117" s="24">
        <f t="shared" si="4"/>
        <v>287.91404745309768</v>
      </c>
      <c r="G117" s="24">
        <f t="shared" si="4"/>
        <v>226.40942815328913</v>
      </c>
      <c r="H117" s="24">
        <f t="shared" si="4"/>
        <v>214.86371569423667</v>
      </c>
      <c r="I117" s="24">
        <f t="shared" si="4"/>
        <v>178.04351545247212</v>
      </c>
      <c r="J117" s="24">
        <f t="shared" si="4"/>
        <v>140.00959965860054</v>
      </c>
      <c r="K117" s="24">
        <f t="shared" si="4"/>
        <v>110.10054450309049</v>
      </c>
      <c r="L117" s="24">
        <f t="shared" si="4"/>
        <v>86.580705390456217</v>
      </c>
      <c r="M117" s="24">
        <f t="shared" si="4"/>
        <v>68.08520865851446</v>
      </c>
      <c r="N117" s="24">
        <f t="shared" si="4"/>
        <v>53.540746950121701</v>
      </c>
      <c r="O117" s="24">
        <f t="shared" si="4"/>
        <v>42.103294393274631</v>
      </c>
      <c r="P117" s="2"/>
      <c r="Q117" s="2" t="s">
        <v>210</v>
      </c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</row>
    <row r="118" spans="1:59">
      <c r="A118" s="2"/>
      <c r="B118" s="2"/>
      <c r="C118" s="96">
        <v>36089</v>
      </c>
      <c r="D118" s="24">
        <f t="shared" si="4"/>
        <v>465.58560984464981</v>
      </c>
      <c r="E118" s="24">
        <f t="shared" si="4"/>
        <v>375.97092340716307</v>
      </c>
      <c r="F118" s="24">
        <f t="shared" si="4"/>
        <v>300.86505755783213</v>
      </c>
      <c r="G118" s="24">
        <f t="shared" si="4"/>
        <v>238.39835665961203</v>
      </c>
      <c r="H118" s="24">
        <f t="shared" si="4"/>
        <v>226.29983037755792</v>
      </c>
      <c r="I118" s="24">
        <f t="shared" si="4"/>
        <v>187.51987610628152</v>
      </c>
      <c r="J118" s="24">
        <f t="shared" si="4"/>
        <v>147.46160630983147</v>
      </c>
      <c r="K118" s="24">
        <f t="shared" si="4"/>
        <v>115.96064261023326</v>
      </c>
      <c r="L118" s="24">
        <f t="shared" si="4"/>
        <v>91.188960781595142</v>
      </c>
      <c r="M118" s="24">
        <f t="shared" si="4"/>
        <v>71.709041802890809</v>
      </c>
      <c r="N118" s="24">
        <f t="shared" si="4"/>
        <v>56.390451565784254</v>
      </c>
      <c r="O118" s="24">
        <f t="shared" si="4"/>
        <v>44.34424094710004</v>
      </c>
      <c r="P118" s="2"/>
      <c r="Q118" s="2" t="s">
        <v>211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</row>
    <row r="119" spans="1:59">
      <c r="A119" s="2"/>
      <c r="B119" s="2"/>
      <c r="C119" s="96">
        <v>50000</v>
      </c>
      <c r="D119" s="24">
        <f t="shared" si="4"/>
        <v>465.58560984464981</v>
      </c>
      <c r="E119" s="24">
        <f t="shared" si="4"/>
        <v>375.97092340716307</v>
      </c>
      <c r="F119" s="24">
        <f t="shared" si="4"/>
        <v>300.86505755783213</v>
      </c>
      <c r="G119" s="24">
        <f t="shared" si="4"/>
        <v>238.39835665961203</v>
      </c>
      <c r="H119" s="24">
        <f t="shared" si="4"/>
        <v>226.29983037755792</v>
      </c>
      <c r="I119" s="24">
        <f t="shared" si="4"/>
        <v>186.87512990727714</v>
      </c>
      <c r="J119" s="24">
        <f t="shared" si="4"/>
        <v>144.76424314167357</v>
      </c>
      <c r="K119" s="24">
        <f t="shared" si="4"/>
        <v>110.68981911016655</v>
      </c>
      <c r="L119" s="24">
        <f t="shared" si="4"/>
        <v>87.044098295365018</v>
      </c>
      <c r="M119" s="24">
        <f t="shared" si="4"/>
        <v>68.449610894316407</v>
      </c>
      <c r="N119" s="24">
        <f t="shared" si="4"/>
        <v>53.827305048121886</v>
      </c>
      <c r="O119" s="24">
        <f t="shared" si="4"/>
        <v>42.328637531877433</v>
      </c>
      <c r="P119" s="2"/>
      <c r="Q119" s="2" t="s">
        <v>212</v>
      </c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</row>
    <row r="120" spans="1:59">
      <c r="A120" s="2"/>
      <c r="B120" s="2"/>
      <c r="C120" s="96">
        <v>70000</v>
      </c>
      <c r="D120" s="24">
        <f t="shared" si="4"/>
        <v>465.58560984464981</v>
      </c>
      <c r="E120" s="24">
        <f t="shared" si="4"/>
        <v>375.97092340716307</v>
      </c>
      <c r="F120" s="24">
        <f t="shared" si="4"/>
        <v>300.86505755783213</v>
      </c>
      <c r="G120" s="24">
        <f t="shared" si="4"/>
        <v>238.39835665961203</v>
      </c>
      <c r="H120" s="24">
        <f t="shared" si="4"/>
        <v>226.29983037755792</v>
      </c>
      <c r="I120" s="24">
        <f t="shared" si="4"/>
        <v>186.87512990727714</v>
      </c>
      <c r="J120" s="24">
        <f t="shared" si="4"/>
        <v>144.76424314167357</v>
      </c>
      <c r="K120" s="24">
        <f t="shared" si="4"/>
        <v>110.68981911016655</v>
      </c>
      <c r="L120" s="24">
        <f t="shared" si="4"/>
        <v>83.422049984400147</v>
      </c>
      <c r="M120" s="24">
        <f t="shared" si="4"/>
        <v>61.868126276407672</v>
      </c>
      <c r="N120" s="24">
        <f t="shared" si="4"/>
        <v>45.063286671360494</v>
      </c>
      <c r="O120" s="24">
        <f t="shared" si="4"/>
        <v>32.161993729646518</v>
      </c>
      <c r="P120" s="2"/>
      <c r="Q120" s="2" t="s">
        <v>213</v>
      </c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</row>
    <row r="121" spans="1:59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</row>
    <row r="122" spans="1:59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</row>
    <row r="123" spans="1:59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</row>
    <row r="124" spans="1:59">
      <c r="A124" s="4" t="s">
        <v>217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</row>
    <row r="125" spans="1:59">
      <c r="A125" s="2" t="s">
        <v>218</v>
      </c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</row>
    <row r="126" spans="1:59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</row>
    <row r="127" spans="1:59">
      <c r="A127" s="4" t="s">
        <v>219</v>
      </c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</row>
    <row r="128" spans="1:59">
      <c r="A128" s="2" t="s">
        <v>222</v>
      </c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</row>
    <row r="129" spans="1:59">
      <c r="A129" s="2" t="s">
        <v>220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</row>
    <row r="130" spans="1:59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</row>
    <row r="131" spans="1:59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</row>
    <row r="132" spans="1:59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</row>
    <row r="133" spans="1:59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</row>
    <row r="134" spans="1:59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</row>
    <row r="135" spans="1:59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</row>
    <row r="136" spans="1:59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</row>
    <row r="137" spans="1:59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</row>
    <row r="138" spans="1:59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</row>
    <row r="139" spans="1:59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</row>
    <row r="140" spans="1:59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</row>
    <row r="141" spans="1:59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</row>
    <row r="142" spans="1:59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</row>
    <row r="143" spans="1:59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</row>
    <row r="144" spans="1:59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</row>
    <row r="145" spans="1:59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</row>
    <row r="146" spans="1:59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</row>
    <row r="147" spans="1:59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</row>
    <row r="148" spans="1:59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</row>
    <row r="149" spans="1:59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</row>
    <row r="150" spans="1:59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</row>
    <row r="151" spans="1:59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</row>
    <row r="152" spans="1:59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</row>
    <row r="153" spans="1:59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</row>
    <row r="154" spans="1:59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</row>
    <row r="155" spans="1:59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</row>
    <row r="156" spans="1:59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</row>
    <row r="157" spans="1:59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</row>
    <row r="158" spans="1:59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</row>
    <row r="159" spans="1:59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</row>
    <row r="160" spans="1:59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</row>
    <row r="161" spans="1:59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</row>
    <row r="162" spans="1:59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</row>
    <row r="163" spans="1:59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</row>
    <row r="164" spans="1:59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</row>
    <row r="165" spans="1:59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</row>
    <row r="166" spans="1:59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</row>
    <row r="167" spans="1:59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</row>
    <row r="168" spans="1:59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</row>
    <row r="169" spans="1:59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</row>
    <row r="170" spans="1:59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</row>
    <row r="171" spans="1:59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</row>
    <row r="172" spans="1:59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</row>
    <row r="173" spans="1:59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</row>
    <row r="174" spans="1:59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</row>
    <row r="175" spans="1:59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</row>
    <row r="176" spans="1:59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</row>
    <row r="177" spans="1:59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</row>
    <row r="178" spans="1:59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</row>
    <row r="179" spans="1:59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</row>
    <row r="180" spans="1:59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</row>
    <row r="181" spans="1:59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</row>
    <row r="182" spans="1:59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</row>
    <row r="183" spans="1:59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</row>
    <row r="184" spans="1:59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</row>
    <row r="185" spans="1:59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</row>
    <row r="186" spans="1:59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</row>
    <row r="187" spans="1:59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</row>
    <row r="188" spans="1:59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</row>
    <row r="189" spans="1:59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</row>
    <row r="190" spans="1:59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</row>
    <row r="191" spans="1:59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</row>
    <row r="192" spans="1:59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</row>
    <row r="193" spans="1:59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</row>
    <row r="194" spans="1:59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</row>
    <row r="195" spans="1:59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</row>
    <row r="196" spans="1:59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</row>
    <row r="197" spans="1:59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</row>
    <row r="198" spans="1:59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</row>
    <row r="199" spans="1:59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</row>
    <row r="200" spans="1:59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</row>
    <row r="201" spans="1:59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</row>
    <row r="202" spans="1:59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</row>
    <row r="203" spans="1:59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</row>
    <row r="204" spans="1:59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</row>
    <row r="205" spans="1:59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</row>
    <row r="206" spans="1:59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</row>
    <row r="207" spans="1:59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</row>
  </sheetData>
  <hyperlinks>
    <hyperlink ref="B2" r:id="rId1" xr:uid="{00000000-0004-0000-0000-000000000000}"/>
    <hyperlink ref="E10" r:id="rId2" location="Berechnung_des_Sättigungsdampfdrucks_von_Wasser_über_die_Magnus-Formel" xr:uid="{00000000-0004-0000-0000-000001000000}"/>
    <hyperlink ref="E11" r:id="rId3" xr:uid="{00000000-0004-0000-0000-000002000000}"/>
    <hyperlink ref="H34" r:id="rId4" xr:uid="{00000000-0004-0000-0000-000003000000}"/>
    <hyperlink ref="B109" r:id="rId5" xr:uid="{00000000-0004-0000-0000-000004000000}"/>
  </hyperlinks>
  <pageMargins left="0.70000000000000007" right="0.70000000000000007" top="0.78740157500000008" bottom="0.78740157500000008" header="0.30000000000000004" footer="0.30000000000000004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Z399"/>
  <sheetViews>
    <sheetView zoomScaleNormal="100" workbookViewId="0">
      <selection activeCell="A52" sqref="A52"/>
    </sheetView>
  </sheetViews>
  <sheetFormatPr baseColWidth="10" defaultRowHeight="15"/>
  <cols>
    <col min="1" max="1" width="18" bestFit="1" customWidth="1"/>
    <col min="2" max="2" width="12.5703125" bestFit="1" customWidth="1"/>
    <col min="3" max="3" width="12.7109375" bestFit="1" customWidth="1"/>
    <col min="4" max="4" width="13.7109375" bestFit="1" customWidth="1"/>
    <col min="5" max="6" width="11.42578125" customWidth="1"/>
    <col min="7" max="7" width="12.85546875" bestFit="1" customWidth="1"/>
    <col min="8" max="8" width="11.42578125" customWidth="1"/>
  </cols>
  <sheetData>
    <row r="1" spans="1:71" ht="21">
      <c r="A1" s="1" t="s">
        <v>223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</row>
    <row r="2" spans="1:7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</row>
    <row r="3" spans="1:71">
      <c r="A3" s="2" t="s">
        <v>62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</row>
    <row r="4" spans="1:71">
      <c r="A4" s="2" t="s">
        <v>63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</row>
    <row r="5" spans="1:7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</row>
    <row r="6" spans="1:71">
      <c r="A6" s="2" t="s">
        <v>52</v>
      </c>
      <c r="B6" s="2" t="s">
        <v>17</v>
      </c>
      <c r="C6" s="20">
        <f>G</f>
        <v>1.3538094532562532</v>
      </c>
      <c r="D6" s="8">
        <v>3.3610198526021748</v>
      </c>
      <c r="E6" s="8">
        <f>G</f>
        <v>1.3538094532562532</v>
      </c>
      <c r="F6" s="8">
        <v>2.1719172801401174</v>
      </c>
      <c r="G6" s="8">
        <v>1.720975890616645</v>
      </c>
      <c r="H6" s="8">
        <v>1.6337833407152185</v>
      </c>
      <c r="I6" s="8">
        <v>1.3538094532562532</v>
      </c>
      <c r="J6" s="8">
        <v>1.064606700686245</v>
      </c>
      <c r="K6" s="8">
        <v>0.83718386248520371</v>
      </c>
      <c r="L6" s="8">
        <v>0.65834342311941108</v>
      </c>
      <c r="M6" s="8">
        <v>0.51770713959771752</v>
      </c>
      <c r="N6" s="8">
        <v>0.4071137843536059</v>
      </c>
      <c r="O6" s="8">
        <v>0.32014554317234889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</row>
    <row r="7" spans="1:71">
      <c r="A7" s="2" t="s">
        <v>54</v>
      </c>
      <c r="B7" s="2" t="s">
        <v>4</v>
      </c>
      <c r="C7" s="21">
        <f>G0</f>
        <v>72.01948870625327</v>
      </c>
      <c r="D7" s="13">
        <v>149.10648875647044</v>
      </c>
      <c r="E7" s="13">
        <v>126.25295242659809</v>
      </c>
      <c r="F7" s="13">
        <v>105.79635163302788</v>
      </c>
      <c r="G7" s="13">
        <v>87.67939672383018</v>
      </c>
      <c r="H7" s="13">
        <v>84.041437936928773</v>
      </c>
      <c r="I7" s="13">
        <v>72.458994294193644</v>
      </c>
      <c r="J7" s="13">
        <v>58.975248471132915</v>
      </c>
      <c r="K7" s="13">
        <v>48.173312524551676</v>
      </c>
      <c r="L7" s="13">
        <v>39.261656161440875</v>
      </c>
      <c r="M7" s="13">
        <v>31.933716141748164</v>
      </c>
      <c r="N7" s="13">
        <v>25.925672133505408</v>
      </c>
      <c r="O7" s="13">
        <v>21.012657314265486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</row>
    <row r="8" spans="1:71">
      <c r="A8" s="22" t="s">
        <v>37</v>
      </c>
      <c r="B8" s="2" t="s">
        <v>34</v>
      </c>
      <c r="C8" s="23">
        <f>H</f>
        <v>40000</v>
      </c>
      <c r="D8" s="22">
        <v>20000</v>
      </c>
      <c r="E8" s="22">
        <v>25000</v>
      </c>
      <c r="F8" s="22">
        <v>30000</v>
      </c>
      <c r="G8" s="22">
        <v>35000</v>
      </c>
      <c r="H8" s="22">
        <v>36089</v>
      </c>
      <c r="I8" s="22">
        <v>40000</v>
      </c>
      <c r="J8" s="22">
        <v>45000</v>
      </c>
      <c r="K8" s="22">
        <v>50000</v>
      </c>
      <c r="L8" s="22">
        <v>55000</v>
      </c>
      <c r="M8" s="22">
        <v>60000</v>
      </c>
      <c r="N8" s="84">
        <v>65000</v>
      </c>
      <c r="O8" s="84">
        <v>70000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</row>
    <row r="9" spans="1:71">
      <c r="A9" s="2" t="s">
        <v>37</v>
      </c>
      <c r="B9" s="2" t="s">
        <v>64</v>
      </c>
      <c r="C9" s="23">
        <f>C8*0.3048</f>
        <v>12192</v>
      </c>
      <c r="D9" s="2">
        <v>6096</v>
      </c>
      <c r="E9" s="2">
        <f>E8*0.3048</f>
        <v>7620</v>
      </c>
      <c r="F9" s="2">
        <v>9144</v>
      </c>
      <c r="G9" s="2">
        <v>10668</v>
      </c>
      <c r="H9" s="24">
        <v>10999.9272</v>
      </c>
      <c r="I9" s="2">
        <v>12192</v>
      </c>
      <c r="J9" s="2">
        <v>13716</v>
      </c>
      <c r="K9" s="2">
        <v>15240</v>
      </c>
      <c r="L9" s="2">
        <v>16764</v>
      </c>
      <c r="M9" s="2">
        <v>18288</v>
      </c>
      <c r="N9" s="2">
        <v>19812</v>
      </c>
      <c r="O9" s="2">
        <v>21336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</row>
    <row r="10" spans="1:71">
      <c r="A10" s="2" t="s">
        <v>39</v>
      </c>
      <c r="B10" s="2" t="s">
        <v>4</v>
      </c>
      <c r="C10" s="25">
        <f>p</f>
        <v>18753.658935390147</v>
      </c>
      <c r="D10" s="24">
        <v>46558.560984464981</v>
      </c>
      <c r="E10" s="24">
        <f>p</f>
        <v>18753.658935390147</v>
      </c>
      <c r="F10" s="24">
        <v>30086.505755783211</v>
      </c>
      <c r="G10" s="24">
        <v>23839.835665961204</v>
      </c>
      <c r="H10" s="24">
        <v>22632</v>
      </c>
      <c r="I10" s="24">
        <v>18753.658935390147</v>
      </c>
      <c r="J10" s="24">
        <v>14747.474924908605</v>
      </c>
      <c r="K10" s="24">
        <v>11597.097793560972</v>
      </c>
      <c r="L10" s="24">
        <v>9119.7088259670509</v>
      </c>
      <c r="M10" s="24">
        <v>7171.5433077229964</v>
      </c>
      <c r="N10" s="24">
        <v>5639.5477526764971</v>
      </c>
      <c r="O10" s="24">
        <v>4434.8193254955922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</row>
    <row r="11" spans="1:71">
      <c r="A11" s="2" t="s">
        <v>65</v>
      </c>
      <c r="B11" s="2" t="s">
        <v>7</v>
      </c>
      <c r="C11" s="21">
        <f>t</f>
        <v>-43.936149738509464</v>
      </c>
      <c r="D11" s="13">
        <v>-34.171657846038833</v>
      </c>
      <c r="E11" s="13">
        <v>-36.556995939242505</v>
      </c>
      <c r="F11" s="13">
        <v>-38.983215462422002</v>
      </c>
      <c r="G11" s="13">
        <v>-41.453686614326799</v>
      </c>
      <c r="H11" s="13">
        <v>-41.997060149801399</v>
      </c>
      <c r="I11" s="13">
        <v>-43.936149738567622</v>
      </c>
      <c r="J11" s="13">
        <v>-46.358686546546537</v>
      </c>
      <c r="K11" s="13">
        <v>-48.720135430706478</v>
      </c>
      <c r="L11" s="13">
        <v>-51.022841943746812</v>
      </c>
      <c r="M11" s="13">
        <v>-53.26904401732731</v>
      </c>
      <c r="N11" s="13">
        <v>-55.460885188547678</v>
      </c>
      <c r="O11" s="13">
        <v>-57.600302356601937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</row>
    <row r="12" spans="1:71">
      <c r="A12" s="2" t="s">
        <v>66</v>
      </c>
      <c r="B12" s="2" t="s">
        <v>7</v>
      </c>
      <c r="C12" s="21">
        <f>-G0/G</f>
        <v>-53.197655351739662</v>
      </c>
      <c r="D12" s="13">
        <v>-44.363465643033599</v>
      </c>
      <c r="E12" s="13">
        <v>-46.517434517002748</v>
      </c>
      <c r="F12" s="13">
        <v>-48.711040977676006</v>
      </c>
      <c r="G12" s="13">
        <v>-50.947486947312008</v>
      </c>
      <c r="H12" s="13">
        <v>-51.439769180250117</v>
      </c>
      <c r="I12" s="13">
        <v>-53.197655351741197</v>
      </c>
      <c r="J12" s="13">
        <v>-55.396277736292191</v>
      </c>
      <c r="K12" s="13">
        <v>-57.542094016895945</v>
      </c>
      <c r="L12" s="13">
        <v>-59.637044713545428</v>
      </c>
      <c r="M12" s="13">
        <v>-61.68297421310848</v>
      </c>
      <c r="N12" s="13">
        <v>-63.681636755849084</v>
      </c>
      <c r="O12" s="13">
        <v>-65.634701973512776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</row>
    <row r="13" spans="1:71">
      <c r="A13" s="2" t="s">
        <v>67</v>
      </c>
      <c r="B13" s="2" t="s">
        <v>7</v>
      </c>
      <c r="C13" s="75">
        <f t="shared" ref="C13:O13" si="0">C11-C12</f>
        <v>9.2615056132301987</v>
      </c>
      <c r="D13" s="11">
        <f t="shared" si="0"/>
        <v>10.191807796994766</v>
      </c>
      <c r="E13" s="11">
        <f t="shared" si="0"/>
        <v>9.9604385777602431</v>
      </c>
      <c r="F13" s="11">
        <v>9.7278255152540041</v>
      </c>
      <c r="G13" s="11">
        <f t="shared" si="0"/>
        <v>9.4938003329852094</v>
      </c>
      <c r="H13" s="11">
        <f t="shared" si="0"/>
        <v>9.442709030448718</v>
      </c>
      <c r="I13" s="11">
        <f t="shared" si="0"/>
        <v>9.2615056131735756</v>
      </c>
      <c r="J13" s="11">
        <f t="shared" si="0"/>
        <v>9.0375911897456547</v>
      </c>
      <c r="K13" s="11">
        <v>8.8219585861894672</v>
      </c>
      <c r="L13" s="11">
        <f t="shared" si="0"/>
        <v>8.6142027697986165</v>
      </c>
      <c r="M13" s="11">
        <f t="shared" si="0"/>
        <v>8.4139301957811696</v>
      </c>
      <c r="N13" s="11">
        <f t="shared" si="0"/>
        <v>8.2207515673014058</v>
      </c>
      <c r="O13" s="11">
        <f t="shared" si="0"/>
        <v>8.0343996169108394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</row>
    <row r="14" spans="1:7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</row>
    <row r="15" spans="1:71">
      <c r="A15" s="26" t="s">
        <v>14</v>
      </c>
      <c r="B15" s="18" t="s">
        <v>21</v>
      </c>
      <c r="C15" s="18" t="s">
        <v>68</v>
      </c>
      <c r="D15" s="18" t="s">
        <v>68</v>
      </c>
      <c r="E15" s="18" t="s">
        <v>68</v>
      </c>
      <c r="F15" s="18" t="s">
        <v>68</v>
      </c>
      <c r="G15" s="18" t="s">
        <v>68</v>
      </c>
      <c r="H15" s="18" t="s">
        <v>68</v>
      </c>
      <c r="I15" s="18" t="s">
        <v>68</v>
      </c>
      <c r="J15" s="18" t="s">
        <v>68</v>
      </c>
      <c r="K15" s="18" t="s">
        <v>68</v>
      </c>
      <c r="L15" s="18" t="s">
        <v>68</v>
      </c>
      <c r="M15" s="18" t="s">
        <v>68</v>
      </c>
      <c r="N15" s="2"/>
      <c r="O15" s="4" t="s">
        <v>69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</row>
    <row r="16" spans="1:71">
      <c r="A16" s="22">
        <v>-60</v>
      </c>
      <c r="B16" s="8">
        <f t="shared" ref="B16:B51" si="1">a_w*EXP(b_w*A16/(c_w+A16))</f>
        <v>1.9005832334432484</v>
      </c>
      <c r="C16" s="27" t="str">
        <f t="shared" ref="C16:C51" si="2">IF(OR(G*A16+G0&lt;0, A16&gt;t),"n.a.",(G*A16+G0)/B16)</f>
        <v>n.a.</v>
      </c>
      <c r="D16" s="27" t="s">
        <v>70</v>
      </c>
      <c r="E16" s="27" t="s">
        <v>70</v>
      </c>
      <c r="F16" s="27" t="s">
        <v>70</v>
      </c>
      <c r="G16" s="27" t="s">
        <v>70</v>
      </c>
      <c r="H16" s="27" t="s">
        <v>70</v>
      </c>
      <c r="I16" s="27" t="s">
        <v>70</v>
      </c>
      <c r="J16" s="27" t="s">
        <v>70</v>
      </c>
      <c r="K16" s="27" t="s">
        <v>70</v>
      </c>
      <c r="L16" s="27" t="s">
        <v>70</v>
      </c>
      <c r="M16" s="27">
        <v>0.45843178586113253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</row>
    <row r="17" spans="1:71">
      <c r="A17" s="22">
        <v>-59</v>
      </c>
      <c r="B17" s="8">
        <f t="shared" si="1"/>
        <v>2.1580720285136241</v>
      </c>
      <c r="C17" s="27" t="str">
        <f t="shared" si="2"/>
        <v>n.a.</v>
      </c>
      <c r="D17" s="27" t="s">
        <v>70</v>
      </c>
      <c r="E17" s="27" t="s">
        <v>70</v>
      </c>
      <c r="F17" s="27" t="s">
        <v>70</v>
      </c>
      <c r="G17" s="27" t="s">
        <v>70</v>
      </c>
      <c r="H17" s="27" t="s">
        <v>70</v>
      </c>
      <c r="I17" s="27" t="s">
        <v>70</v>
      </c>
      <c r="J17" s="27" t="s">
        <v>70</v>
      </c>
      <c r="K17" s="27" t="s">
        <v>70</v>
      </c>
      <c r="L17" s="27">
        <v>0.19433744187142682</v>
      </c>
      <c r="M17" s="27">
        <v>0.64362768579114626</v>
      </c>
      <c r="N17" s="2"/>
      <c r="O17" s="2" t="s">
        <v>42</v>
      </c>
      <c r="P17" s="2">
        <v>1.25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</row>
    <row r="18" spans="1:71">
      <c r="A18" s="22">
        <v>-58</v>
      </c>
      <c r="B18" s="8">
        <f t="shared" si="1"/>
        <v>2.4470837568804815</v>
      </c>
      <c r="C18" s="27" t="str">
        <f t="shared" si="2"/>
        <v>n.a.</v>
      </c>
      <c r="D18" s="27" t="s">
        <v>70</v>
      </c>
      <c r="E18" s="27" t="s">
        <v>70</v>
      </c>
      <c r="F18" s="27" t="s">
        <v>70</v>
      </c>
      <c r="G18" s="27" t="s">
        <v>70</v>
      </c>
      <c r="H18" s="27" t="s">
        <v>70</v>
      </c>
      <c r="I18" s="27" t="s">
        <v>70</v>
      </c>
      <c r="J18" s="27" t="s">
        <v>70</v>
      </c>
      <c r="K18" s="27" t="s">
        <v>70</v>
      </c>
      <c r="L18" s="27">
        <v>0.44041713630959645</v>
      </c>
      <c r="M18" s="27">
        <v>0.77917318511042366</v>
      </c>
      <c r="N18" s="2"/>
      <c r="O18" s="2" t="s">
        <v>44</v>
      </c>
      <c r="P18" s="2">
        <v>1004</v>
      </c>
      <c r="Q18" s="2" t="s">
        <v>45</v>
      </c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</row>
    <row r="19" spans="1:71">
      <c r="A19" s="22">
        <v>-57</v>
      </c>
      <c r="B19" s="8">
        <f t="shared" si="1"/>
        <v>2.7710553357390935</v>
      </c>
      <c r="C19" s="27" t="str">
        <f t="shared" si="2"/>
        <v>n.a.</v>
      </c>
      <c r="D19" s="27" t="s">
        <v>70</v>
      </c>
      <c r="E19" s="27" t="s">
        <v>70</v>
      </c>
      <c r="F19" s="27" t="s">
        <v>70</v>
      </c>
      <c r="G19" s="27" t="s">
        <v>70</v>
      </c>
      <c r="H19" s="27" t="s">
        <v>70</v>
      </c>
      <c r="I19" s="27" t="s">
        <v>70</v>
      </c>
      <c r="J19" s="27" t="s">
        <v>70</v>
      </c>
      <c r="K19" s="27">
        <v>0.16377600152615421</v>
      </c>
      <c r="L19" s="27">
        <v>0.62650536827746039</v>
      </c>
      <c r="M19" s="27">
        <v>0.87490464495961728</v>
      </c>
      <c r="N19" s="2"/>
      <c r="O19" s="2" t="s">
        <v>46</v>
      </c>
      <c r="P19" s="2">
        <v>0.622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</row>
    <row r="20" spans="1:71">
      <c r="A20" s="22">
        <v>-56</v>
      </c>
      <c r="B20" s="8">
        <f t="shared" si="1"/>
        <v>3.1337506106185335</v>
      </c>
      <c r="C20" s="27" t="str">
        <f t="shared" si="2"/>
        <v>n.a.</v>
      </c>
      <c r="D20" s="27" t="s">
        <v>70</v>
      </c>
      <c r="E20" s="27" t="s">
        <v>70</v>
      </c>
      <c r="F20" s="27" t="s">
        <v>70</v>
      </c>
      <c r="G20" s="27" t="s">
        <v>70</v>
      </c>
      <c r="H20" s="27" t="s">
        <v>70</v>
      </c>
      <c r="I20" s="27" t="s">
        <v>70</v>
      </c>
      <c r="J20" s="27" t="s">
        <v>70</v>
      </c>
      <c r="K20" s="27">
        <v>0.4119715911680189</v>
      </c>
      <c r="L20" s="27">
        <v>0.76407626651606697</v>
      </c>
      <c r="M20" s="27">
        <v>0.93884826517681108</v>
      </c>
      <c r="N20" s="2"/>
      <c r="O20" s="2" t="s">
        <v>48</v>
      </c>
      <c r="P20" s="16">
        <v>43000000</v>
      </c>
      <c r="Q20" s="2" t="s">
        <v>49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</row>
    <row r="21" spans="1:71">
      <c r="A21" s="22">
        <v>-55</v>
      </c>
      <c r="B21" s="8">
        <f t="shared" si="1"/>
        <v>3.5392866469854303</v>
      </c>
      <c r="C21" s="27" t="str">
        <f t="shared" si="2"/>
        <v>n.a.</v>
      </c>
      <c r="D21" s="27" t="s">
        <v>70</v>
      </c>
      <c r="E21" s="27" t="s">
        <v>70</v>
      </c>
      <c r="F21" s="27" t="s">
        <v>70</v>
      </c>
      <c r="G21" s="27" t="s">
        <v>70</v>
      </c>
      <c r="H21" s="27" t="s">
        <v>70</v>
      </c>
      <c r="I21" s="27" t="s">
        <v>70</v>
      </c>
      <c r="J21" s="27">
        <v>0.11919914250199969</v>
      </c>
      <c r="K21" s="27">
        <v>0.60130763629392847</v>
      </c>
      <c r="L21" s="27">
        <v>0.86253762251030042</v>
      </c>
      <c r="M21" s="27">
        <v>0.97754824883160785</v>
      </c>
      <c r="N21" s="2"/>
      <c r="O21" s="2" t="s">
        <v>51</v>
      </c>
      <c r="P21" s="2">
        <v>0.35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</row>
    <row r="22" spans="1:71">
      <c r="A22" s="22">
        <v>-54</v>
      </c>
      <c r="B22" s="8">
        <f t="shared" si="1"/>
        <v>3.9921617145835251</v>
      </c>
      <c r="C22" s="27" t="str">
        <f t="shared" si="2"/>
        <v>n.a.</v>
      </c>
      <c r="D22" s="27" t="s">
        <v>70</v>
      </c>
      <c r="E22" s="27" t="s">
        <v>70</v>
      </c>
      <c r="F22" s="27" t="s">
        <v>70</v>
      </c>
      <c r="G22" s="27" t="s">
        <v>70</v>
      </c>
      <c r="H22" s="27" t="s">
        <v>70</v>
      </c>
      <c r="I22" s="27" t="s">
        <v>70</v>
      </c>
      <c r="J22" s="27">
        <v>0.3723513074747184</v>
      </c>
      <c r="K22" s="27">
        <v>0.7428015602469239</v>
      </c>
      <c r="L22" s="27">
        <v>0.92959944469079026</v>
      </c>
      <c r="M22" s="27">
        <v>0.99633504047226873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</row>
    <row r="23" spans="1:71">
      <c r="A23" s="22">
        <v>-53</v>
      </c>
      <c r="B23" s="8">
        <f t="shared" si="1"/>
        <v>4.4972850420001285</v>
      </c>
      <c r="C23" s="27">
        <f t="shared" si="2"/>
        <v>5.9499827378707001E-2</v>
      </c>
      <c r="D23" s="27" t="s">
        <v>70</v>
      </c>
      <c r="E23" s="27" t="s">
        <v>70</v>
      </c>
      <c r="F23" s="27" t="s">
        <v>70</v>
      </c>
      <c r="G23" s="27" t="s">
        <v>70</v>
      </c>
      <c r="H23" s="27" t="s">
        <v>70</v>
      </c>
      <c r="I23" s="27">
        <v>5.9499827378707001E-2</v>
      </c>
      <c r="J23" s="27">
        <v>0.56725186661225135</v>
      </c>
      <c r="K23" s="27">
        <v>0.84552519516190661</v>
      </c>
      <c r="L23" s="27">
        <v>0.97157611654715414</v>
      </c>
      <c r="M23" s="27" t="s">
        <v>70</v>
      </c>
      <c r="N23" s="2"/>
      <c r="O23" s="2" t="s">
        <v>71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</row>
    <row r="24" spans="1:71">
      <c r="A24" s="22">
        <v>-52</v>
      </c>
      <c r="B24" s="8">
        <f t="shared" si="1"/>
        <v>5.0600084205480069</v>
      </c>
      <c r="C24" s="27">
        <f t="shared" si="2"/>
        <v>0.32043368353772339</v>
      </c>
      <c r="D24" s="27" t="s">
        <v>70</v>
      </c>
      <c r="E24" s="27" t="s">
        <v>70</v>
      </c>
      <c r="F24" s="27" t="s">
        <v>70</v>
      </c>
      <c r="G24" s="27" t="s">
        <v>70</v>
      </c>
      <c r="H24" s="27" t="s">
        <v>70</v>
      </c>
      <c r="I24" s="27">
        <v>0.32043368353772339</v>
      </c>
      <c r="J24" s="27">
        <v>0.71456403526233503</v>
      </c>
      <c r="K24" s="27">
        <v>0.91694544548180557</v>
      </c>
      <c r="L24" s="27">
        <v>0.99363434630153902</v>
      </c>
      <c r="M24" s="27" t="s">
        <v>70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</row>
    <row r="25" spans="1:71">
      <c r="A25" s="22">
        <v>-51</v>
      </c>
      <c r="B25" s="8">
        <f t="shared" si="1"/>
        <v>5.6861597380800797</v>
      </c>
      <c r="C25" s="27">
        <f t="shared" si="2"/>
        <v>0.52323654755237825</v>
      </c>
      <c r="D25" s="27" t="s">
        <v>70</v>
      </c>
      <c r="E25" s="27" t="s">
        <v>70</v>
      </c>
      <c r="F25" s="27" t="s">
        <v>70</v>
      </c>
      <c r="G25" s="27" t="s">
        <v>70</v>
      </c>
      <c r="H25" s="27">
        <v>0.12635725930120029</v>
      </c>
      <c r="I25" s="27">
        <v>0.52323654755237825</v>
      </c>
      <c r="J25" s="27">
        <v>0.8231050395560493</v>
      </c>
      <c r="K25" s="27">
        <v>0.96320465658524745</v>
      </c>
      <c r="L25" s="27" t="s">
        <v>70</v>
      </c>
      <c r="M25" s="27" t="s">
        <v>70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</row>
    <row r="26" spans="1:71">
      <c r="A26" s="22">
        <v>-50</v>
      </c>
      <c r="B26" s="8">
        <f t="shared" si="1"/>
        <v>6.3820785248092848</v>
      </c>
      <c r="C26" s="27">
        <f t="shared" si="2"/>
        <v>0.67830817602952742</v>
      </c>
      <c r="D26" s="27" t="s">
        <v>70</v>
      </c>
      <c r="E26" s="27" t="s">
        <v>70</v>
      </c>
      <c r="F26" s="27" t="s">
        <v>70</v>
      </c>
      <c r="G26" s="27">
        <v>0.25549704326877865</v>
      </c>
      <c r="H26" s="27">
        <v>0.36857442164394999</v>
      </c>
      <c r="I26" s="27">
        <v>0.67830817602952742</v>
      </c>
      <c r="J26" s="27">
        <v>0.90016338948012897</v>
      </c>
      <c r="K26" s="27">
        <v>0.98935156873209629</v>
      </c>
      <c r="L26" s="27" t="s">
        <v>70</v>
      </c>
      <c r="M26" s="27" t="s">
        <v>70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</row>
    <row r="27" spans="1:71">
      <c r="A27" s="22">
        <v>-49</v>
      </c>
      <c r="B27" s="8">
        <f t="shared" si="1"/>
        <v>7.1546535945823591</v>
      </c>
      <c r="C27" s="27">
        <f t="shared" si="2"/>
        <v>0.7942838072551841</v>
      </c>
      <c r="D27" s="27" t="s">
        <v>70</v>
      </c>
      <c r="E27" s="27" t="s">
        <v>70</v>
      </c>
      <c r="F27" s="27" t="s">
        <v>70</v>
      </c>
      <c r="G27" s="27">
        <v>0.46844728948896464</v>
      </c>
      <c r="H27" s="27">
        <v>0.55712749599804301</v>
      </c>
      <c r="I27" s="27">
        <v>0.7942838072551841</v>
      </c>
      <c r="J27" s="27">
        <v>0.95176098290254152</v>
      </c>
      <c r="K27" s="27">
        <v>0.99953172690174652</v>
      </c>
      <c r="L27" s="27" t="s">
        <v>70</v>
      </c>
      <c r="M27" s="27" t="s">
        <v>70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</row>
    <row r="28" spans="1:71">
      <c r="A28" s="22">
        <v>-48</v>
      </c>
      <c r="B28" s="8">
        <f t="shared" si="1"/>
        <v>8.0113628663497938</v>
      </c>
      <c r="C28" s="27">
        <f t="shared" si="2"/>
        <v>0.87833182285490496</v>
      </c>
      <c r="D28" s="27" t="s">
        <v>70</v>
      </c>
      <c r="E28" s="27" t="s">
        <v>70</v>
      </c>
      <c r="F28" s="27">
        <v>0.19276647582509146</v>
      </c>
      <c r="G28" s="27">
        <v>0.63316991863363536</v>
      </c>
      <c r="H28" s="27">
        <v>0.70148334014470282</v>
      </c>
      <c r="I28" s="27">
        <v>0.87833182285490496</v>
      </c>
      <c r="J28" s="27">
        <v>0.98286982746305607</v>
      </c>
      <c r="K28" s="27" t="s">
        <v>70</v>
      </c>
      <c r="L28" s="27" t="s">
        <v>70</v>
      </c>
      <c r="M28" s="27" t="s">
        <v>70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</row>
    <row r="29" spans="1:71">
      <c r="A29" s="22">
        <v>-47</v>
      </c>
      <c r="B29" s="8">
        <f t="shared" si="1"/>
        <v>8.9603154517796142</v>
      </c>
      <c r="C29" s="27">
        <f t="shared" si="2"/>
        <v>0.93640055959669732</v>
      </c>
      <c r="D29" s="27" t="s">
        <v>70</v>
      </c>
      <c r="E29" s="27" t="s">
        <v>70</v>
      </c>
      <c r="F29" s="27">
        <v>0.41474426725727331</v>
      </c>
      <c r="G29" s="27">
        <v>0.75817976514416308</v>
      </c>
      <c r="H29" s="27">
        <v>0.809527405854094</v>
      </c>
      <c r="I29" s="27">
        <v>0.93640055959669732</v>
      </c>
      <c r="J29" s="27">
        <v>0.99759138916298717</v>
      </c>
      <c r="K29" s="27" t="s">
        <v>70</v>
      </c>
      <c r="L29" s="27" t="s">
        <v>70</v>
      </c>
      <c r="M29" s="27" t="s">
        <v>70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</row>
    <row r="30" spans="1:71">
      <c r="A30" s="22">
        <v>-46</v>
      </c>
      <c r="B30" s="8">
        <f t="shared" si="1"/>
        <v>10.010296096076241</v>
      </c>
      <c r="C30" s="27">
        <f t="shared" si="2"/>
        <v>0.9734231398295099</v>
      </c>
      <c r="D30" s="27" t="s">
        <v>70</v>
      </c>
      <c r="E30" s="27">
        <v>0.14029243735785019</v>
      </c>
      <c r="F30" s="27">
        <v>0.58821004794158649</v>
      </c>
      <c r="G30" s="27">
        <v>0.85057481554436509</v>
      </c>
      <c r="H30" s="27">
        <v>0.88782631190223571</v>
      </c>
      <c r="I30" s="27">
        <v>0.9734231398295099</v>
      </c>
      <c r="J30" s="27" t="s">
        <v>70</v>
      </c>
      <c r="K30" s="27" t="s">
        <v>70</v>
      </c>
      <c r="L30" s="27" t="s">
        <v>70</v>
      </c>
      <c r="M30" s="27" t="s">
        <v>70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</row>
    <row r="31" spans="1:71">
      <c r="A31" s="22">
        <v>-45</v>
      </c>
      <c r="B31" s="8">
        <f t="shared" si="1"/>
        <v>11.170812060082898</v>
      </c>
      <c r="C31" s="27">
        <f t="shared" si="2"/>
        <v>0.99348760412674186</v>
      </c>
      <c r="D31" s="27" t="s">
        <v>70</v>
      </c>
      <c r="E31" s="27">
        <v>0.36868120769299861</v>
      </c>
      <c r="F31" s="27">
        <v>0.72152982105248931</v>
      </c>
      <c r="G31" s="27">
        <v>0.91627015037304382</v>
      </c>
      <c r="H31" s="27">
        <v>0.9418462640097327</v>
      </c>
      <c r="I31" s="27">
        <v>0.99348760412674186</v>
      </c>
      <c r="J31" s="27" t="s">
        <v>70</v>
      </c>
      <c r="K31" s="27" t="s">
        <v>70</v>
      </c>
      <c r="L31" s="27" t="s">
        <v>70</v>
      </c>
      <c r="M31" s="27" t="s">
        <v>70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</row>
    <row r="32" spans="1:71">
      <c r="A32" s="22">
        <v>-44</v>
      </c>
      <c r="B32" s="8">
        <f t="shared" si="1"/>
        <v>12.45214253266311</v>
      </c>
      <c r="C32" s="27">
        <f t="shared" si="2"/>
        <v>0.99997833548047843</v>
      </c>
      <c r="D32" s="27">
        <v>9.8104823227848484E-2</v>
      </c>
      <c r="E32" s="27">
        <v>0.54870622517618783</v>
      </c>
      <c r="F32" s="27">
        <v>0.82170528324930914</v>
      </c>
      <c r="G32" s="27">
        <v>0.96019279456004691</v>
      </c>
      <c r="H32" s="27">
        <v>0.97613490317634521</v>
      </c>
      <c r="I32" s="27">
        <v>0.99997833548047843</v>
      </c>
      <c r="J32" s="27" t="s">
        <v>70</v>
      </c>
      <c r="K32" s="27" t="s">
        <v>70</v>
      </c>
      <c r="L32" s="27" t="s">
        <v>70</v>
      </c>
      <c r="M32" s="27" t="s">
        <v>70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</row>
    <row r="33" spans="1:71">
      <c r="A33" s="22">
        <v>-43</v>
      </c>
      <c r="B33" s="8">
        <f t="shared" si="1"/>
        <v>13.865390663169581</v>
      </c>
      <c r="C33" s="27" t="str">
        <f t="shared" si="2"/>
        <v>n.a.</v>
      </c>
      <c r="D33" s="27">
        <v>0.330508905655997</v>
      </c>
      <c r="E33" s="27">
        <v>0.68852497557408621</v>
      </c>
      <c r="F33" s="27">
        <v>0.89459495865133742</v>
      </c>
      <c r="G33" s="27">
        <v>0.98644414424222504</v>
      </c>
      <c r="H33" s="27">
        <v>0.9944728295900982</v>
      </c>
      <c r="I33" s="27" t="s">
        <v>70</v>
      </c>
      <c r="J33" s="27" t="s">
        <v>70</v>
      </c>
      <c r="K33" s="27" t="s">
        <v>70</v>
      </c>
      <c r="L33" s="27" t="s">
        <v>70</v>
      </c>
      <c r="M33" s="27" t="s">
        <v>70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</row>
    <row r="34" spans="1:71">
      <c r="A34" s="22">
        <v>-42</v>
      </c>
      <c r="B34" s="8">
        <f t="shared" si="1"/>
        <v>15.422538304514172</v>
      </c>
      <c r="C34" s="27" t="str">
        <f t="shared" si="2"/>
        <v>n.a.</v>
      </c>
      <c r="D34" s="27">
        <v>0.51506793436552023</v>
      </c>
      <c r="E34" s="27">
        <v>0.79499023888472564</v>
      </c>
      <c r="F34" s="27">
        <v>0.94509902192148321</v>
      </c>
      <c r="G34" s="27">
        <v>0.99843547241662478</v>
      </c>
      <c r="H34" s="27">
        <v>0.99999995606270742</v>
      </c>
      <c r="I34" s="27" t="s">
        <v>70</v>
      </c>
      <c r="J34" s="27" t="s">
        <v>70</v>
      </c>
      <c r="K34" s="27" t="s">
        <v>70</v>
      </c>
      <c r="L34" s="27" t="s">
        <v>70</v>
      </c>
      <c r="M34" s="27" t="s">
        <v>70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</row>
    <row r="35" spans="1:71">
      <c r="A35" s="22">
        <v>-41</v>
      </c>
      <c r="B35" s="8">
        <f t="shared" si="1"/>
        <v>17.136503557946799</v>
      </c>
      <c r="C35" s="27" t="str">
        <f t="shared" si="2"/>
        <v>n.a.</v>
      </c>
      <c r="D35" s="27">
        <v>0.65968385916968741</v>
      </c>
      <c r="E35" s="27">
        <v>0.87385778572086459</v>
      </c>
      <c r="F35" s="27">
        <v>0.97731390132478668</v>
      </c>
      <c r="G35" s="27" t="s">
        <v>70</v>
      </c>
      <c r="H35" s="27" t="s">
        <v>70</v>
      </c>
      <c r="I35" s="27" t="s">
        <v>70</v>
      </c>
      <c r="J35" s="27" t="s">
        <v>70</v>
      </c>
      <c r="K35" s="27" t="s">
        <v>70</v>
      </c>
      <c r="L35" s="27" t="s">
        <v>70</v>
      </c>
      <c r="M35" s="27" t="s">
        <v>70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</row>
    <row r="36" spans="1:71">
      <c r="A36" s="22">
        <v>-40</v>
      </c>
      <c r="B36" s="8">
        <f t="shared" si="1"/>
        <v>19.021201211131025</v>
      </c>
      <c r="C36" s="27" t="str">
        <f t="shared" si="2"/>
        <v>n.a.</v>
      </c>
      <c r="D36" s="27">
        <v>0.77101832263891767</v>
      </c>
      <c r="E36" s="27">
        <v>0.92996054776100379</v>
      </c>
      <c r="F36" s="27">
        <v>0.99466170497957707</v>
      </c>
      <c r="G36" s="27" t="s">
        <v>70</v>
      </c>
      <c r="H36" s="27" t="s">
        <v>70</v>
      </c>
      <c r="I36" s="27" t="s">
        <v>70</v>
      </c>
      <c r="J36" s="27" t="s">
        <v>70</v>
      </c>
      <c r="K36" s="27" t="s">
        <v>70</v>
      </c>
      <c r="L36" s="27" t="s">
        <v>70</v>
      </c>
      <c r="M36" s="27" t="s">
        <v>70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</row>
    <row r="37" spans="1:71">
      <c r="A37" s="22">
        <v>-39</v>
      </c>
      <c r="B37" s="8">
        <f t="shared" si="1"/>
        <v>21.091606161467279</v>
      </c>
      <c r="C37" s="27" t="str">
        <f t="shared" si="2"/>
        <v>n.a.</v>
      </c>
      <c r="D37" s="27">
        <v>0.8546866638311863</v>
      </c>
      <c r="E37" s="27">
        <v>0.96735479433904104</v>
      </c>
      <c r="F37" s="27">
        <v>0.99999865093707141</v>
      </c>
      <c r="G37" s="27" t="s">
        <v>70</v>
      </c>
      <c r="H37" s="27" t="s">
        <v>70</v>
      </c>
      <c r="I37" s="27" t="s">
        <v>70</v>
      </c>
      <c r="J37" s="27" t="s">
        <v>70</v>
      </c>
      <c r="K37" s="27" t="s">
        <v>70</v>
      </c>
      <c r="L37" s="27" t="s">
        <v>70</v>
      </c>
      <c r="M37" s="27" t="s">
        <v>70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</row>
    <row r="38" spans="1:71">
      <c r="A38" s="22">
        <v>-38</v>
      </c>
      <c r="B38" s="8">
        <f t="shared" si="1"/>
        <v>23.363819916857381</v>
      </c>
      <c r="C38" s="27" t="str">
        <f t="shared" si="2"/>
        <v>n.a.</v>
      </c>
      <c r="D38" s="27">
        <v>0.91542112692609579</v>
      </c>
      <c r="E38" s="27">
        <v>0.98944291070987855</v>
      </c>
      <c r="F38" s="27" t="s">
        <v>70</v>
      </c>
      <c r="G38" s="27" t="s">
        <v>70</v>
      </c>
      <c r="H38" s="27" t="s">
        <v>70</v>
      </c>
      <c r="I38" s="27" t="s">
        <v>70</v>
      </c>
      <c r="J38" s="27" t="s">
        <v>70</v>
      </c>
      <c r="K38" s="27" t="s">
        <v>70</v>
      </c>
      <c r="L38" s="27" t="s">
        <v>70</v>
      </c>
      <c r="M38" s="27" t="s">
        <v>70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</row>
    <row r="39" spans="1:71">
      <c r="A39" s="22">
        <v>-37</v>
      </c>
      <c r="B39" s="8">
        <f t="shared" si="1"/>
        <v>25.85514026622538</v>
      </c>
      <c r="C39" s="27" t="str">
        <f t="shared" si="2"/>
        <v>n.a.</v>
      </c>
      <c r="D39" s="27">
        <v>0.95720827484813376</v>
      </c>
      <c r="E39" s="27">
        <v>0.99907659989803987</v>
      </c>
      <c r="F39" s="27" t="s">
        <v>70</v>
      </c>
      <c r="G39" s="27" t="s">
        <v>70</v>
      </c>
      <c r="H39" s="27" t="s">
        <v>70</v>
      </c>
      <c r="I39" s="27" t="s">
        <v>70</v>
      </c>
      <c r="J39" s="27" t="s">
        <v>70</v>
      </c>
      <c r="K39" s="27" t="s">
        <v>70</v>
      </c>
      <c r="L39" s="27" t="s">
        <v>70</v>
      </c>
      <c r="M39" s="27" t="s">
        <v>70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</row>
    <row r="40" spans="1:71">
      <c r="A40" s="22">
        <v>-36</v>
      </c>
      <c r="B40" s="8">
        <f t="shared" si="1"/>
        <v>28.584134212105994</v>
      </c>
      <c r="C40" s="27" t="str">
        <f t="shared" si="2"/>
        <v>n.a.</v>
      </c>
      <c r="D40" s="27">
        <v>0.98340477462798892</v>
      </c>
      <c r="E40" s="27" t="s">
        <v>70</v>
      </c>
      <c r="F40" s="27" t="s">
        <v>70</v>
      </c>
      <c r="G40" s="27" t="s">
        <v>70</v>
      </c>
      <c r="H40" s="27" t="s">
        <v>70</v>
      </c>
      <c r="I40" s="27" t="s">
        <v>70</v>
      </c>
      <c r="J40" s="27" t="s">
        <v>70</v>
      </c>
      <c r="K40" s="27" t="s">
        <v>70</v>
      </c>
      <c r="L40" s="27" t="s">
        <v>70</v>
      </c>
      <c r="M40" s="27" t="s">
        <v>70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</row>
    <row r="41" spans="1:71">
      <c r="A41" s="22">
        <v>-35</v>
      </c>
      <c r="B41" s="8">
        <f t="shared" si="1"/>
        <v>31.570714257482457</v>
      </c>
      <c r="C41" s="27" t="str">
        <f t="shared" si="2"/>
        <v>n.a.</v>
      </c>
      <c r="D41" s="27">
        <v>0.99683503067833479</v>
      </c>
      <c r="E41" s="27" t="s">
        <v>70</v>
      </c>
      <c r="F41" s="27" t="s">
        <v>70</v>
      </c>
      <c r="G41" s="27" t="s">
        <v>70</v>
      </c>
      <c r="H41" s="27" t="s">
        <v>70</v>
      </c>
      <c r="I41" s="27" t="s">
        <v>70</v>
      </c>
      <c r="J41" s="27" t="s">
        <v>70</v>
      </c>
      <c r="K41" s="27" t="s">
        <v>70</v>
      </c>
      <c r="L41" s="27" t="s">
        <v>70</v>
      </c>
      <c r="M41" s="27" t="s">
        <v>70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</row>
    <row r="42" spans="1:71">
      <c r="A42" s="22">
        <v>-34</v>
      </c>
      <c r="B42" s="8">
        <f t="shared" si="1"/>
        <v>34.836218138797832</v>
      </c>
      <c r="C42" s="27" t="str">
        <f t="shared" si="2"/>
        <v>n.a.</v>
      </c>
      <c r="D42" s="27" t="s">
        <v>70</v>
      </c>
      <c r="E42" s="27" t="s">
        <v>70</v>
      </c>
      <c r="F42" s="27" t="s">
        <v>70</v>
      </c>
      <c r="G42" s="27" t="s">
        <v>70</v>
      </c>
      <c r="H42" s="27" t="s">
        <v>70</v>
      </c>
      <c r="I42" s="27" t="s">
        <v>70</v>
      </c>
      <c r="J42" s="27" t="s">
        <v>70</v>
      </c>
      <c r="K42" s="27" t="s">
        <v>70</v>
      </c>
      <c r="L42" s="27" t="s">
        <v>70</v>
      </c>
      <c r="M42" s="27" t="s">
        <v>70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</row>
    <row r="43" spans="1:71">
      <c r="A43" s="22">
        <v>-33</v>
      </c>
      <c r="B43" s="8">
        <f t="shared" si="1"/>
        <v>38.403492096677262</v>
      </c>
      <c r="C43" s="27" t="str">
        <f t="shared" si="2"/>
        <v>n.a.</v>
      </c>
      <c r="D43" s="27" t="s">
        <v>70</v>
      </c>
      <c r="E43" s="27" t="s">
        <v>70</v>
      </c>
      <c r="F43" s="27" t="s">
        <v>70</v>
      </c>
      <c r="G43" s="27" t="s">
        <v>70</v>
      </c>
      <c r="H43" s="27" t="s">
        <v>70</v>
      </c>
      <c r="I43" s="27" t="s">
        <v>70</v>
      </c>
      <c r="J43" s="27" t="s">
        <v>70</v>
      </c>
      <c r="K43" s="27" t="s">
        <v>70</v>
      </c>
      <c r="L43" s="27" t="s">
        <v>70</v>
      </c>
      <c r="M43" s="27" t="s">
        <v>70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</row>
    <row r="44" spans="1:71">
      <c r="A44" s="22">
        <v>-32</v>
      </c>
      <c r="B44" s="8">
        <f t="shared" si="1"/>
        <v>42.296977775381023</v>
      </c>
      <c r="C44" s="27" t="str">
        <f t="shared" si="2"/>
        <v>n.a.</v>
      </c>
      <c r="D44" s="27" t="s">
        <v>70</v>
      </c>
      <c r="E44" s="27" t="s">
        <v>70</v>
      </c>
      <c r="F44" s="27" t="s">
        <v>70</v>
      </c>
      <c r="G44" s="27" t="s">
        <v>70</v>
      </c>
      <c r="H44" s="27" t="s">
        <v>70</v>
      </c>
      <c r="I44" s="27" t="s">
        <v>70</v>
      </c>
      <c r="J44" s="27" t="s">
        <v>70</v>
      </c>
      <c r="K44" s="27" t="s">
        <v>70</v>
      </c>
      <c r="L44" s="27" t="s">
        <v>70</v>
      </c>
      <c r="M44" s="27" t="s">
        <v>70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</row>
    <row r="45" spans="1:71">
      <c r="A45" s="22">
        <v>-31</v>
      </c>
      <c r="B45" s="8">
        <f t="shared" si="1"/>
        <v>46.54280284136037</v>
      </c>
      <c r="C45" s="27" t="str">
        <f t="shared" si="2"/>
        <v>n.a.</v>
      </c>
      <c r="D45" s="27" t="s">
        <v>70</v>
      </c>
      <c r="E45" s="27" t="s">
        <v>70</v>
      </c>
      <c r="F45" s="27" t="s">
        <v>70</v>
      </c>
      <c r="G45" s="27" t="s">
        <v>70</v>
      </c>
      <c r="H45" s="27" t="s">
        <v>70</v>
      </c>
      <c r="I45" s="27" t="s">
        <v>70</v>
      </c>
      <c r="J45" s="27" t="s">
        <v>70</v>
      </c>
      <c r="K45" s="27" t="s">
        <v>70</v>
      </c>
      <c r="L45" s="27" t="s">
        <v>70</v>
      </c>
      <c r="M45" s="27" t="s">
        <v>70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</row>
    <row r="46" spans="1:71">
      <c r="A46" s="22">
        <v>-30</v>
      </c>
      <c r="B46" s="8">
        <f t="shared" si="1"/>
        <v>51.168875410507653</v>
      </c>
      <c r="C46" s="27" t="str">
        <f t="shared" si="2"/>
        <v>n.a.</v>
      </c>
      <c r="D46" s="27" t="s">
        <v>70</v>
      </c>
      <c r="E46" s="27" t="s">
        <v>70</v>
      </c>
      <c r="F46" s="27" t="s">
        <v>70</v>
      </c>
      <c r="G46" s="27" t="s">
        <v>70</v>
      </c>
      <c r="H46" s="27" t="s">
        <v>70</v>
      </c>
      <c r="I46" s="27" t="s">
        <v>70</v>
      </c>
      <c r="J46" s="27" t="s">
        <v>70</v>
      </c>
      <c r="K46" s="27" t="s">
        <v>70</v>
      </c>
      <c r="L46" s="27" t="s">
        <v>70</v>
      </c>
      <c r="M46" s="27" t="s">
        <v>70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</row>
    <row r="47" spans="1:71">
      <c r="A47" s="22">
        <v>-29</v>
      </c>
      <c r="B47" s="8">
        <f t="shared" si="1"/>
        <v>56.204982372779831</v>
      </c>
      <c r="C47" s="27" t="str">
        <f t="shared" si="2"/>
        <v>n.a.</v>
      </c>
      <c r="D47" s="27" t="s">
        <v>70</v>
      </c>
      <c r="E47" s="27" t="s">
        <v>70</v>
      </c>
      <c r="F47" s="27" t="s">
        <v>70</v>
      </c>
      <c r="G47" s="27" t="s">
        <v>70</v>
      </c>
      <c r="H47" s="27" t="s">
        <v>70</v>
      </c>
      <c r="I47" s="27" t="s">
        <v>70</v>
      </c>
      <c r="J47" s="27" t="s">
        <v>70</v>
      </c>
      <c r="K47" s="27" t="s">
        <v>70</v>
      </c>
      <c r="L47" s="27" t="s">
        <v>70</v>
      </c>
      <c r="M47" s="27" t="s">
        <v>70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</row>
    <row r="48" spans="1:71">
      <c r="A48" s="22">
        <v>-28</v>
      </c>
      <c r="B48" s="8">
        <f t="shared" si="1"/>
        <v>61.682891701831217</v>
      </c>
      <c r="C48" s="27" t="str">
        <f t="shared" si="2"/>
        <v>n.a.</v>
      </c>
      <c r="D48" s="27" t="s">
        <v>70</v>
      </c>
      <c r="E48" s="27" t="s">
        <v>70</v>
      </c>
      <c r="F48" s="27" t="s">
        <v>70</v>
      </c>
      <c r="G48" s="27" t="s">
        <v>70</v>
      </c>
      <c r="H48" s="27" t="s">
        <v>70</v>
      </c>
      <c r="I48" s="27" t="s">
        <v>70</v>
      </c>
      <c r="J48" s="27" t="s">
        <v>70</v>
      </c>
      <c r="K48" s="27" t="s">
        <v>70</v>
      </c>
      <c r="L48" s="27" t="s">
        <v>70</v>
      </c>
      <c r="M48" s="27" t="s">
        <v>70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</row>
    <row r="49" spans="1:71">
      <c r="A49" s="22">
        <v>-27</v>
      </c>
      <c r="B49" s="8">
        <f t="shared" si="1"/>
        <v>67.63645883611386</v>
      </c>
      <c r="C49" s="27" t="str">
        <f t="shared" si="2"/>
        <v>n.a.</v>
      </c>
      <c r="D49" s="27" t="s">
        <v>70</v>
      </c>
      <c r="E49" s="27" t="s">
        <v>70</v>
      </c>
      <c r="F49" s="27" t="s">
        <v>70</v>
      </c>
      <c r="G49" s="27" t="s">
        <v>70</v>
      </c>
      <c r="H49" s="27" t="s">
        <v>70</v>
      </c>
      <c r="I49" s="27" t="s">
        <v>70</v>
      </c>
      <c r="J49" s="27" t="s">
        <v>70</v>
      </c>
      <c r="K49" s="27" t="s">
        <v>70</v>
      </c>
      <c r="L49" s="27" t="s">
        <v>70</v>
      </c>
      <c r="M49" s="27" t="s">
        <v>70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</row>
    <row r="50" spans="1:71">
      <c r="A50" s="22">
        <v>-26</v>
      </c>
      <c r="B50" s="8">
        <f t="shared" si="1"/>
        <v>74.101737216597968</v>
      </c>
      <c r="C50" s="27" t="str">
        <f t="shared" si="2"/>
        <v>n.a.</v>
      </c>
      <c r="D50" s="27" t="s">
        <v>70</v>
      </c>
      <c r="E50" s="27" t="s">
        <v>70</v>
      </c>
      <c r="F50" s="27" t="s">
        <v>70</v>
      </c>
      <c r="G50" s="27" t="s">
        <v>70</v>
      </c>
      <c r="H50" s="27" t="s">
        <v>70</v>
      </c>
      <c r="I50" s="27" t="s">
        <v>70</v>
      </c>
      <c r="J50" s="27" t="s">
        <v>70</v>
      </c>
      <c r="K50" s="27" t="s">
        <v>70</v>
      </c>
      <c r="L50" s="27" t="s">
        <v>70</v>
      </c>
      <c r="M50" s="27" t="s">
        <v>70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</row>
    <row r="51" spans="1:71">
      <c r="A51" s="22">
        <v>-25</v>
      </c>
      <c r="B51" s="8">
        <f t="shared" si="1"/>
        <v>81.117093064826406</v>
      </c>
      <c r="C51" s="27" t="str">
        <f t="shared" si="2"/>
        <v>n.a.</v>
      </c>
      <c r="D51" s="27" t="s">
        <v>70</v>
      </c>
      <c r="E51" s="27" t="s">
        <v>70</v>
      </c>
      <c r="F51" s="27" t="s">
        <v>70</v>
      </c>
      <c r="G51" s="27" t="s">
        <v>70</v>
      </c>
      <c r="H51" s="27" t="s">
        <v>70</v>
      </c>
      <c r="I51" s="27" t="s">
        <v>70</v>
      </c>
      <c r="J51" s="27" t="s">
        <v>70</v>
      </c>
      <c r="K51" s="27" t="s">
        <v>70</v>
      </c>
      <c r="L51" s="27" t="s">
        <v>70</v>
      </c>
      <c r="M51" s="27" t="s">
        <v>70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</row>
    <row r="52" spans="1:71">
      <c r="A52" s="2"/>
      <c r="B52" s="8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8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</row>
    <row r="53" spans="1:71">
      <c r="A53" s="2"/>
      <c r="B53" s="8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8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</row>
    <row r="54" spans="1:71" ht="21">
      <c r="A54" s="1" t="s">
        <v>72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</row>
    <row r="55" spans="1:7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</row>
    <row r="56" spans="1:71">
      <c r="A56" s="22" t="s">
        <v>73</v>
      </c>
      <c r="B56" s="22"/>
      <c r="C56" s="22"/>
      <c r="D56" s="22"/>
      <c r="E56" s="22"/>
      <c r="F56" s="2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</row>
    <row r="57" spans="1:7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</row>
    <row r="58" spans="1:71">
      <c r="A58" s="2" t="s">
        <v>74</v>
      </c>
      <c r="B58" s="2"/>
      <c r="C58" s="2"/>
      <c r="D58" s="2">
        <v>20000</v>
      </c>
      <c r="E58" s="2">
        <v>25000</v>
      </c>
      <c r="F58" s="2">
        <v>30000</v>
      </c>
      <c r="G58" s="2">
        <v>35000</v>
      </c>
      <c r="H58" s="2">
        <v>36089</v>
      </c>
      <c r="I58" s="2">
        <v>40000</v>
      </c>
      <c r="J58" s="2">
        <v>45000</v>
      </c>
      <c r="K58" s="2">
        <v>50000</v>
      </c>
      <c r="L58" s="2">
        <v>55000</v>
      </c>
      <c r="M58" s="2">
        <v>60000</v>
      </c>
      <c r="N58" s="2"/>
      <c r="O58" s="4" t="s">
        <v>69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</row>
    <row r="59" spans="1:71">
      <c r="A59" s="29" t="s">
        <v>75</v>
      </c>
      <c r="B59" s="30" t="s">
        <v>76</v>
      </c>
      <c r="C59" s="30" t="s">
        <v>77</v>
      </c>
      <c r="D59" s="73">
        <f t="shared" ref="D59:M59" si="3">a_tot*D58+b_tot</f>
        <v>10.15428</v>
      </c>
      <c r="E59" s="73">
        <f t="shared" si="3"/>
        <v>9.9373500000000003</v>
      </c>
      <c r="F59" s="73">
        <f t="shared" si="3"/>
        <v>9.7204200000000007</v>
      </c>
      <c r="G59" s="73">
        <f t="shared" si="3"/>
        <v>9.5034899999999993</v>
      </c>
      <c r="H59" s="73">
        <f t="shared" si="3"/>
        <v>9.4562426459999998</v>
      </c>
      <c r="I59" s="73">
        <f t="shared" si="3"/>
        <v>9.2865599999999997</v>
      </c>
      <c r="J59" s="73">
        <f t="shared" si="3"/>
        <v>9.0696300000000001</v>
      </c>
      <c r="K59" s="73">
        <f t="shared" si="3"/>
        <v>8.8527000000000005</v>
      </c>
      <c r="L59" s="73">
        <f t="shared" si="3"/>
        <v>8.6357700000000008</v>
      </c>
      <c r="M59" s="73">
        <f t="shared" si="3"/>
        <v>8.4188399999999994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</row>
    <row r="60" spans="1:71">
      <c r="A60" s="2">
        <v>-60</v>
      </c>
      <c r="B60" s="2"/>
      <c r="C60" s="2"/>
      <c r="D60" s="32" t="str">
        <f t="shared" ref="D60:M60" si="4">IF(D16="n.a.","n.a.",1-(1/D$59^b_t)*((D$58-b_H)/a_H-$A60)^b_t)</f>
        <v>n.a.</v>
      </c>
      <c r="E60" s="32" t="str">
        <f t="shared" si="4"/>
        <v>n.a.</v>
      </c>
      <c r="F60" s="32" t="str">
        <f t="shared" si="4"/>
        <v>n.a.</v>
      </c>
      <c r="G60" s="32" t="str">
        <f t="shared" si="4"/>
        <v>n.a.</v>
      </c>
      <c r="H60" s="32" t="str">
        <f t="shared" si="4"/>
        <v>n.a.</v>
      </c>
      <c r="I60" s="32" t="str">
        <f t="shared" si="4"/>
        <v>n.a.</v>
      </c>
      <c r="J60" s="32" t="str">
        <f t="shared" si="4"/>
        <v>n.a.</v>
      </c>
      <c r="K60" s="32" t="str">
        <f t="shared" si="4"/>
        <v>n.a.</v>
      </c>
      <c r="L60" s="32" t="str">
        <f t="shared" si="4"/>
        <v>n.a.</v>
      </c>
      <c r="M60" s="32">
        <f t="shared" si="4"/>
        <v>0.43133317270269322</v>
      </c>
      <c r="N60" s="2"/>
      <c r="O60" s="2" t="s">
        <v>42</v>
      </c>
      <c r="P60" s="2">
        <v>1.25</v>
      </c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</row>
    <row r="61" spans="1:71">
      <c r="A61" s="2">
        <v>-59</v>
      </c>
      <c r="B61" s="2"/>
      <c r="C61" s="2"/>
      <c r="D61" s="32" t="str">
        <f t="shared" ref="D61:M61" si="5">IF(D17="n.a.","n.a.",1-(1/D$59^b_t)*((D$58-b_H)/a_H-$A61)^b_t)</f>
        <v>n.a.</v>
      </c>
      <c r="E61" s="32" t="str">
        <f t="shared" si="5"/>
        <v>n.a.</v>
      </c>
      <c r="F61" s="32" t="str">
        <f t="shared" si="5"/>
        <v>n.a.</v>
      </c>
      <c r="G61" s="32" t="str">
        <f t="shared" si="5"/>
        <v>n.a.</v>
      </c>
      <c r="H61" s="32" t="str">
        <f t="shared" si="5"/>
        <v>n.a.</v>
      </c>
      <c r="I61" s="32" t="str">
        <f t="shared" si="5"/>
        <v>n.a.</v>
      </c>
      <c r="J61" s="32" t="str">
        <f t="shared" si="5"/>
        <v>n.a.</v>
      </c>
      <c r="K61" s="32" t="str">
        <f t="shared" si="5"/>
        <v>n.a.</v>
      </c>
      <c r="L61" s="32">
        <f t="shared" si="5"/>
        <v>0.14372458006669353</v>
      </c>
      <c r="M61" s="32">
        <f t="shared" si="5"/>
        <v>0.62451818222558309</v>
      </c>
      <c r="N61" s="2"/>
      <c r="O61" s="2" t="s">
        <v>44</v>
      </c>
      <c r="P61" s="2">
        <v>1004</v>
      </c>
      <c r="Q61" s="2" t="s">
        <v>45</v>
      </c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</row>
    <row r="62" spans="1:71">
      <c r="A62" s="2">
        <v>-58</v>
      </c>
      <c r="B62" s="2"/>
      <c r="C62" s="2"/>
      <c r="D62" s="32" t="str">
        <f t="shared" ref="D62:M62" si="6">IF(D18="n.a.","n.a.",1-(1/D$59^b_t)*((D$58-b_H)/a_H-$A62)^b_t)</f>
        <v>n.a.</v>
      </c>
      <c r="E62" s="32" t="str">
        <f t="shared" si="6"/>
        <v>n.a.</v>
      </c>
      <c r="F62" s="32" t="str">
        <f t="shared" si="6"/>
        <v>n.a.</v>
      </c>
      <c r="G62" s="32" t="str">
        <f t="shared" si="6"/>
        <v>n.a.</v>
      </c>
      <c r="H62" s="32" t="str">
        <f t="shared" si="6"/>
        <v>n.a.</v>
      </c>
      <c r="I62" s="32" t="str">
        <f t="shared" si="6"/>
        <v>n.a.</v>
      </c>
      <c r="J62" s="32" t="str">
        <f t="shared" si="6"/>
        <v>n.a.</v>
      </c>
      <c r="K62" s="32" t="str">
        <f t="shared" si="6"/>
        <v>n.a.</v>
      </c>
      <c r="L62" s="32">
        <f t="shared" si="6"/>
        <v>0.3910917946753607</v>
      </c>
      <c r="M62" s="32">
        <f t="shared" si="6"/>
        <v>0.77093459826323507</v>
      </c>
      <c r="N62" s="2"/>
      <c r="O62" s="2" t="s">
        <v>46</v>
      </c>
      <c r="P62" s="2">
        <v>0.622</v>
      </c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</row>
    <row r="63" spans="1:71">
      <c r="A63" s="2">
        <v>-57</v>
      </c>
      <c r="B63" s="2"/>
      <c r="C63" s="2"/>
      <c r="D63" s="32" t="str">
        <f t="shared" ref="D63:M63" si="7">IF(D19="n.a.","n.a.",1-(1/D$59^b_t)*((D$58-b_H)/a_H-$A63)^b_t)</f>
        <v>n.a.</v>
      </c>
      <c r="E63" s="32" t="str">
        <f t="shared" si="7"/>
        <v>n.a.</v>
      </c>
      <c r="F63" s="32" t="str">
        <f t="shared" si="7"/>
        <v>n.a.</v>
      </c>
      <c r="G63" s="32" t="str">
        <f t="shared" si="7"/>
        <v>n.a.</v>
      </c>
      <c r="H63" s="32" t="str">
        <f t="shared" si="7"/>
        <v>n.a.</v>
      </c>
      <c r="I63" s="32" t="str">
        <f t="shared" si="7"/>
        <v>n.a.</v>
      </c>
      <c r="J63" s="32" t="str">
        <f t="shared" si="7"/>
        <v>n.a.</v>
      </c>
      <c r="K63" s="32">
        <f t="shared" si="7"/>
        <v>0.10161168771329376</v>
      </c>
      <c r="L63" s="32">
        <f t="shared" si="7"/>
        <v>0.58875858840124384</v>
      </c>
      <c r="M63" s="32">
        <f t="shared" si="7"/>
        <v>0.87563107333172074</v>
      </c>
      <c r="N63" s="2"/>
      <c r="O63" s="2" t="s">
        <v>48</v>
      </c>
      <c r="P63" s="16">
        <v>43000000</v>
      </c>
      <c r="Q63" s="2" t="s">
        <v>49</v>
      </c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</row>
    <row r="64" spans="1:71">
      <c r="A64" s="2">
        <v>-56</v>
      </c>
      <c r="B64" s="2"/>
      <c r="C64" s="2"/>
      <c r="D64" s="32" t="str">
        <f t="shared" ref="D64:M64" si="8">IF(D20="n.a.","n.a.",1-(1/D$59^b_t)*((D$58-b_H)/a_H-$A64)^b_t)</f>
        <v>n.a.</v>
      </c>
      <c r="E64" s="32" t="str">
        <f t="shared" si="8"/>
        <v>n.a.</v>
      </c>
      <c r="F64" s="32" t="str">
        <f t="shared" si="8"/>
        <v>n.a.</v>
      </c>
      <c r="G64" s="32" t="str">
        <f t="shared" si="8"/>
        <v>n.a.</v>
      </c>
      <c r="H64" s="32" t="str">
        <f t="shared" si="8"/>
        <v>n.a.</v>
      </c>
      <c r="I64" s="32" t="str">
        <f t="shared" si="8"/>
        <v>n.a.</v>
      </c>
      <c r="J64" s="32" t="str">
        <f t="shared" si="8"/>
        <v>n.a.</v>
      </c>
      <c r="K64" s="32">
        <f t="shared" si="8"/>
        <v>0.35124031009508128</v>
      </c>
      <c r="L64" s="32">
        <f t="shared" si="8"/>
        <v>0.74103161276262686</v>
      </c>
      <c r="M64" s="32">
        <f t="shared" si="8"/>
        <v>0.94410730486416006</v>
      </c>
      <c r="N64" s="2"/>
      <c r="O64" s="2" t="s">
        <v>51</v>
      </c>
      <c r="P64" s="2">
        <v>0.35</v>
      </c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</row>
    <row r="65" spans="1:71">
      <c r="A65" s="2">
        <v>-55</v>
      </c>
      <c r="B65" s="2"/>
      <c r="C65" s="2"/>
      <c r="D65" s="32" t="str">
        <f t="shared" ref="D65:M65" si="9">IF(D21="n.a.","n.a.",1-(1/D$59^b_t)*((D$58-b_H)/a_H-$A65)^b_t)</f>
        <v>n.a.</v>
      </c>
      <c r="E65" s="32" t="str">
        <f t="shared" si="9"/>
        <v>n.a.</v>
      </c>
      <c r="F65" s="32" t="str">
        <f t="shared" si="9"/>
        <v>n.a.</v>
      </c>
      <c r="G65" s="32" t="str">
        <f t="shared" si="9"/>
        <v>n.a.</v>
      </c>
      <c r="H65" s="32" t="str">
        <f t="shared" si="9"/>
        <v>n.a.</v>
      </c>
      <c r="I65" s="32" t="str">
        <f t="shared" si="9"/>
        <v>n.a.</v>
      </c>
      <c r="J65" s="32">
        <f t="shared" si="9"/>
        <v>6.0351020351821161E-2</v>
      </c>
      <c r="K65" s="32">
        <f t="shared" si="9"/>
        <v>0.55287624416767733</v>
      </c>
      <c r="L65" s="32">
        <f t="shared" si="9"/>
        <v>0.85251169531180304</v>
      </c>
      <c r="M65" s="32">
        <f t="shared" si="9"/>
        <v>0.98250015851090033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</row>
    <row r="66" spans="1:71">
      <c r="A66" s="2">
        <v>-54</v>
      </c>
      <c r="B66" s="2"/>
      <c r="C66" s="2"/>
      <c r="D66" s="32" t="str">
        <f t="shared" ref="D66:M66" si="10">IF(D22="n.a.","n.a.",1-(1/D$59^b_t)*((D$58-b_H)/a_H-$A66)^b_t)</f>
        <v>n.a.</v>
      </c>
      <c r="E66" s="32" t="str">
        <f t="shared" si="10"/>
        <v>n.a.</v>
      </c>
      <c r="F66" s="32" t="str">
        <f t="shared" si="10"/>
        <v>n.a.</v>
      </c>
      <c r="G66" s="32" t="str">
        <f t="shared" si="10"/>
        <v>n.a.</v>
      </c>
      <c r="H66" s="32" t="str">
        <f t="shared" si="10"/>
        <v>n.a.</v>
      </c>
      <c r="I66" s="32" t="str">
        <f t="shared" si="10"/>
        <v>n.a.</v>
      </c>
      <c r="J66" s="32">
        <f t="shared" si="10"/>
        <v>0.31184041614645919</v>
      </c>
      <c r="K66" s="32">
        <f t="shared" si="10"/>
        <v>0.71047200211918504</v>
      </c>
      <c r="L66" s="32">
        <f t="shared" si="10"/>
        <v>0.92817964184374535</v>
      </c>
      <c r="M66" s="32">
        <f t="shared" si="10"/>
        <v>0.99796777452932095</v>
      </c>
      <c r="N66" s="2"/>
      <c r="O66" s="2" t="s">
        <v>71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</row>
    <row r="67" spans="1:71">
      <c r="A67" s="2">
        <v>-53</v>
      </c>
      <c r="B67" s="2"/>
      <c r="C67" s="2"/>
      <c r="D67" s="32" t="str">
        <f t="shared" ref="D67:M67" si="11">IF(D23="n.a.","n.a.",1-(1/D$59^b_t)*((D$58-b_H)/a_H-$A67)^b_t)</f>
        <v>n.a.</v>
      </c>
      <c r="E67" s="32" t="str">
        <f t="shared" si="11"/>
        <v>n.a.</v>
      </c>
      <c r="F67" s="32" t="str">
        <f t="shared" si="11"/>
        <v>n.a.</v>
      </c>
      <c r="G67" s="32" t="str">
        <f t="shared" si="11"/>
        <v>n.a.</v>
      </c>
      <c r="H67" s="32" t="str">
        <f t="shared" si="11"/>
        <v>n.a.</v>
      </c>
      <c r="I67" s="32">
        <f t="shared" si="11"/>
        <v>1.9951402367897608E-2</v>
      </c>
      <c r="J67" s="32">
        <f t="shared" si="11"/>
        <v>0.51697814286108335</v>
      </c>
      <c r="K67" s="32">
        <f t="shared" si="11"/>
        <v>0.82823431290683358</v>
      </c>
      <c r="L67" s="32">
        <f t="shared" si="11"/>
        <v>0.97353740299028479</v>
      </c>
      <c r="M67" s="32" t="str">
        <f t="shared" si="11"/>
        <v>n.a.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</row>
    <row r="68" spans="1:71">
      <c r="A68" s="2">
        <v>-52</v>
      </c>
      <c r="B68" s="2"/>
      <c r="C68" s="2"/>
      <c r="D68" s="32" t="str">
        <f t="shared" ref="D68:M68" si="12">IF(D24="n.a.","n.a.",1-(1/D$59^b_t)*((D$58-b_H)/a_H-$A68)^b_t)</f>
        <v>n.a.</v>
      </c>
      <c r="E68" s="32" t="str">
        <f t="shared" si="12"/>
        <v>n.a.</v>
      </c>
      <c r="F68" s="32" t="str">
        <f t="shared" si="12"/>
        <v>n.a.</v>
      </c>
      <c r="G68" s="32" t="str">
        <f t="shared" si="12"/>
        <v>n.a.</v>
      </c>
      <c r="H68" s="32" t="str">
        <f t="shared" si="12"/>
        <v>n.a.</v>
      </c>
      <c r="I68" s="32">
        <f t="shared" si="12"/>
        <v>0.27294191866658546</v>
      </c>
      <c r="J68" s="32">
        <f t="shared" si="12"/>
        <v>0.67940130669532972</v>
      </c>
      <c r="K68" s="32">
        <f t="shared" si="12"/>
        <v>0.91069298655411546</v>
      </c>
      <c r="L68" s="32">
        <f t="shared" si="12"/>
        <v>0.99487691779428689</v>
      </c>
      <c r="M68" s="32" t="str">
        <f t="shared" si="12"/>
        <v>n.a.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</row>
    <row r="69" spans="1:71">
      <c r="A69" s="2">
        <v>-51</v>
      </c>
      <c r="B69" s="2"/>
      <c r="C69" s="2"/>
      <c r="D69" s="32" t="str">
        <f t="shared" ref="D69:M69" si="13">IF(D25="n.a.","n.a.",1-(1/D$59^b_t)*((D$58-b_H)/a_H-$A69)^b_t)</f>
        <v>n.a.</v>
      </c>
      <c r="E69" s="32" t="str">
        <f t="shared" si="13"/>
        <v>n.a.</v>
      </c>
      <c r="F69" s="32" t="str">
        <f t="shared" si="13"/>
        <v>n.a.</v>
      </c>
      <c r="G69" s="32" t="str">
        <f t="shared" si="13"/>
        <v>n.a.</v>
      </c>
      <c r="H69" s="32">
        <f t="shared" si="13"/>
        <v>0.10512276466637427</v>
      </c>
      <c r="I69" s="32">
        <f t="shared" si="13"/>
        <v>0.48115562992334371</v>
      </c>
      <c r="J69" s="32">
        <f t="shared" si="13"/>
        <v>0.80296805004144733</v>
      </c>
      <c r="K69" s="32">
        <f t="shared" si="13"/>
        <v>0.96281013438634644</v>
      </c>
      <c r="L69" s="32" t="str">
        <f t="shared" si="13"/>
        <v>n.a.</v>
      </c>
      <c r="M69" s="32" t="str">
        <f t="shared" si="13"/>
        <v>n.a.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</row>
    <row r="70" spans="1:71">
      <c r="A70" s="2">
        <v>-50</v>
      </c>
      <c r="B70" s="2"/>
      <c r="C70" s="2"/>
      <c r="D70" s="32" t="str">
        <f t="shared" ref="D70:M70" si="14">IF(D26="n.a.","n.a.",1-(1/D$59^b_t)*((D$58-b_H)/a_H-$A70)^b_t)</f>
        <v>n.a.</v>
      </c>
      <c r="E70" s="32" t="str">
        <f t="shared" si="14"/>
        <v>n.a.</v>
      </c>
      <c r="F70" s="32" t="str">
        <f t="shared" si="14"/>
        <v>n.a.</v>
      </c>
      <c r="G70" s="32">
        <f t="shared" si="14"/>
        <v>0.23458452564495091</v>
      </c>
      <c r="H70" s="32">
        <f t="shared" si="14"/>
        <v>0.33969484923611515</v>
      </c>
      <c r="I70" s="32">
        <f t="shared" si="14"/>
        <v>0.64794767135336617</v>
      </c>
      <c r="J70" s="32">
        <f t="shared" si="14"/>
        <v>0.89181345596551342</v>
      </c>
      <c r="K70" s="32">
        <f t="shared" si="14"/>
        <v>0.99017556212678393</v>
      </c>
      <c r="L70" s="32" t="str">
        <f t="shared" si="14"/>
        <v>n.a.</v>
      </c>
      <c r="M70" s="32" t="str">
        <f t="shared" si="14"/>
        <v>n.a.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</row>
    <row r="71" spans="1:71">
      <c r="A71" s="2">
        <v>-49</v>
      </c>
      <c r="B71" s="2"/>
      <c r="C71" s="2"/>
      <c r="D71" s="32" t="str">
        <f t="shared" ref="D71:M71" si="15">IF(D27="n.a.","n.a.",1-(1/D$59^b_t)*((D$58-b_H)/a_H-$A71)^b_t)</f>
        <v>n.a.</v>
      </c>
      <c r="E71" s="32" t="str">
        <f t="shared" si="15"/>
        <v>n.a.</v>
      </c>
      <c r="F71" s="32" t="str">
        <f t="shared" si="15"/>
        <v>n.a.</v>
      </c>
      <c r="G71" s="32">
        <f t="shared" si="15"/>
        <v>0.44548640862019928</v>
      </c>
      <c r="H71" s="32">
        <f t="shared" si="15"/>
        <v>0.53203151444452412</v>
      </c>
      <c r="I71" s="32">
        <f t="shared" si="15"/>
        <v>0.77686643661491206</v>
      </c>
      <c r="J71" s="32">
        <f t="shared" si="15"/>
        <v>0.95043547561035058</v>
      </c>
      <c r="K71" s="32">
        <f t="shared" si="15"/>
        <v>0.9994443431417388</v>
      </c>
      <c r="L71" s="32" t="str">
        <f t="shared" si="15"/>
        <v>n.a.</v>
      </c>
      <c r="M71" s="32" t="str">
        <f t="shared" si="15"/>
        <v>n.a.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</row>
    <row r="72" spans="1:71">
      <c r="A72" s="2">
        <v>-48</v>
      </c>
      <c r="B72" s="2"/>
      <c r="C72" s="2"/>
      <c r="D72" s="32" t="str">
        <f t="shared" ref="D72:M72" si="16">IF(D28="n.a.","n.a.",1-(1/D$59^b_t)*((D$58-b_H)/a_H-$A72)^b_t)</f>
        <v>n.a.</v>
      </c>
      <c r="E72" s="32" t="str">
        <f t="shared" si="16"/>
        <v>n.a.</v>
      </c>
      <c r="F72" s="32">
        <f t="shared" si="16"/>
        <v>0.19679937864016694</v>
      </c>
      <c r="G72" s="32">
        <f t="shared" si="16"/>
        <v>0.6162235818129973</v>
      </c>
      <c r="H72" s="32">
        <f t="shared" si="16"/>
        <v>0.6853597861722216</v>
      </c>
      <c r="I72" s="32">
        <f t="shared" si="16"/>
        <v>0.87169942308907156</v>
      </c>
      <c r="J72" s="32">
        <f t="shared" si="16"/>
        <v>0.98384107869575899</v>
      </c>
      <c r="K72" s="32" t="str">
        <f t="shared" si="16"/>
        <v>n.a.</v>
      </c>
      <c r="L72" s="32" t="str">
        <f t="shared" si="16"/>
        <v>n.a.</v>
      </c>
      <c r="M72" s="32" t="str">
        <f t="shared" si="16"/>
        <v>n.a.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</row>
    <row r="73" spans="1:71">
      <c r="A73" s="2">
        <v>-47</v>
      </c>
      <c r="B73" s="2"/>
      <c r="C73" s="2"/>
      <c r="D73" s="32" t="str">
        <f t="shared" ref="D73:M73" si="17">IF(D29="n.a.","n.a.",1-(1/D$59^b_t)*((D$58-b_H)/a_H-$A73)^b_t)</f>
        <v>n.a.</v>
      </c>
      <c r="E73" s="32" t="str">
        <f t="shared" si="17"/>
        <v>n.a.</v>
      </c>
      <c r="F73" s="32">
        <f t="shared" si="17"/>
        <v>0.41003630927524182</v>
      </c>
      <c r="G73" s="32">
        <f t="shared" si="17"/>
        <v>0.7500680499712522</v>
      </c>
      <c r="H73" s="32">
        <f t="shared" si="17"/>
        <v>0.80309681923635101</v>
      </c>
      <c r="I73" s="32">
        <f t="shared" si="17"/>
        <v>0.93654180764805628</v>
      </c>
      <c r="J73" s="32">
        <f t="shared" si="17"/>
        <v>0.99784198073382979</v>
      </c>
      <c r="K73" s="32" t="str">
        <f t="shared" si="17"/>
        <v>n.a.</v>
      </c>
      <c r="L73" s="32" t="str">
        <f t="shared" si="17"/>
        <v>n.a.</v>
      </c>
      <c r="M73" s="32" t="str">
        <f t="shared" si="17"/>
        <v>n.a.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</row>
    <row r="74" spans="1:71">
      <c r="A74" s="2">
        <v>-46</v>
      </c>
      <c r="B74" s="2"/>
      <c r="C74" s="2"/>
      <c r="D74" s="32" t="str">
        <f t="shared" ref="D74:M74" si="18">IF(D30="n.a.","n.a.",1-(1/D$59^b_t)*((D$58-b_H)/a_H-$A74)^b_t)</f>
        <v>n.a.</v>
      </c>
      <c r="E74" s="32">
        <f t="shared" si="18"/>
        <v>0.1596103596457451</v>
      </c>
      <c r="F74" s="32">
        <f t="shared" si="18"/>
        <v>0.58432750666032363</v>
      </c>
      <c r="G74" s="32">
        <f t="shared" si="18"/>
        <v>0.85049958753659283</v>
      </c>
      <c r="H74" s="32">
        <f t="shared" si="18"/>
        <v>0.88889623142395036</v>
      </c>
      <c r="I74" s="32">
        <f t="shared" si="18"/>
        <v>0.97590830221571168</v>
      </c>
      <c r="J74" s="32" t="str">
        <f t="shared" si="18"/>
        <v>n.a.</v>
      </c>
      <c r="K74" s="32" t="str">
        <f t="shared" si="18"/>
        <v>n.a.</v>
      </c>
      <c r="L74" s="32" t="str">
        <f t="shared" si="18"/>
        <v>n.a.</v>
      </c>
      <c r="M74" s="32" t="str">
        <f t="shared" si="18"/>
        <v>n.a.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</row>
    <row r="75" spans="1:71">
      <c r="A75" s="2">
        <v>-45</v>
      </c>
      <c r="B75" s="2"/>
      <c r="C75" s="2"/>
      <c r="D75" s="32" t="str">
        <f t="shared" ref="D75:M75" si="19">IF(D31="n.a.","n.a.",1-(1/D$59^b_t)*((D$58-b_H)/a_H-$A75)^b_t)</f>
        <v>n.a.</v>
      </c>
      <c r="E75" s="32">
        <f t="shared" si="19"/>
        <v>0.37486084284534626</v>
      </c>
      <c r="F75" s="32">
        <f t="shared" si="19"/>
        <v>0.72269740995440557</v>
      </c>
      <c r="G75" s="32">
        <f t="shared" si="19"/>
        <v>0.92126115055203806</v>
      </c>
      <c r="H75" s="32">
        <f t="shared" si="19"/>
        <v>0.94671819054887862</v>
      </c>
      <c r="I75" s="32">
        <f t="shared" si="19"/>
        <v>0.99494298587359609</v>
      </c>
      <c r="J75" s="32" t="str">
        <f t="shared" si="19"/>
        <v>n.a.</v>
      </c>
      <c r="K75" s="32" t="str">
        <f t="shared" si="19"/>
        <v>n.a.</v>
      </c>
      <c r="L75" s="32" t="str">
        <f t="shared" si="19"/>
        <v>n.a.</v>
      </c>
      <c r="M75" s="32" t="str">
        <f t="shared" si="19"/>
        <v>n.a.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</row>
    <row r="76" spans="1:71">
      <c r="A76" s="2">
        <v>-44</v>
      </c>
      <c r="B76" s="2"/>
      <c r="C76" s="2"/>
      <c r="D76" s="32">
        <f t="shared" ref="D76:M76" si="20">IF(D32="n.a.","n.a.",1-(1/D$59^b_t)*((D$58-b_H)/a_H-$A76)^b_t)</f>
        <v>0.12303520602480733</v>
      </c>
      <c r="E76" s="32">
        <f t="shared" si="20"/>
        <v>0.55234541921549585</v>
      </c>
      <c r="F76" s="32">
        <f t="shared" si="20"/>
        <v>0.82835205169175863</v>
      </c>
      <c r="G76" s="32">
        <f t="shared" si="20"/>
        <v>0.96644611842575834</v>
      </c>
      <c r="H76" s="32">
        <f t="shared" si="20"/>
        <v>0.98094569916168151</v>
      </c>
      <c r="I76" s="32">
        <f t="shared" si="20"/>
        <v>0.99994400850416809</v>
      </c>
      <c r="J76" s="32" t="str">
        <f t="shared" si="20"/>
        <v>n.a.</v>
      </c>
      <c r="K76" s="32" t="str">
        <f t="shared" si="20"/>
        <v>n.a.</v>
      </c>
      <c r="L76" s="32" t="str">
        <f t="shared" si="20"/>
        <v>n.a.</v>
      </c>
      <c r="M76" s="32" t="str">
        <f t="shared" si="20"/>
        <v>n.a.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</row>
    <row r="77" spans="1:71">
      <c r="A77" s="2">
        <v>-43</v>
      </c>
      <c r="B77" s="2"/>
      <c r="C77" s="2"/>
      <c r="D77" s="32">
        <f t="shared" ref="D77:M77" si="21">IF(D33="n.a.","n.a.",1-(1/D$59^b_t)*((D$58-b_H)/a_H-$A77)^b_t)</f>
        <v>0.34000656074196967</v>
      </c>
      <c r="E77" s="32">
        <f t="shared" si="21"/>
        <v>0.6948659988856899</v>
      </c>
      <c r="F77" s="32">
        <f t="shared" si="21"/>
        <v>0.90472432419742976</v>
      </c>
      <c r="G77" s="32">
        <f t="shared" si="21"/>
        <v>0.99065249879146955</v>
      </c>
      <c r="H77" s="32">
        <f t="shared" si="21"/>
        <v>0.99660938715785474</v>
      </c>
      <c r="I77" s="32" t="str">
        <f t="shared" si="21"/>
        <v>n.a.</v>
      </c>
      <c r="J77" s="32" t="str">
        <f t="shared" si="21"/>
        <v>n.a.</v>
      </c>
      <c r="K77" s="32" t="str">
        <f t="shared" si="21"/>
        <v>n.a.</v>
      </c>
      <c r="L77" s="32" t="str">
        <f t="shared" si="21"/>
        <v>n.a.</v>
      </c>
      <c r="M77" s="32" t="str">
        <f t="shared" si="21"/>
        <v>n.a.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</row>
    <row r="78" spans="1:71">
      <c r="A78" s="2">
        <v>-42</v>
      </c>
      <c r="B78" s="2"/>
      <c r="C78" s="2"/>
      <c r="D78" s="32">
        <f t="shared" ref="D78:M78" si="22">IF(D34="n.a.","n.a.",1-(1/D$59^b_t)*((D$58-b_H)/a_H-$A78)^b_t)</f>
        <v>0.52035218879776346</v>
      </c>
      <c r="E78" s="32">
        <f t="shared" si="22"/>
        <v>0.80538404591262525</v>
      </c>
      <c r="F78" s="32">
        <f t="shared" si="22"/>
        <v>0.95554311661023017</v>
      </c>
      <c r="G78" s="32">
        <f t="shared" si="22"/>
        <v>0.99931959694545647</v>
      </c>
      <c r="H78" s="32">
        <f t="shared" si="22"/>
        <v>0.99999800135626549</v>
      </c>
      <c r="I78" s="32" t="str">
        <f t="shared" si="22"/>
        <v>n.a.</v>
      </c>
      <c r="J78" s="32" t="str">
        <f t="shared" si="22"/>
        <v>n.a.</v>
      </c>
      <c r="K78" s="32" t="str">
        <f t="shared" si="22"/>
        <v>n.a.</v>
      </c>
      <c r="L78" s="32" t="str">
        <f t="shared" si="22"/>
        <v>n.a.</v>
      </c>
      <c r="M78" s="32" t="str">
        <f t="shared" si="22"/>
        <v>n.a.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</row>
    <row r="79" spans="1:71">
      <c r="A79" s="2">
        <v>-41</v>
      </c>
      <c r="B79" s="2"/>
      <c r="C79" s="2"/>
      <c r="D79" s="32">
        <f t="shared" ref="D79:M79" si="23">IF(D35="n.a.","n.a.",1-(1/D$59^b_t)*((D$58-b_H)/a_H-$A79)^b_t)</f>
        <v>0.66667332431664761</v>
      </c>
      <c r="E79" s="32">
        <f t="shared" si="23"/>
        <v>0.88705791686422342</v>
      </c>
      <c r="F79" s="32">
        <f t="shared" si="23"/>
        <v>0.98494974871031349</v>
      </c>
      <c r="G79" s="32" t="str">
        <f t="shared" si="23"/>
        <v>n.a.</v>
      </c>
      <c r="H79" s="32" t="str">
        <f t="shared" si="23"/>
        <v>n.a.</v>
      </c>
      <c r="I79" s="32" t="str">
        <f t="shared" si="23"/>
        <v>n.a.</v>
      </c>
      <c r="J79" s="32" t="str">
        <f t="shared" si="23"/>
        <v>n.a.</v>
      </c>
      <c r="K79" s="32" t="str">
        <f t="shared" si="23"/>
        <v>n.a.</v>
      </c>
      <c r="L79" s="32" t="str">
        <f t="shared" si="23"/>
        <v>n.a.</v>
      </c>
      <c r="M79" s="32" t="str">
        <f t="shared" si="23"/>
        <v>n.a.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</row>
    <row r="80" spans="1:71">
      <c r="A80" s="2">
        <v>-40</v>
      </c>
      <c r="B80" s="2"/>
      <c r="C80" s="2"/>
      <c r="D80" s="32">
        <f t="shared" ref="D80:M80" si="24">IF(D36="n.a.","n.a.",1-(1/D$59^b_t)*((D$58-b_H)/a_H-$A80)^b_t)</f>
        <v>0.78171206734521048</v>
      </c>
      <c r="E80" s="32">
        <f t="shared" si="24"/>
        <v>0.94329840428863376</v>
      </c>
      <c r="F80" s="32">
        <f t="shared" si="24"/>
        <v>0.997729251012614</v>
      </c>
      <c r="G80" s="32" t="str">
        <f t="shared" si="24"/>
        <v>n.a.</v>
      </c>
      <c r="H80" s="32" t="str">
        <f t="shared" si="24"/>
        <v>n.a.</v>
      </c>
      <c r="I80" s="32" t="str">
        <f t="shared" si="24"/>
        <v>n.a.</v>
      </c>
      <c r="J80" s="32" t="str">
        <f t="shared" si="24"/>
        <v>n.a.</v>
      </c>
      <c r="K80" s="32" t="str">
        <f t="shared" si="24"/>
        <v>n.a.</v>
      </c>
      <c r="L80" s="32" t="str">
        <f t="shared" si="24"/>
        <v>n.a.</v>
      </c>
      <c r="M80" s="32" t="str">
        <f t="shared" si="24"/>
        <v>n.a.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</row>
    <row r="81" spans="1:71">
      <c r="A81" s="2">
        <v>-39</v>
      </c>
      <c r="B81" s="2"/>
      <c r="C81" s="2"/>
      <c r="D81" s="32">
        <f t="shared" ref="D81:E95" si="25">IF(D37="n.a.","n.a.",1-(1/D$59^b_t)*((D$58-b_H)/a_H-$A81)^b_t)</f>
        <v>0.86838245147411375</v>
      </c>
      <c r="E81" s="32">
        <f t="shared" si="25"/>
        <v>0.97785858495982125</v>
      </c>
      <c r="F81" s="32" t="s">
        <v>70</v>
      </c>
      <c r="G81" s="32" t="str">
        <f t="shared" ref="G81:M95" si="26">IF(G37="n.a.","n.a.",1-(1/G$59^b_t)*((G$58-b_H)/a_H-$A81)^b_t)</f>
        <v>n.a.</v>
      </c>
      <c r="H81" s="32" t="str">
        <f t="shared" si="26"/>
        <v>n.a.</v>
      </c>
      <c r="I81" s="32" t="str">
        <f t="shared" si="26"/>
        <v>n.a.</v>
      </c>
      <c r="J81" s="32" t="str">
        <f t="shared" si="26"/>
        <v>n.a.</v>
      </c>
      <c r="K81" s="32" t="str">
        <f t="shared" si="26"/>
        <v>n.a.</v>
      </c>
      <c r="L81" s="32" t="str">
        <f t="shared" si="26"/>
        <v>n.a.</v>
      </c>
      <c r="M81" s="32" t="str">
        <f t="shared" si="26"/>
        <v>n.a.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</row>
    <row r="82" spans="1:71">
      <c r="A82" s="2">
        <v>-38</v>
      </c>
      <c r="B82" s="2"/>
      <c r="C82" s="2"/>
      <c r="D82" s="32">
        <f t="shared" si="25"/>
        <v>0.92981560035546351</v>
      </c>
      <c r="E82" s="32">
        <f t="shared" si="25"/>
        <v>0.99499997252588435</v>
      </c>
      <c r="F82" s="32" t="str">
        <f t="shared" ref="F82:F95" si="27">IF(F38="n.a.","n.a.",1-(1/F$59^b_t)*((F$58-b_H)/a_H-$A82)^b_t)</f>
        <v>n.a.</v>
      </c>
      <c r="G82" s="32" t="str">
        <f t="shared" si="26"/>
        <v>n.a.</v>
      </c>
      <c r="H82" s="32" t="str">
        <f t="shared" si="26"/>
        <v>n.a.</v>
      </c>
      <c r="I82" s="32" t="str">
        <f t="shared" si="26"/>
        <v>n.a.</v>
      </c>
      <c r="J82" s="32" t="str">
        <f t="shared" si="26"/>
        <v>n.a.</v>
      </c>
      <c r="K82" s="32" t="str">
        <f t="shared" si="26"/>
        <v>n.a.</v>
      </c>
      <c r="L82" s="32" t="str">
        <f t="shared" si="26"/>
        <v>n.a.</v>
      </c>
      <c r="M82" s="32" t="str">
        <f t="shared" si="26"/>
        <v>n.a.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</row>
    <row r="83" spans="1:71">
      <c r="A83" s="2">
        <v>-37</v>
      </c>
      <c r="B83" s="2"/>
      <c r="C83" s="2"/>
      <c r="D83" s="32">
        <f t="shared" si="25"/>
        <v>0.96943032039195898</v>
      </c>
      <c r="E83" s="32">
        <f t="shared" si="25"/>
        <v>0.99989358516601035</v>
      </c>
      <c r="F83" s="32" t="str">
        <f t="shared" si="27"/>
        <v>n.a.</v>
      </c>
      <c r="G83" s="32" t="str">
        <f t="shared" si="26"/>
        <v>n.a.</v>
      </c>
      <c r="H83" s="32" t="str">
        <f t="shared" si="26"/>
        <v>n.a.</v>
      </c>
      <c r="I83" s="32" t="str">
        <f t="shared" si="26"/>
        <v>n.a.</v>
      </c>
      <c r="J83" s="32" t="str">
        <f t="shared" si="26"/>
        <v>n.a.</v>
      </c>
      <c r="K83" s="32" t="str">
        <f t="shared" si="26"/>
        <v>n.a.</v>
      </c>
      <c r="L83" s="32" t="str">
        <f t="shared" si="26"/>
        <v>n.a.</v>
      </c>
      <c r="M83" s="32" t="str">
        <f t="shared" si="26"/>
        <v>n.a.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</row>
    <row r="84" spans="1:71">
      <c r="A84" s="2">
        <v>-36</v>
      </c>
      <c r="B84" s="2"/>
      <c r="C84" s="2"/>
      <c r="D84" s="32">
        <f t="shared" si="25"/>
        <v>0.99105644917521774</v>
      </c>
      <c r="E84" s="32" t="str">
        <f t="shared" si="25"/>
        <v>n.a.</v>
      </c>
      <c r="F84" s="32" t="str">
        <f t="shared" si="27"/>
        <v>n.a.</v>
      </c>
      <c r="G84" s="32" t="str">
        <f t="shared" si="26"/>
        <v>n.a.</v>
      </c>
      <c r="H84" s="32" t="str">
        <f t="shared" si="26"/>
        <v>n.a.</v>
      </c>
      <c r="I84" s="32" t="str">
        <f t="shared" si="26"/>
        <v>n.a.</v>
      </c>
      <c r="J84" s="32" t="str">
        <f t="shared" si="26"/>
        <v>n.a.</v>
      </c>
      <c r="K84" s="32" t="str">
        <f t="shared" si="26"/>
        <v>n.a.</v>
      </c>
      <c r="L84" s="32" t="str">
        <f t="shared" si="26"/>
        <v>n.a.</v>
      </c>
      <c r="M84" s="32" t="str">
        <f t="shared" si="26"/>
        <v>n.a.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</row>
    <row r="85" spans="1:71">
      <c r="A85" s="2">
        <v>-35</v>
      </c>
      <c r="B85" s="2"/>
      <c r="C85" s="2"/>
      <c r="D85" s="32">
        <f t="shared" si="25"/>
        <v>0.999197898620097</v>
      </c>
      <c r="E85" s="32" t="str">
        <f t="shared" si="25"/>
        <v>n.a.</v>
      </c>
      <c r="F85" s="32" t="str">
        <f t="shared" si="27"/>
        <v>n.a.</v>
      </c>
      <c r="G85" s="32" t="str">
        <f t="shared" si="26"/>
        <v>n.a.</v>
      </c>
      <c r="H85" s="32" t="str">
        <f t="shared" si="26"/>
        <v>n.a.</v>
      </c>
      <c r="I85" s="32" t="str">
        <f t="shared" si="26"/>
        <v>n.a.</v>
      </c>
      <c r="J85" s="32" t="str">
        <f t="shared" si="26"/>
        <v>n.a.</v>
      </c>
      <c r="K85" s="32" t="str">
        <f t="shared" si="26"/>
        <v>n.a.</v>
      </c>
      <c r="L85" s="32" t="str">
        <f t="shared" si="26"/>
        <v>n.a.</v>
      </c>
      <c r="M85" s="32" t="str">
        <f t="shared" si="26"/>
        <v>n.a.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</row>
    <row r="86" spans="1:71">
      <c r="A86" s="2">
        <v>-34</v>
      </c>
      <c r="B86" s="2"/>
      <c r="C86" s="2"/>
      <c r="D86" s="32" t="str">
        <f t="shared" si="25"/>
        <v>n.a.</v>
      </c>
      <c r="E86" s="32" t="str">
        <f t="shared" si="25"/>
        <v>n.a.</v>
      </c>
      <c r="F86" s="32" t="str">
        <f t="shared" si="27"/>
        <v>n.a.</v>
      </c>
      <c r="G86" s="32" t="str">
        <f t="shared" si="26"/>
        <v>n.a.</v>
      </c>
      <c r="H86" s="32" t="str">
        <f t="shared" si="26"/>
        <v>n.a.</v>
      </c>
      <c r="I86" s="32" t="str">
        <f t="shared" si="26"/>
        <v>n.a.</v>
      </c>
      <c r="J86" s="32" t="str">
        <f t="shared" si="26"/>
        <v>n.a.</v>
      </c>
      <c r="K86" s="32" t="str">
        <f t="shared" si="26"/>
        <v>n.a.</v>
      </c>
      <c r="L86" s="32" t="str">
        <f t="shared" si="26"/>
        <v>n.a.</v>
      </c>
      <c r="M86" s="32" t="str">
        <f t="shared" si="26"/>
        <v>n.a.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</row>
    <row r="87" spans="1:71">
      <c r="A87" s="2">
        <v>-33</v>
      </c>
      <c r="B87" s="2"/>
      <c r="C87" s="2"/>
      <c r="D87" s="32" t="str">
        <f t="shared" si="25"/>
        <v>n.a.</v>
      </c>
      <c r="E87" s="32" t="str">
        <f t="shared" si="25"/>
        <v>n.a.</v>
      </c>
      <c r="F87" s="32" t="str">
        <f t="shared" si="27"/>
        <v>n.a.</v>
      </c>
      <c r="G87" s="32" t="str">
        <f t="shared" si="26"/>
        <v>n.a.</v>
      </c>
      <c r="H87" s="32" t="str">
        <f t="shared" si="26"/>
        <v>n.a.</v>
      </c>
      <c r="I87" s="32" t="str">
        <f t="shared" si="26"/>
        <v>n.a.</v>
      </c>
      <c r="J87" s="32" t="str">
        <f t="shared" si="26"/>
        <v>n.a.</v>
      </c>
      <c r="K87" s="32" t="str">
        <f t="shared" si="26"/>
        <v>n.a.</v>
      </c>
      <c r="L87" s="32" t="str">
        <f t="shared" si="26"/>
        <v>n.a.</v>
      </c>
      <c r="M87" s="32" t="str">
        <f t="shared" si="26"/>
        <v>n.a.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</row>
    <row r="88" spans="1:71">
      <c r="A88" s="2">
        <v>-32</v>
      </c>
      <c r="B88" s="2"/>
      <c r="C88" s="2"/>
      <c r="D88" s="32" t="str">
        <f t="shared" si="25"/>
        <v>n.a.</v>
      </c>
      <c r="E88" s="32" t="str">
        <f t="shared" si="25"/>
        <v>n.a.</v>
      </c>
      <c r="F88" s="32" t="str">
        <f t="shared" si="27"/>
        <v>n.a.</v>
      </c>
      <c r="G88" s="32" t="str">
        <f t="shared" si="26"/>
        <v>n.a.</v>
      </c>
      <c r="H88" s="32" t="str">
        <f t="shared" si="26"/>
        <v>n.a.</v>
      </c>
      <c r="I88" s="32" t="str">
        <f t="shared" si="26"/>
        <v>n.a.</v>
      </c>
      <c r="J88" s="32" t="str">
        <f t="shared" si="26"/>
        <v>n.a.</v>
      </c>
      <c r="K88" s="32" t="str">
        <f t="shared" si="26"/>
        <v>n.a.</v>
      </c>
      <c r="L88" s="32" t="str">
        <f t="shared" si="26"/>
        <v>n.a.</v>
      </c>
      <c r="M88" s="32" t="str">
        <f t="shared" si="26"/>
        <v>n.a.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</row>
    <row r="89" spans="1:71">
      <c r="A89" s="2">
        <v>-31</v>
      </c>
      <c r="B89" s="2"/>
      <c r="C89" s="2"/>
      <c r="D89" s="32" t="str">
        <f t="shared" si="25"/>
        <v>n.a.</v>
      </c>
      <c r="E89" s="32" t="str">
        <f t="shared" si="25"/>
        <v>n.a.</v>
      </c>
      <c r="F89" s="32" t="str">
        <f t="shared" si="27"/>
        <v>n.a.</v>
      </c>
      <c r="G89" s="32" t="str">
        <f t="shared" si="26"/>
        <v>n.a.</v>
      </c>
      <c r="H89" s="32" t="str">
        <f t="shared" si="26"/>
        <v>n.a.</v>
      </c>
      <c r="I89" s="32" t="str">
        <f t="shared" si="26"/>
        <v>n.a.</v>
      </c>
      <c r="J89" s="32" t="str">
        <f t="shared" si="26"/>
        <v>n.a.</v>
      </c>
      <c r="K89" s="32" t="str">
        <f t="shared" si="26"/>
        <v>n.a.</v>
      </c>
      <c r="L89" s="32" t="str">
        <f t="shared" si="26"/>
        <v>n.a.</v>
      </c>
      <c r="M89" s="32" t="str">
        <f t="shared" si="26"/>
        <v>n.a.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</row>
    <row r="90" spans="1:71">
      <c r="A90" s="2">
        <v>-30</v>
      </c>
      <c r="B90" s="2"/>
      <c r="C90" s="2"/>
      <c r="D90" s="32" t="str">
        <f t="shared" si="25"/>
        <v>n.a.</v>
      </c>
      <c r="E90" s="32" t="str">
        <f t="shared" si="25"/>
        <v>n.a.</v>
      </c>
      <c r="F90" s="32" t="str">
        <f t="shared" si="27"/>
        <v>n.a.</v>
      </c>
      <c r="G90" s="32" t="str">
        <f t="shared" si="26"/>
        <v>n.a.</v>
      </c>
      <c r="H90" s="32" t="str">
        <f t="shared" si="26"/>
        <v>n.a.</v>
      </c>
      <c r="I90" s="32" t="str">
        <f t="shared" si="26"/>
        <v>n.a.</v>
      </c>
      <c r="J90" s="32" t="str">
        <f t="shared" si="26"/>
        <v>n.a.</v>
      </c>
      <c r="K90" s="32" t="str">
        <f t="shared" si="26"/>
        <v>n.a.</v>
      </c>
      <c r="L90" s="32" t="str">
        <f t="shared" si="26"/>
        <v>n.a.</v>
      </c>
      <c r="M90" s="32" t="str">
        <f t="shared" si="26"/>
        <v>n.a.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</row>
    <row r="91" spans="1:71">
      <c r="A91" s="2">
        <v>-29</v>
      </c>
      <c r="B91" s="2"/>
      <c r="C91" s="2"/>
      <c r="D91" s="32" t="str">
        <f t="shared" si="25"/>
        <v>n.a.</v>
      </c>
      <c r="E91" s="32" t="str">
        <f t="shared" si="25"/>
        <v>n.a.</v>
      </c>
      <c r="F91" s="32" t="str">
        <f t="shared" si="27"/>
        <v>n.a.</v>
      </c>
      <c r="G91" s="32" t="str">
        <f t="shared" si="26"/>
        <v>n.a.</v>
      </c>
      <c r="H91" s="32" t="str">
        <f t="shared" si="26"/>
        <v>n.a.</v>
      </c>
      <c r="I91" s="32" t="str">
        <f t="shared" si="26"/>
        <v>n.a.</v>
      </c>
      <c r="J91" s="32" t="str">
        <f t="shared" si="26"/>
        <v>n.a.</v>
      </c>
      <c r="K91" s="32" t="str">
        <f t="shared" si="26"/>
        <v>n.a.</v>
      </c>
      <c r="L91" s="32" t="str">
        <f t="shared" si="26"/>
        <v>n.a.</v>
      </c>
      <c r="M91" s="32" t="str">
        <f t="shared" si="26"/>
        <v>n.a.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</row>
    <row r="92" spans="1:71">
      <c r="A92" s="2">
        <v>-28</v>
      </c>
      <c r="B92" s="2"/>
      <c r="C92" s="2"/>
      <c r="D92" s="32" t="str">
        <f t="shared" si="25"/>
        <v>n.a.</v>
      </c>
      <c r="E92" s="32" t="str">
        <f t="shared" si="25"/>
        <v>n.a.</v>
      </c>
      <c r="F92" s="32" t="str">
        <f t="shared" si="27"/>
        <v>n.a.</v>
      </c>
      <c r="G92" s="32" t="str">
        <f t="shared" si="26"/>
        <v>n.a.</v>
      </c>
      <c r="H92" s="32" t="str">
        <f t="shared" si="26"/>
        <v>n.a.</v>
      </c>
      <c r="I92" s="32" t="str">
        <f t="shared" si="26"/>
        <v>n.a.</v>
      </c>
      <c r="J92" s="32" t="str">
        <f t="shared" si="26"/>
        <v>n.a.</v>
      </c>
      <c r="K92" s="32" t="str">
        <f t="shared" si="26"/>
        <v>n.a.</v>
      </c>
      <c r="L92" s="32" t="str">
        <f t="shared" si="26"/>
        <v>n.a.</v>
      </c>
      <c r="M92" s="32" t="str">
        <f t="shared" si="26"/>
        <v>n.a.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</row>
    <row r="93" spans="1:71">
      <c r="A93" s="2">
        <v>-27</v>
      </c>
      <c r="B93" s="2"/>
      <c r="C93" s="2"/>
      <c r="D93" s="32" t="str">
        <f t="shared" si="25"/>
        <v>n.a.</v>
      </c>
      <c r="E93" s="32" t="str">
        <f t="shared" si="25"/>
        <v>n.a.</v>
      </c>
      <c r="F93" s="32" t="str">
        <f t="shared" si="27"/>
        <v>n.a.</v>
      </c>
      <c r="G93" s="32" t="str">
        <f t="shared" si="26"/>
        <v>n.a.</v>
      </c>
      <c r="H93" s="32" t="str">
        <f t="shared" si="26"/>
        <v>n.a.</v>
      </c>
      <c r="I93" s="32" t="str">
        <f t="shared" si="26"/>
        <v>n.a.</v>
      </c>
      <c r="J93" s="32" t="str">
        <f t="shared" si="26"/>
        <v>n.a.</v>
      </c>
      <c r="K93" s="32" t="str">
        <f t="shared" si="26"/>
        <v>n.a.</v>
      </c>
      <c r="L93" s="32" t="str">
        <f t="shared" si="26"/>
        <v>n.a.</v>
      </c>
      <c r="M93" s="32" t="str">
        <f t="shared" si="26"/>
        <v>n.a.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</row>
    <row r="94" spans="1:71">
      <c r="A94" s="2">
        <v>-26</v>
      </c>
      <c r="B94" s="2"/>
      <c r="C94" s="2"/>
      <c r="D94" s="32" t="str">
        <f t="shared" si="25"/>
        <v>n.a.</v>
      </c>
      <c r="E94" s="32" t="str">
        <f t="shared" si="25"/>
        <v>n.a.</v>
      </c>
      <c r="F94" s="32" t="str">
        <f t="shared" si="27"/>
        <v>n.a.</v>
      </c>
      <c r="G94" s="32" t="str">
        <f t="shared" si="26"/>
        <v>n.a.</v>
      </c>
      <c r="H94" s="32" t="str">
        <f t="shared" si="26"/>
        <v>n.a.</v>
      </c>
      <c r="I94" s="32" t="str">
        <f t="shared" si="26"/>
        <v>n.a.</v>
      </c>
      <c r="J94" s="32" t="str">
        <f t="shared" si="26"/>
        <v>n.a.</v>
      </c>
      <c r="K94" s="32" t="str">
        <f t="shared" si="26"/>
        <v>n.a.</v>
      </c>
      <c r="L94" s="32" t="str">
        <f t="shared" si="26"/>
        <v>n.a.</v>
      </c>
      <c r="M94" s="32" t="str">
        <f t="shared" si="26"/>
        <v>n.a.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</row>
    <row r="95" spans="1:71">
      <c r="A95" s="2">
        <v>-25</v>
      </c>
      <c r="B95" s="2"/>
      <c r="C95" s="2"/>
      <c r="D95" s="32" t="str">
        <f t="shared" si="25"/>
        <v>n.a.</v>
      </c>
      <c r="E95" s="32" t="str">
        <f t="shared" si="25"/>
        <v>n.a.</v>
      </c>
      <c r="F95" s="32" t="str">
        <f t="shared" si="27"/>
        <v>n.a.</v>
      </c>
      <c r="G95" s="32" t="str">
        <f t="shared" si="26"/>
        <v>n.a.</v>
      </c>
      <c r="H95" s="32" t="str">
        <f t="shared" si="26"/>
        <v>n.a.</v>
      </c>
      <c r="I95" s="32" t="str">
        <f t="shared" si="26"/>
        <v>n.a.</v>
      </c>
      <c r="J95" s="32" t="str">
        <f t="shared" si="26"/>
        <v>n.a.</v>
      </c>
      <c r="K95" s="32" t="str">
        <f t="shared" si="26"/>
        <v>n.a.</v>
      </c>
      <c r="L95" s="32" t="str">
        <f t="shared" si="26"/>
        <v>n.a.</v>
      </c>
      <c r="M95" s="32" t="str">
        <f t="shared" si="26"/>
        <v>n.a.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</row>
    <row r="96" spans="1:7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</row>
    <row r="97" spans="1:7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</row>
    <row r="98" spans="1:71" ht="21">
      <c r="A98" s="1" t="s">
        <v>78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</row>
    <row r="99" spans="1:7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</row>
    <row r="100" spans="1:71">
      <c r="A100" s="2" t="s">
        <v>79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</row>
    <row r="101" spans="1:7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</row>
    <row r="102" spans="1:71">
      <c r="A102" s="2" t="s">
        <v>74</v>
      </c>
      <c r="B102" s="2"/>
      <c r="C102" s="2"/>
      <c r="D102" s="2">
        <v>20000</v>
      </c>
      <c r="E102" s="2">
        <v>25000</v>
      </c>
      <c r="F102" s="2">
        <v>30000</v>
      </c>
      <c r="G102" s="2">
        <v>35000</v>
      </c>
      <c r="H102" s="2">
        <v>36089</v>
      </c>
      <c r="I102" s="2">
        <v>40000</v>
      </c>
      <c r="J102" s="2">
        <v>45000</v>
      </c>
      <c r="K102" s="2">
        <v>50000</v>
      </c>
      <c r="L102" s="2">
        <v>55000</v>
      </c>
      <c r="M102" s="2">
        <v>60000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</row>
    <row r="103" spans="1:71">
      <c r="A103" s="29" t="s">
        <v>75</v>
      </c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</row>
    <row r="104" spans="1:71">
      <c r="A104" s="2">
        <v>-60</v>
      </c>
      <c r="B104" s="2"/>
      <c r="C104" s="2"/>
      <c r="D104" s="33" t="str">
        <f t="shared" ref="D104:H113" si="28">IF(D16="n.a.","n.a.",(D60-D16))</f>
        <v>n.a.</v>
      </c>
      <c r="E104" s="33" t="str">
        <f t="shared" si="28"/>
        <v>n.a.</v>
      </c>
      <c r="F104" s="33" t="str">
        <f t="shared" si="28"/>
        <v>n.a.</v>
      </c>
      <c r="G104" s="33" t="str">
        <f t="shared" si="28"/>
        <v>n.a.</v>
      </c>
      <c r="H104" s="33" t="str">
        <f t="shared" si="28"/>
        <v>n.a.</v>
      </c>
      <c r="I104" s="33" t="s">
        <v>70</v>
      </c>
      <c r="J104" s="33" t="s">
        <v>70</v>
      </c>
      <c r="K104" s="33" t="s">
        <v>70</v>
      </c>
      <c r="L104" s="33" t="s">
        <v>70</v>
      </c>
      <c r="M104" s="34">
        <v>6.1349859039326993E-2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</row>
    <row r="105" spans="1:71">
      <c r="A105" s="2">
        <v>-59</v>
      </c>
      <c r="B105" s="2"/>
      <c r="C105" s="2"/>
      <c r="D105" s="33" t="str">
        <f t="shared" si="28"/>
        <v>n.a.</v>
      </c>
      <c r="E105" s="33" t="str">
        <f t="shared" si="28"/>
        <v>n.a.</v>
      </c>
      <c r="F105" s="33" t="str">
        <f t="shared" si="28"/>
        <v>n.a.</v>
      </c>
      <c r="G105" s="33" t="str">
        <f t="shared" si="28"/>
        <v>n.a.</v>
      </c>
      <c r="H105" s="33" t="str">
        <f t="shared" si="28"/>
        <v>n.a.</v>
      </c>
      <c r="I105" s="33" t="s">
        <v>70</v>
      </c>
      <c r="J105" s="33" t="s">
        <v>70</v>
      </c>
      <c r="K105" s="33" t="s">
        <v>70</v>
      </c>
      <c r="L105" s="33">
        <v>4.0008841526692207E-2</v>
      </c>
      <c r="M105" s="34">
        <v>4.4034853343862812E-2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</row>
    <row r="106" spans="1:71">
      <c r="A106" s="2">
        <v>-58</v>
      </c>
      <c r="B106" s="2"/>
      <c r="C106" s="2"/>
      <c r="D106" s="33" t="str">
        <f t="shared" si="28"/>
        <v>n.a.</v>
      </c>
      <c r="E106" s="33" t="str">
        <f t="shared" si="28"/>
        <v>n.a.</v>
      </c>
      <c r="F106" s="33" t="str">
        <f t="shared" si="28"/>
        <v>n.a.</v>
      </c>
      <c r="G106" s="33" t="str">
        <f t="shared" si="28"/>
        <v>n.a.</v>
      </c>
      <c r="H106" s="33" t="str">
        <f t="shared" si="28"/>
        <v>n.a.</v>
      </c>
      <c r="I106" s="33" t="s">
        <v>70</v>
      </c>
      <c r="J106" s="33" t="s">
        <v>70</v>
      </c>
      <c r="K106" s="33" t="s">
        <v>70</v>
      </c>
      <c r="L106" s="33">
        <v>1.9479074285844167E-2</v>
      </c>
      <c r="M106" s="34">
        <v>3.4342631038812632E-2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</row>
    <row r="107" spans="1:71">
      <c r="A107" s="2">
        <v>-57</v>
      </c>
      <c r="B107" s="2"/>
      <c r="C107" s="2"/>
      <c r="D107" s="33" t="str">
        <f t="shared" si="28"/>
        <v>n.a.</v>
      </c>
      <c r="E107" s="33" t="str">
        <f t="shared" si="28"/>
        <v>n.a.</v>
      </c>
      <c r="F107" s="33" t="str">
        <f t="shared" si="28"/>
        <v>n.a.</v>
      </c>
      <c r="G107" s="33" t="str">
        <f t="shared" si="28"/>
        <v>n.a.</v>
      </c>
      <c r="H107" s="33" t="str">
        <f t="shared" si="28"/>
        <v>n.a.</v>
      </c>
      <c r="I107" s="33" t="s">
        <v>70</v>
      </c>
      <c r="J107" s="33" t="s">
        <v>70</v>
      </c>
      <c r="K107" s="33">
        <v>-9.9894942837824852E-4</v>
      </c>
      <c r="L107" s="33">
        <v>1.2606026792786995E-2</v>
      </c>
      <c r="M107" s="34">
        <v>2.7160844536807005E-2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</row>
    <row r="108" spans="1:71">
      <c r="A108" s="2">
        <v>-56</v>
      </c>
      <c r="B108" s="2"/>
      <c r="C108" s="2"/>
      <c r="D108" s="33" t="str">
        <f t="shared" si="28"/>
        <v>n.a.</v>
      </c>
      <c r="E108" s="33" t="str">
        <f t="shared" si="28"/>
        <v>n.a.</v>
      </c>
      <c r="F108" s="33" t="str">
        <f t="shared" si="28"/>
        <v>n.a.</v>
      </c>
      <c r="G108" s="33" t="str">
        <f t="shared" si="28"/>
        <v>n.a.</v>
      </c>
      <c r="H108" s="33" t="str">
        <f t="shared" si="28"/>
        <v>n.a.</v>
      </c>
      <c r="I108" s="33" t="s">
        <v>70</v>
      </c>
      <c r="J108" s="33" t="s">
        <v>70</v>
      </c>
      <c r="K108" s="33">
        <v>-1.3256360944245538E-2</v>
      </c>
      <c r="L108" s="33">
        <v>1.2035406743917676E-2</v>
      </c>
      <c r="M108" s="34">
        <v>1.9631496875537002E-2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</row>
    <row r="109" spans="1:71">
      <c r="A109" s="2">
        <v>-55</v>
      </c>
      <c r="B109" s="2"/>
      <c r="C109" s="2"/>
      <c r="D109" s="33" t="str">
        <f t="shared" si="28"/>
        <v>n.a.</v>
      </c>
      <c r="E109" s="33" t="str">
        <f t="shared" si="28"/>
        <v>n.a.</v>
      </c>
      <c r="F109" s="33" t="str">
        <f t="shared" si="28"/>
        <v>n.a.</v>
      </c>
      <c r="G109" s="33" t="str">
        <f t="shared" si="28"/>
        <v>n.a.</v>
      </c>
      <c r="H109" s="33" t="str">
        <f t="shared" si="28"/>
        <v>n.a.</v>
      </c>
      <c r="I109" s="33" t="s">
        <v>70</v>
      </c>
      <c r="J109" s="33">
        <v>-2.7711430271450718E-2</v>
      </c>
      <c r="K109" s="33">
        <v>-1.274407131613664E-2</v>
      </c>
      <c r="L109" s="33">
        <v>1.2769462979182356E-2</v>
      </c>
      <c r="M109" s="34">
        <v>1.101942277174417E-2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</row>
    <row r="110" spans="1:71">
      <c r="A110" s="2">
        <v>-54</v>
      </c>
      <c r="B110" s="2"/>
      <c r="C110" s="2"/>
      <c r="D110" s="33" t="str">
        <f t="shared" si="28"/>
        <v>n.a.</v>
      </c>
      <c r="E110" s="33" t="str">
        <f t="shared" si="28"/>
        <v>n.a.</v>
      </c>
      <c r="F110" s="33" t="str">
        <f t="shared" si="28"/>
        <v>n.a.</v>
      </c>
      <c r="G110" s="33" t="str">
        <f t="shared" si="28"/>
        <v>n.a.</v>
      </c>
      <c r="H110" s="33" t="str">
        <f t="shared" si="28"/>
        <v>n.a.</v>
      </c>
      <c r="I110" s="33" t="s">
        <v>70</v>
      </c>
      <c r="J110" s="33">
        <v>-3.5484435894466426E-2</v>
      </c>
      <c r="K110" s="33">
        <v>-6.6133733874780276E-3</v>
      </c>
      <c r="L110" s="33">
        <v>1.1886373903988723E-2</v>
      </c>
      <c r="M110" s="34">
        <v>2.8757900857454555E-3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</row>
    <row r="111" spans="1:71">
      <c r="A111" s="2">
        <v>-53</v>
      </c>
      <c r="B111" s="2"/>
      <c r="C111" s="2"/>
      <c r="D111" s="33" t="str">
        <f t="shared" si="28"/>
        <v>n.a.</v>
      </c>
      <c r="E111" s="33" t="str">
        <f t="shared" si="28"/>
        <v>n.a.</v>
      </c>
      <c r="F111" s="33" t="str">
        <f t="shared" si="28"/>
        <v>n.a.</v>
      </c>
      <c r="G111" s="33" t="str">
        <f t="shared" si="28"/>
        <v>n.a.</v>
      </c>
      <c r="H111" s="33" t="str">
        <f t="shared" si="28"/>
        <v>n.a.</v>
      </c>
      <c r="I111" s="33">
        <v>-3.8266668533548362E-2</v>
      </c>
      <c r="J111" s="33">
        <v>-3.0696519975302317E-2</v>
      </c>
      <c r="K111" s="33">
        <v>1.8413647083970197E-4</v>
      </c>
      <c r="L111" s="33">
        <v>8.3857386578098936E-3</v>
      </c>
      <c r="M111" s="34" t="s">
        <v>70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</row>
    <row r="112" spans="1:71">
      <c r="A112" s="2">
        <v>-52</v>
      </c>
      <c r="B112" s="2"/>
      <c r="C112" s="2"/>
      <c r="D112" s="33" t="str">
        <f t="shared" si="28"/>
        <v>n.a.</v>
      </c>
      <c r="E112" s="33" t="str">
        <f t="shared" si="28"/>
        <v>n.a.</v>
      </c>
      <c r="F112" s="33" t="str">
        <f t="shared" si="28"/>
        <v>n.a.</v>
      </c>
      <c r="G112" s="33" t="str">
        <f t="shared" si="28"/>
        <v>n.a.</v>
      </c>
      <c r="H112" s="33" t="str">
        <f t="shared" si="28"/>
        <v>n.a.</v>
      </c>
      <c r="I112" s="33">
        <v>-4.5409693980674515E-2</v>
      </c>
      <c r="J112" s="33">
        <v>-2.0383480410215649E-2</v>
      </c>
      <c r="K112" s="33">
        <v>4.6265752148202388E-3</v>
      </c>
      <c r="L112" s="33">
        <v>3.2322547976079141E-3</v>
      </c>
      <c r="M112" s="34" t="s">
        <v>70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</row>
    <row r="113" spans="1:71">
      <c r="A113" s="2">
        <v>-51</v>
      </c>
      <c r="B113" s="2"/>
      <c r="C113" s="2"/>
      <c r="D113" s="33" t="str">
        <f t="shared" si="28"/>
        <v>n.a.</v>
      </c>
      <c r="E113" s="33" t="str">
        <f t="shared" si="28"/>
        <v>n.a.</v>
      </c>
      <c r="F113" s="33" t="str">
        <f t="shared" si="28"/>
        <v>n.a.</v>
      </c>
      <c r="G113" s="33" t="str">
        <f t="shared" si="28"/>
        <v>n.a.</v>
      </c>
      <c r="H113" s="33">
        <f t="shared" si="28"/>
        <v>-2.1234494634826018E-2</v>
      </c>
      <c r="I113" s="33">
        <v>-3.9565220230593501E-2</v>
      </c>
      <c r="J113" s="33">
        <v>-9.5116462654432077E-3</v>
      </c>
      <c r="K113" s="33">
        <v>5.4549457151013003E-3</v>
      </c>
      <c r="L113" s="33" t="s">
        <v>70</v>
      </c>
      <c r="M113" s="34" t="s">
        <v>70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</row>
    <row r="114" spans="1:71">
      <c r="A114" s="2">
        <v>-50</v>
      </c>
      <c r="B114" s="2"/>
      <c r="C114" s="2"/>
      <c r="D114" s="33" t="str">
        <f t="shared" ref="D114:H120" si="29">IF(D26="n.a.","n.a.",(D70-D26))</f>
        <v>n.a.</v>
      </c>
      <c r="E114" s="33" t="str">
        <f t="shared" si="29"/>
        <v>n.a.</v>
      </c>
      <c r="F114" s="33" t="str">
        <f t="shared" si="29"/>
        <v>n.a.</v>
      </c>
      <c r="G114" s="33">
        <f t="shared" si="29"/>
        <v>-2.0912517623827731E-2</v>
      </c>
      <c r="H114" s="33">
        <f t="shared" si="29"/>
        <v>-2.8879572407834841E-2</v>
      </c>
      <c r="I114" s="33">
        <v>-2.7731143501856903E-2</v>
      </c>
      <c r="J114" s="33">
        <v>-1.2376907212420241E-3</v>
      </c>
      <c r="K114" s="33">
        <v>3.1496830943418264E-3</v>
      </c>
      <c r="L114" s="33" t="s">
        <v>70</v>
      </c>
      <c r="M114" s="34" t="s">
        <v>70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</row>
    <row r="115" spans="1:71">
      <c r="A115" s="2">
        <v>-49</v>
      </c>
      <c r="B115" s="2"/>
      <c r="C115" s="2"/>
      <c r="D115" s="33" t="str">
        <f t="shared" si="29"/>
        <v>n.a.</v>
      </c>
      <c r="E115" s="33" t="str">
        <f t="shared" si="29"/>
        <v>n.a.</v>
      </c>
      <c r="F115" s="33" t="str">
        <f t="shared" si="29"/>
        <v>n.a.</v>
      </c>
      <c r="G115" s="33">
        <f t="shared" si="29"/>
        <v>-2.2960880868765354E-2</v>
      </c>
      <c r="H115" s="33">
        <f t="shared" si="29"/>
        <v>-2.5095981553518887E-2</v>
      </c>
      <c r="I115" s="33">
        <v>-1.494360017034535E-2</v>
      </c>
      <c r="J115" s="33">
        <v>2.9182305100665662E-3</v>
      </c>
      <c r="K115" s="33">
        <v>2.2743126009738823E-4</v>
      </c>
      <c r="L115" s="33" t="s">
        <v>70</v>
      </c>
      <c r="M115" s="34" t="s">
        <v>70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</row>
    <row r="116" spans="1:71">
      <c r="A116" s="2">
        <v>-48</v>
      </c>
      <c r="B116" s="2"/>
      <c r="C116" s="2"/>
      <c r="D116" s="33" t="str">
        <f t="shared" si="29"/>
        <v>n.a.</v>
      </c>
      <c r="E116" s="33" t="str">
        <f t="shared" si="29"/>
        <v>n.a.</v>
      </c>
      <c r="F116" s="33">
        <f t="shared" si="29"/>
        <v>4.0329028150754842E-3</v>
      </c>
      <c r="G116" s="33">
        <f t="shared" si="29"/>
        <v>-1.6946336820638064E-2</v>
      </c>
      <c r="H116" s="33">
        <f t="shared" si="29"/>
        <v>-1.6123553972481219E-2</v>
      </c>
      <c r="I116" s="33">
        <v>-4.5274712238212445E-3</v>
      </c>
      <c r="J116" s="33">
        <v>3.0088305176607655E-3</v>
      </c>
      <c r="K116" s="33" t="s">
        <v>70</v>
      </c>
      <c r="L116" s="33" t="s">
        <v>70</v>
      </c>
      <c r="M116" s="34" t="s">
        <v>70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</row>
    <row r="117" spans="1:71">
      <c r="A117" s="2">
        <v>-47</v>
      </c>
      <c r="B117" s="2"/>
      <c r="C117" s="2"/>
      <c r="D117" s="33" t="str">
        <f t="shared" si="29"/>
        <v>n.a.</v>
      </c>
      <c r="E117" s="33" t="str">
        <f t="shared" si="29"/>
        <v>n.a.</v>
      </c>
      <c r="F117" s="33">
        <f t="shared" si="29"/>
        <v>-4.7079579820314965E-3</v>
      </c>
      <c r="G117" s="33">
        <f t="shared" si="29"/>
        <v>-8.1117151729108716E-3</v>
      </c>
      <c r="H117" s="33">
        <f t="shared" si="29"/>
        <v>-6.4305866177429838E-3</v>
      </c>
      <c r="I117" s="33">
        <v>1.7275711722987142E-3</v>
      </c>
      <c r="J117" s="33">
        <v>7.9698569576180933E-4</v>
      </c>
      <c r="K117" s="33" t="s">
        <v>70</v>
      </c>
      <c r="L117" s="33" t="s">
        <v>70</v>
      </c>
      <c r="M117" s="34" t="s">
        <v>70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</row>
    <row r="118" spans="1:71">
      <c r="A118" s="2">
        <v>-46</v>
      </c>
      <c r="B118" s="2"/>
      <c r="C118" s="2"/>
      <c r="D118" s="33" t="str">
        <f t="shared" si="29"/>
        <v>n.a.</v>
      </c>
      <c r="E118" s="33">
        <f t="shared" si="29"/>
        <v>1.9317922287894917E-2</v>
      </c>
      <c r="F118" s="33">
        <f t="shared" si="29"/>
        <v>-3.8825412812628635E-3</v>
      </c>
      <c r="G118" s="33">
        <f t="shared" si="29"/>
        <v>-7.522800777226557E-5</v>
      </c>
      <c r="H118" s="33">
        <f t="shared" si="29"/>
        <v>1.0699195217146462E-3</v>
      </c>
      <c r="I118" s="33">
        <v>3.4782227683662903E-3</v>
      </c>
      <c r="J118" s="33" t="s">
        <v>70</v>
      </c>
      <c r="K118" s="33" t="s">
        <v>70</v>
      </c>
      <c r="L118" s="33" t="s">
        <v>70</v>
      </c>
      <c r="M118" s="34" t="s">
        <v>70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</row>
    <row r="119" spans="1:71">
      <c r="A119" s="2">
        <v>-45</v>
      </c>
      <c r="B119" s="2"/>
      <c r="C119" s="2"/>
      <c r="D119" s="33" t="str">
        <f t="shared" si="29"/>
        <v>n.a.</v>
      </c>
      <c r="E119" s="33">
        <f t="shared" si="29"/>
        <v>6.1796351523476512E-3</v>
      </c>
      <c r="F119" s="33">
        <f t="shared" si="29"/>
        <v>1.1675889019162611E-3</v>
      </c>
      <c r="G119" s="33">
        <f t="shared" si="29"/>
        <v>4.9910001789942315E-3</v>
      </c>
      <c r="H119" s="33">
        <f t="shared" si="29"/>
        <v>4.871926539145921E-3</v>
      </c>
      <c r="I119" s="33">
        <v>1.8768537677872343E-3</v>
      </c>
      <c r="J119" s="33" t="s">
        <v>70</v>
      </c>
      <c r="K119" s="33" t="s">
        <v>70</v>
      </c>
      <c r="L119" s="33" t="s">
        <v>70</v>
      </c>
      <c r="M119" s="34" t="s">
        <v>70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</row>
    <row r="120" spans="1:71">
      <c r="A120" s="2">
        <v>-44</v>
      </c>
      <c r="B120" s="2"/>
      <c r="C120" s="2"/>
      <c r="D120" s="33">
        <f t="shared" si="29"/>
        <v>2.4930382796958847E-2</v>
      </c>
      <c r="E120" s="33">
        <f t="shared" si="29"/>
        <v>3.6391940393080136E-3</v>
      </c>
      <c r="F120" s="33">
        <f t="shared" si="29"/>
        <v>6.6467684424494911E-3</v>
      </c>
      <c r="G120" s="33">
        <f t="shared" si="29"/>
        <v>6.2533238657114243E-3</v>
      </c>
      <c r="H120" s="33">
        <f t="shared" si="29"/>
        <v>4.8107959853362914E-3</v>
      </c>
      <c r="I120" s="33">
        <v>-9.001181028645E-6</v>
      </c>
      <c r="J120" s="33" t="s">
        <v>70</v>
      </c>
      <c r="K120" s="33" t="s">
        <v>70</v>
      </c>
      <c r="L120" s="33" t="s">
        <v>70</v>
      </c>
      <c r="M120" s="34" t="s">
        <v>70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</row>
    <row r="121" spans="1:71">
      <c r="A121" s="2">
        <v>-43</v>
      </c>
      <c r="B121" s="2"/>
      <c r="C121" s="2"/>
      <c r="D121" s="33">
        <f t="shared" ref="D121:G124" si="30">IF(D33="n.a.","n.a.",(D77-D33))</f>
        <v>9.4976550859726672E-3</v>
      </c>
      <c r="E121" s="33">
        <f t="shared" si="30"/>
        <v>6.3410233116036885E-3</v>
      </c>
      <c r="F121" s="33">
        <f t="shared" si="30"/>
        <v>1.0129365546092339E-2</v>
      </c>
      <c r="G121" s="33">
        <f t="shared" si="30"/>
        <v>4.2083545492445085E-3</v>
      </c>
      <c r="H121" s="33" t="s">
        <v>70</v>
      </c>
      <c r="I121" s="33" t="s">
        <v>70</v>
      </c>
      <c r="J121" s="33" t="s">
        <v>70</v>
      </c>
      <c r="K121" s="33" t="s">
        <v>70</v>
      </c>
      <c r="L121" s="33" t="s">
        <v>70</v>
      </c>
      <c r="M121" s="34" t="s">
        <v>70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</row>
    <row r="122" spans="1:71">
      <c r="A122" s="2">
        <v>-42</v>
      </c>
      <c r="B122" s="2"/>
      <c r="C122" s="2"/>
      <c r="D122" s="33">
        <f t="shared" si="30"/>
        <v>5.2842544322432294E-3</v>
      </c>
      <c r="E122" s="33">
        <f t="shared" si="30"/>
        <v>1.0393807027899604E-2</v>
      </c>
      <c r="F122" s="33">
        <f t="shared" si="30"/>
        <v>1.0444094688746963E-2</v>
      </c>
      <c r="G122" s="33">
        <f t="shared" si="30"/>
        <v>8.841245288316868E-4</v>
      </c>
      <c r="H122" s="33" t="s">
        <v>70</v>
      </c>
      <c r="I122" s="33" t="s">
        <v>70</v>
      </c>
      <c r="J122" s="33" t="s">
        <v>70</v>
      </c>
      <c r="K122" s="33" t="s">
        <v>70</v>
      </c>
      <c r="L122" s="33" t="s">
        <v>70</v>
      </c>
      <c r="M122" s="34" t="s">
        <v>70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</row>
    <row r="123" spans="1:71">
      <c r="A123" s="2">
        <v>-41</v>
      </c>
      <c r="B123" s="2"/>
      <c r="C123" s="2"/>
      <c r="D123" s="33">
        <f t="shared" si="30"/>
        <v>6.9894651469601943E-3</v>
      </c>
      <c r="E123" s="33">
        <f t="shared" si="30"/>
        <v>1.3200131143358829E-2</v>
      </c>
      <c r="F123" s="33">
        <f t="shared" si="30"/>
        <v>7.6358473855268061E-3</v>
      </c>
      <c r="G123" s="33" t="str">
        <f t="shared" si="30"/>
        <v>n.a.</v>
      </c>
      <c r="H123" s="33" t="str">
        <f t="shared" ref="H123:H139" si="31">IF(H35="n.a.","n.a.",(H79-H35))</f>
        <v>n.a.</v>
      </c>
      <c r="I123" s="33" t="s">
        <v>70</v>
      </c>
      <c r="J123" s="33" t="s">
        <v>70</v>
      </c>
      <c r="K123" s="33" t="s">
        <v>70</v>
      </c>
      <c r="L123" s="33" t="s">
        <v>70</v>
      </c>
      <c r="M123" s="34" t="s">
        <v>70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</row>
    <row r="124" spans="1:71">
      <c r="A124" s="2">
        <v>-40</v>
      </c>
      <c r="B124" s="2"/>
      <c r="C124" s="2"/>
      <c r="D124" s="33">
        <f t="shared" si="30"/>
        <v>1.0693744706292807E-2</v>
      </c>
      <c r="E124" s="33">
        <f t="shared" si="30"/>
        <v>1.3337856527629977E-2</v>
      </c>
      <c r="F124" s="33">
        <f t="shared" si="30"/>
        <v>3.0675460330369386E-3</v>
      </c>
      <c r="G124" s="33" t="str">
        <f t="shared" si="30"/>
        <v>n.a.</v>
      </c>
      <c r="H124" s="33" t="str">
        <f t="shared" si="31"/>
        <v>n.a.</v>
      </c>
      <c r="I124" s="33" t="s">
        <v>70</v>
      </c>
      <c r="J124" s="33" t="s">
        <v>70</v>
      </c>
      <c r="K124" s="33" t="s">
        <v>70</v>
      </c>
      <c r="L124" s="33" t="s">
        <v>70</v>
      </c>
      <c r="M124" s="34" t="s">
        <v>70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</row>
    <row r="125" spans="1:71">
      <c r="A125" s="2">
        <v>-39</v>
      </c>
      <c r="B125" s="2"/>
      <c r="C125" s="2"/>
      <c r="D125" s="33">
        <f t="shared" ref="D125:E139" si="32">IF(D37="n.a.","n.a.",(D81-D37))</f>
        <v>1.3695787642927448E-2</v>
      </c>
      <c r="E125" s="33">
        <f t="shared" si="32"/>
        <v>1.0503790620780218E-2</v>
      </c>
      <c r="F125" s="33" t="s">
        <v>70</v>
      </c>
      <c r="G125" s="33" t="str">
        <f t="shared" ref="G125:G139" si="33">IF(G37="n.a.","n.a.",(G81-G37))</f>
        <v>n.a.</v>
      </c>
      <c r="H125" s="33" t="str">
        <f t="shared" si="31"/>
        <v>n.a.</v>
      </c>
      <c r="I125" s="33" t="s">
        <v>70</v>
      </c>
      <c r="J125" s="33" t="s">
        <v>70</v>
      </c>
      <c r="K125" s="33" t="s">
        <v>70</v>
      </c>
      <c r="L125" s="33" t="s">
        <v>70</v>
      </c>
      <c r="M125" s="34" t="s">
        <v>70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</row>
    <row r="126" spans="1:71">
      <c r="A126" s="2">
        <v>-38</v>
      </c>
      <c r="B126" s="2"/>
      <c r="C126" s="2"/>
      <c r="D126" s="33">
        <f t="shared" si="32"/>
        <v>1.4394473429367727E-2</v>
      </c>
      <c r="E126" s="33">
        <f t="shared" si="32"/>
        <v>5.5570618160057927E-3</v>
      </c>
      <c r="F126" s="33" t="str">
        <f t="shared" ref="F126:F139" si="34">IF(F38="n.a.","n.a.",(F82-F38))</f>
        <v>n.a.</v>
      </c>
      <c r="G126" s="33" t="str">
        <f t="shared" si="33"/>
        <v>n.a.</v>
      </c>
      <c r="H126" s="33" t="str">
        <f t="shared" si="31"/>
        <v>n.a.</v>
      </c>
      <c r="I126" s="33" t="s">
        <v>70</v>
      </c>
      <c r="J126" s="33" t="s">
        <v>70</v>
      </c>
      <c r="K126" s="33" t="s">
        <v>70</v>
      </c>
      <c r="L126" s="33" t="s">
        <v>70</v>
      </c>
      <c r="M126" s="34" t="s">
        <v>70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</row>
    <row r="127" spans="1:71">
      <c r="A127" s="2">
        <v>-37</v>
      </c>
      <c r="B127" s="2"/>
      <c r="C127" s="2"/>
      <c r="D127" s="33">
        <f t="shared" si="32"/>
        <v>1.2222045543825222E-2</v>
      </c>
      <c r="E127" s="33">
        <f t="shared" si="32"/>
        <v>8.1698526797047144E-4</v>
      </c>
      <c r="F127" s="33" t="str">
        <f t="shared" si="34"/>
        <v>n.a.</v>
      </c>
      <c r="G127" s="33" t="str">
        <f t="shared" si="33"/>
        <v>n.a.</v>
      </c>
      <c r="H127" s="33" t="str">
        <f t="shared" si="31"/>
        <v>n.a.</v>
      </c>
      <c r="I127" s="33" t="s">
        <v>70</v>
      </c>
      <c r="J127" s="33" t="s">
        <v>70</v>
      </c>
      <c r="K127" s="33" t="s">
        <v>70</v>
      </c>
      <c r="L127" s="33" t="s">
        <v>70</v>
      </c>
      <c r="M127" s="34" t="s">
        <v>70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</row>
    <row r="128" spans="1:71">
      <c r="A128" s="2">
        <v>-36</v>
      </c>
      <c r="B128" s="2"/>
      <c r="C128" s="2"/>
      <c r="D128" s="33">
        <f t="shared" si="32"/>
        <v>7.651674547228815E-3</v>
      </c>
      <c r="E128" s="33" t="str">
        <f t="shared" si="32"/>
        <v>n.a.</v>
      </c>
      <c r="F128" s="33" t="str">
        <f t="shared" si="34"/>
        <v>n.a.</v>
      </c>
      <c r="G128" s="33" t="str">
        <f t="shared" si="33"/>
        <v>n.a.</v>
      </c>
      <c r="H128" s="33" t="str">
        <f t="shared" si="31"/>
        <v>n.a.</v>
      </c>
      <c r="I128" s="33" t="s">
        <v>70</v>
      </c>
      <c r="J128" s="33" t="s">
        <v>70</v>
      </c>
      <c r="K128" s="33" t="s">
        <v>70</v>
      </c>
      <c r="L128" s="33" t="s">
        <v>70</v>
      </c>
      <c r="M128" s="34" t="s">
        <v>70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</row>
    <row r="129" spans="1:71">
      <c r="A129" s="2">
        <v>-35</v>
      </c>
      <c r="B129" s="2"/>
      <c r="C129" s="2"/>
      <c r="D129" s="33">
        <f t="shared" si="32"/>
        <v>2.3628679417622145E-3</v>
      </c>
      <c r="E129" s="33" t="str">
        <f t="shared" si="32"/>
        <v>n.a.</v>
      </c>
      <c r="F129" s="33" t="str">
        <f t="shared" si="34"/>
        <v>n.a.</v>
      </c>
      <c r="G129" s="33" t="str">
        <f t="shared" si="33"/>
        <v>n.a.</v>
      </c>
      <c r="H129" s="33" t="str">
        <f t="shared" si="31"/>
        <v>n.a.</v>
      </c>
      <c r="I129" s="33" t="s">
        <v>70</v>
      </c>
      <c r="J129" s="33" t="s">
        <v>70</v>
      </c>
      <c r="K129" s="33" t="s">
        <v>70</v>
      </c>
      <c r="L129" s="33" t="s">
        <v>70</v>
      </c>
      <c r="M129" s="34" t="s">
        <v>70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</row>
    <row r="130" spans="1:71">
      <c r="A130" s="2">
        <v>-34</v>
      </c>
      <c r="B130" s="2"/>
      <c r="C130" s="2"/>
      <c r="D130" s="33" t="str">
        <f t="shared" si="32"/>
        <v>n.a.</v>
      </c>
      <c r="E130" s="33" t="str">
        <f t="shared" si="32"/>
        <v>n.a.</v>
      </c>
      <c r="F130" s="33" t="str">
        <f t="shared" si="34"/>
        <v>n.a.</v>
      </c>
      <c r="G130" s="33" t="str">
        <f t="shared" si="33"/>
        <v>n.a.</v>
      </c>
      <c r="H130" s="33" t="str">
        <f t="shared" si="31"/>
        <v>n.a.</v>
      </c>
      <c r="I130" s="33" t="s">
        <v>70</v>
      </c>
      <c r="J130" s="33" t="s">
        <v>70</v>
      </c>
      <c r="K130" s="33" t="s">
        <v>70</v>
      </c>
      <c r="L130" s="33" t="s">
        <v>70</v>
      </c>
      <c r="M130" s="34" t="s">
        <v>70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</row>
    <row r="131" spans="1:71">
      <c r="A131" s="2">
        <v>-33</v>
      </c>
      <c r="B131" s="2"/>
      <c r="C131" s="2"/>
      <c r="D131" s="33" t="str">
        <f t="shared" si="32"/>
        <v>n.a.</v>
      </c>
      <c r="E131" s="33" t="str">
        <f t="shared" si="32"/>
        <v>n.a.</v>
      </c>
      <c r="F131" s="33" t="str">
        <f t="shared" si="34"/>
        <v>n.a.</v>
      </c>
      <c r="G131" s="33" t="str">
        <f t="shared" si="33"/>
        <v>n.a.</v>
      </c>
      <c r="H131" s="33" t="str">
        <f t="shared" si="31"/>
        <v>n.a.</v>
      </c>
      <c r="I131" s="33" t="s">
        <v>70</v>
      </c>
      <c r="J131" s="33" t="s">
        <v>70</v>
      </c>
      <c r="K131" s="33" t="s">
        <v>70</v>
      </c>
      <c r="L131" s="33" t="s">
        <v>70</v>
      </c>
      <c r="M131" s="34" t="s">
        <v>70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</row>
    <row r="132" spans="1:71">
      <c r="A132" s="2">
        <v>-32</v>
      </c>
      <c r="B132" s="2"/>
      <c r="C132" s="2"/>
      <c r="D132" s="33" t="str">
        <f t="shared" si="32"/>
        <v>n.a.</v>
      </c>
      <c r="E132" s="33" t="str">
        <f t="shared" si="32"/>
        <v>n.a.</v>
      </c>
      <c r="F132" s="33" t="str">
        <f t="shared" si="34"/>
        <v>n.a.</v>
      </c>
      <c r="G132" s="33" t="str">
        <f t="shared" si="33"/>
        <v>n.a.</v>
      </c>
      <c r="H132" s="33" t="str">
        <f t="shared" si="31"/>
        <v>n.a.</v>
      </c>
      <c r="I132" s="33" t="s">
        <v>70</v>
      </c>
      <c r="J132" s="33" t="s">
        <v>70</v>
      </c>
      <c r="K132" s="33" t="s">
        <v>70</v>
      </c>
      <c r="L132" s="33" t="s">
        <v>70</v>
      </c>
      <c r="M132" s="34" t="s">
        <v>70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</row>
    <row r="133" spans="1:71">
      <c r="A133" s="2">
        <v>-31</v>
      </c>
      <c r="B133" s="2"/>
      <c r="C133" s="2"/>
      <c r="D133" s="33" t="str">
        <f t="shared" si="32"/>
        <v>n.a.</v>
      </c>
      <c r="E133" s="33" t="str">
        <f t="shared" si="32"/>
        <v>n.a.</v>
      </c>
      <c r="F133" s="33" t="str">
        <f t="shared" si="34"/>
        <v>n.a.</v>
      </c>
      <c r="G133" s="33" t="str">
        <f t="shared" si="33"/>
        <v>n.a.</v>
      </c>
      <c r="H133" s="33" t="str">
        <f t="shared" si="31"/>
        <v>n.a.</v>
      </c>
      <c r="I133" s="33" t="s">
        <v>70</v>
      </c>
      <c r="J133" s="33" t="s">
        <v>70</v>
      </c>
      <c r="K133" s="33" t="s">
        <v>70</v>
      </c>
      <c r="L133" s="33" t="s">
        <v>70</v>
      </c>
      <c r="M133" s="34" t="s">
        <v>70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</row>
    <row r="134" spans="1:71">
      <c r="A134" s="2">
        <v>-30</v>
      </c>
      <c r="B134" s="2"/>
      <c r="C134" s="2"/>
      <c r="D134" s="33" t="str">
        <f t="shared" si="32"/>
        <v>n.a.</v>
      </c>
      <c r="E134" s="33" t="str">
        <f t="shared" si="32"/>
        <v>n.a.</v>
      </c>
      <c r="F134" s="33" t="str">
        <f t="shared" si="34"/>
        <v>n.a.</v>
      </c>
      <c r="G134" s="33" t="str">
        <f t="shared" si="33"/>
        <v>n.a.</v>
      </c>
      <c r="H134" s="33" t="str">
        <f t="shared" si="31"/>
        <v>n.a.</v>
      </c>
      <c r="I134" s="33" t="s">
        <v>70</v>
      </c>
      <c r="J134" s="33" t="s">
        <v>70</v>
      </c>
      <c r="K134" s="33" t="s">
        <v>70</v>
      </c>
      <c r="L134" s="33" t="s">
        <v>70</v>
      </c>
      <c r="M134" s="34" t="s">
        <v>70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</row>
    <row r="135" spans="1:71">
      <c r="A135" s="2">
        <v>-29</v>
      </c>
      <c r="B135" s="2"/>
      <c r="C135" s="2"/>
      <c r="D135" s="33" t="str">
        <f t="shared" si="32"/>
        <v>n.a.</v>
      </c>
      <c r="E135" s="33" t="str">
        <f t="shared" si="32"/>
        <v>n.a.</v>
      </c>
      <c r="F135" s="33" t="str">
        <f t="shared" si="34"/>
        <v>n.a.</v>
      </c>
      <c r="G135" s="33" t="str">
        <f t="shared" si="33"/>
        <v>n.a.</v>
      </c>
      <c r="H135" s="33" t="str">
        <f t="shared" si="31"/>
        <v>n.a.</v>
      </c>
      <c r="I135" s="33" t="s">
        <v>70</v>
      </c>
      <c r="J135" s="33" t="s">
        <v>70</v>
      </c>
      <c r="K135" s="33" t="s">
        <v>70</v>
      </c>
      <c r="L135" s="33" t="s">
        <v>70</v>
      </c>
      <c r="M135" s="34" t="s">
        <v>70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</row>
    <row r="136" spans="1:71">
      <c r="A136" s="2">
        <v>-28</v>
      </c>
      <c r="B136" s="2"/>
      <c r="C136" s="2"/>
      <c r="D136" s="33" t="str">
        <f t="shared" si="32"/>
        <v>n.a.</v>
      </c>
      <c r="E136" s="33" t="str">
        <f t="shared" si="32"/>
        <v>n.a.</v>
      </c>
      <c r="F136" s="33" t="str">
        <f t="shared" si="34"/>
        <v>n.a.</v>
      </c>
      <c r="G136" s="33" t="str">
        <f t="shared" si="33"/>
        <v>n.a.</v>
      </c>
      <c r="H136" s="33" t="str">
        <f t="shared" si="31"/>
        <v>n.a.</v>
      </c>
      <c r="I136" s="33" t="s">
        <v>70</v>
      </c>
      <c r="J136" s="33" t="s">
        <v>70</v>
      </c>
      <c r="K136" s="33" t="s">
        <v>70</v>
      </c>
      <c r="L136" s="33" t="s">
        <v>70</v>
      </c>
      <c r="M136" s="34" t="s">
        <v>70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</row>
    <row r="137" spans="1:71">
      <c r="A137" s="2">
        <v>-27</v>
      </c>
      <c r="B137" s="2"/>
      <c r="C137" s="2"/>
      <c r="D137" s="33" t="str">
        <f t="shared" si="32"/>
        <v>n.a.</v>
      </c>
      <c r="E137" s="33" t="str">
        <f t="shared" si="32"/>
        <v>n.a.</v>
      </c>
      <c r="F137" s="33" t="str">
        <f t="shared" si="34"/>
        <v>n.a.</v>
      </c>
      <c r="G137" s="33" t="str">
        <f t="shared" si="33"/>
        <v>n.a.</v>
      </c>
      <c r="H137" s="33" t="str">
        <f t="shared" si="31"/>
        <v>n.a.</v>
      </c>
      <c r="I137" s="33" t="s">
        <v>70</v>
      </c>
      <c r="J137" s="33" t="s">
        <v>70</v>
      </c>
      <c r="K137" s="33" t="s">
        <v>70</v>
      </c>
      <c r="L137" s="33" t="s">
        <v>70</v>
      </c>
      <c r="M137" s="34" t="s">
        <v>70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</row>
    <row r="138" spans="1:71">
      <c r="A138" s="2">
        <v>-26</v>
      </c>
      <c r="B138" s="2"/>
      <c r="C138" s="2"/>
      <c r="D138" s="33" t="str">
        <f t="shared" si="32"/>
        <v>n.a.</v>
      </c>
      <c r="E138" s="33" t="str">
        <f t="shared" si="32"/>
        <v>n.a.</v>
      </c>
      <c r="F138" s="33" t="str">
        <f t="shared" si="34"/>
        <v>n.a.</v>
      </c>
      <c r="G138" s="33" t="str">
        <f t="shared" si="33"/>
        <v>n.a.</v>
      </c>
      <c r="H138" s="33" t="str">
        <f t="shared" si="31"/>
        <v>n.a.</v>
      </c>
      <c r="I138" s="33" t="s">
        <v>70</v>
      </c>
      <c r="J138" s="33" t="s">
        <v>70</v>
      </c>
      <c r="K138" s="33" t="s">
        <v>70</v>
      </c>
      <c r="L138" s="33" t="s">
        <v>70</v>
      </c>
      <c r="M138" s="34" t="s">
        <v>70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</row>
    <row r="139" spans="1:71">
      <c r="A139" s="2">
        <v>-25</v>
      </c>
      <c r="B139" s="2"/>
      <c r="C139" s="2"/>
      <c r="D139" s="33" t="str">
        <f t="shared" si="32"/>
        <v>n.a.</v>
      </c>
      <c r="E139" s="33" t="str">
        <f t="shared" si="32"/>
        <v>n.a.</v>
      </c>
      <c r="F139" s="33" t="str">
        <f t="shared" si="34"/>
        <v>n.a.</v>
      </c>
      <c r="G139" s="33" t="str">
        <f t="shared" si="33"/>
        <v>n.a.</v>
      </c>
      <c r="H139" s="33" t="str">
        <f t="shared" si="31"/>
        <v>n.a.</v>
      </c>
      <c r="I139" s="33" t="s">
        <v>70</v>
      </c>
      <c r="J139" s="33" t="s">
        <v>70</v>
      </c>
      <c r="K139" s="33" t="s">
        <v>70</v>
      </c>
      <c r="L139" s="33" t="s">
        <v>70</v>
      </c>
      <c r="M139" s="34" t="s">
        <v>70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</row>
    <row r="140" spans="1:7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</row>
    <row r="141" spans="1:7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</row>
    <row r="142" spans="1:71" ht="21">
      <c r="A142" s="1" t="s">
        <v>80</v>
      </c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</row>
    <row r="143" spans="1:7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</row>
    <row r="144" spans="1:71">
      <c r="A144" s="4" t="s">
        <v>81</v>
      </c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</row>
    <row r="145" spans="1:71">
      <c r="A145" s="4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</row>
    <row r="146" spans="1:71">
      <c r="A146" s="2"/>
      <c r="B146" s="2"/>
      <c r="C146" s="2"/>
      <c r="D146" s="2"/>
      <c r="E146" s="17" t="s">
        <v>82</v>
      </c>
      <c r="F146" s="2">
        <v>8</v>
      </c>
      <c r="G146" s="2">
        <v>10</v>
      </c>
      <c r="H146" s="2">
        <v>12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</row>
    <row r="147" spans="1:71">
      <c r="A147" s="35" t="s">
        <v>83</v>
      </c>
      <c r="B147" s="23"/>
      <c r="C147" s="36" t="s">
        <v>84</v>
      </c>
      <c r="D147" s="37">
        <v>3.08445825837715E-3</v>
      </c>
      <c r="E147" s="17" t="s">
        <v>85</v>
      </c>
      <c r="F147" s="38">
        <f>1/(F$146^b_t)</f>
        <v>4.4931122664851643E-3</v>
      </c>
      <c r="G147" s="38">
        <f>1/(G$146^b_t)</f>
        <v>2.5156117144778433E-3</v>
      </c>
      <c r="H147" s="38">
        <f>1/(H$146^b_t)</f>
        <v>1.5661138505692618E-3</v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</row>
    <row r="148" spans="1:71">
      <c r="A148" s="39" t="s">
        <v>86</v>
      </c>
      <c r="B148" s="2"/>
      <c r="C148" s="36" t="s">
        <v>87</v>
      </c>
      <c r="D148" s="40">
        <v>2.5993563915546996</v>
      </c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</row>
    <row r="149" spans="1:71">
      <c r="A149" s="18" t="s">
        <v>88</v>
      </c>
      <c r="B149" s="18" t="s">
        <v>68</v>
      </c>
      <c r="C149" s="18" t="s">
        <v>89</v>
      </c>
      <c r="D149" s="71" t="s">
        <v>202</v>
      </c>
      <c r="E149" s="18" t="s">
        <v>90</v>
      </c>
      <c r="F149" s="71" t="s">
        <v>199</v>
      </c>
      <c r="G149" s="71" t="s">
        <v>201</v>
      </c>
      <c r="H149" s="71" t="s">
        <v>200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</row>
    <row r="150" spans="1:71">
      <c r="A150" s="17">
        <v>12</v>
      </c>
      <c r="B150" s="17"/>
      <c r="C150" s="17"/>
      <c r="D150" s="8">
        <f t="shared" ref="D150:D162" si="35">a_t*A150^b_t</f>
        <v>1.9694981033824521</v>
      </c>
      <c r="E150" s="28">
        <f t="shared" ref="E150:E162" si="36">(D150-C150)^2</f>
        <v>3.878922779227076</v>
      </c>
      <c r="F150" s="8">
        <f t="shared" ref="F150:F162" si="37">(1/F$146^b_t)*$A150^b_t</f>
        <v>2.8689563436604417</v>
      </c>
      <c r="G150" s="8">
        <f t="shared" ref="G150:G162" si="38">(1/G$146^b_t)*$A150^b_t</f>
        <v>1.6062763978260275</v>
      </c>
      <c r="H150" s="8">
        <f t="shared" ref="H150:H162" si="39">(1/H$146^b_t)*$A150^b_t</f>
        <v>1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</row>
    <row r="151" spans="1:71">
      <c r="A151" s="2">
        <v>11</v>
      </c>
      <c r="B151" s="2"/>
      <c r="C151" s="17"/>
      <c r="D151" s="8">
        <f t="shared" si="35"/>
        <v>1.5708316013521977</v>
      </c>
      <c r="E151" s="28">
        <f t="shared" si="36"/>
        <v>2.4675119198067099</v>
      </c>
      <c r="F151" s="8">
        <f t="shared" si="37"/>
        <v>2.2882211867997633</v>
      </c>
      <c r="G151" s="8">
        <f t="shared" si="38"/>
        <v>1.2811333617828451</v>
      </c>
      <c r="H151" s="8">
        <f t="shared" si="39"/>
        <v>0.79757964663912229</v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</row>
    <row r="152" spans="1:71">
      <c r="A152" s="2">
        <v>10</v>
      </c>
      <c r="B152" s="2"/>
      <c r="C152" s="17"/>
      <c r="D152" s="8">
        <f t="shared" si="35"/>
        <v>1.2261265284405707</v>
      </c>
      <c r="E152" s="28">
        <f t="shared" si="36"/>
        <v>1.5033862637457256</v>
      </c>
      <c r="F152" s="8">
        <f t="shared" si="37"/>
        <v>1.786091327459804</v>
      </c>
      <c r="G152" s="8">
        <f t="shared" si="38"/>
        <v>1</v>
      </c>
      <c r="H152" s="8">
        <f t="shared" si="39"/>
        <v>0.62255786199275776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</row>
    <row r="153" spans="1:71">
      <c r="A153" s="2">
        <v>9</v>
      </c>
      <c r="B153" s="28">
        <v>5.9499827378707001E-2</v>
      </c>
      <c r="C153" s="28">
        <f t="shared" ref="C153:C162" si="40">1-B153</f>
        <v>0.94050017262129304</v>
      </c>
      <c r="D153" s="8">
        <f t="shared" si="35"/>
        <v>0.93238496842637664</v>
      </c>
      <c r="E153" s="28">
        <f t="shared" si="36"/>
        <v>6.5856539125188788E-5</v>
      </c>
      <c r="F153" s="8">
        <f t="shared" si="37"/>
        <v>1.3581997186524062</v>
      </c>
      <c r="G153" s="8">
        <f t="shared" si="38"/>
        <v>0.76043128241602886</v>
      </c>
      <c r="H153" s="8">
        <f t="shared" si="39"/>
        <v>0.47341247337333392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</row>
    <row r="154" spans="1:71">
      <c r="A154" s="2">
        <v>8</v>
      </c>
      <c r="B154" s="28">
        <v>0.32043368353772339</v>
      </c>
      <c r="C154" s="28">
        <f t="shared" si="40"/>
        <v>0.67956631646227661</v>
      </c>
      <c r="D154" s="8">
        <f t="shared" si="35"/>
        <v>0.68648590897329942</v>
      </c>
      <c r="E154" s="28">
        <f t="shared" si="36"/>
        <v>4.788076051860295E-5</v>
      </c>
      <c r="F154" s="8">
        <f t="shared" si="37"/>
        <v>0.99999999999999989</v>
      </c>
      <c r="G154" s="8">
        <f t="shared" si="38"/>
        <v>0.55988178466898975</v>
      </c>
      <c r="H154" s="8">
        <f t="shared" si="39"/>
        <v>0.3485588068322158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</row>
    <row r="155" spans="1:71">
      <c r="A155" s="2">
        <v>7</v>
      </c>
      <c r="B155" s="28">
        <v>0.52323654755237825</v>
      </c>
      <c r="C155" s="28">
        <f t="shared" si="40"/>
        <v>0.47676345244762175</v>
      </c>
      <c r="D155" s="8">
        <f t="shared" si="35"/>
        <v>0.48516547592035714</v>
      </c>
      <c r="E155" s="28">
        <f t="shared" si="36"/>
        <v>7.0593998436396419E-5</v>
      </c>
      <c r="F155" s="8">
        <f t="shared" si="37"/>
        <v>0.70673770514236056</v>
      </c>
      <c r="G155" s="8">
        <f t="shared" si="38"/>
        <v>0.39568956764797109</v>
      </c>
      <c r="H155" s="8">
        <f t="shared" si="39"/>
        <v>0.24633965124775956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</row>
    <row r="156" spans="1:71">
      <c r="A156" s="2">
        <v>6</v>
      </c>
      <c r="B156" s="28">
        <v>0.67830817602952742</v>
      </c>
      <c r="C156" s="28">
        <f t="shared" si="40"/>
        <v>0.32169182397047258</v>
      </c>
      <c r="D156" s="8">
        <f t="shared" si="35"/>
        <v>0.32499099210299104</v>
      </c>
      <c r="E156" s="28">
        <f t="shared" si="36"/>
        <v>1.0884510366625341E-5</v>
      </c>
      <c r="F156" s="8">
        <f t="shared" si="37"/>
        <v>0.47341247337333386</v>
      </c>
      <c r="G156" s="8">
        <f t="shared" si="38"/>
        <v>0.26505502047682278</v>
      </c>
      <c r="H156" s="8">
        <f t="shared" si="39"/>
        <v>0.16501208685849739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</row>
    <row r="157" spans="1:71">
      <c r="A157" s="2">
        <v>5</v>
      </c>
      <c r="B157" s="28">
        <v>0.7942838072551841</v>
      </c>
      <c r="C157" s="28">
        <f t="shared" si="40"/>
        <v>0.2057161927448159</v>
      </c>
      <c r="D157" s="8">
        <f t="shared" si="35"/>
        <v>0.20232569721054314</v>
      </c>
      <c r="E157" s="28">
        <f t="shared" si="36"/>
        <v>1.1495459967923517E-5</v>
      </c>
      <c r="F157" s="8">
        <f t="shared" si="37"/>
        <v>0.29472665726400582</v>
      </c>
      <c r="G157" s="8">
        <f t="shared" si="38"/>
        <v>0.16501208685849725</v>
      </c>
      <c r="H157" s="8">
        <f t="shared" si="39"/>
        <v>0.10272957199758928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</row>
    <row r="158" spans="1:71">
      <c r="A158" s="2">
        <v>4</v>
      </c>
      <c r="B158" s="28">
        <v>0.87833182285490496</v>
      </c>
      <c r="C158" s="28">
        <f t="shared" si="40"/>
        <v>0.12166817714509504</v>
      </c>
      <c r="D158" s="8">
        <f t="shared" si="35"/>
        <v>0.11327847243863676</v>
      </c>
      <c r="E158" s="28">
        <f t="shared" si="36"/>
        <v>7.0387145061568188E-5</v>
      </c>
      <c r="F158" s="8">
        <f t="shared" si="37"/>
        <v>0.16501208685849758</v>
      </c>
      <c r="G158" s="8">
        <f t="shared" si="38"/>
        <v>9.2387261682289973E-2</v>
      </c>
      <c r="H158" s="8">
        <f t="shared" si="39"/>
        <v>5.7516416108291876E-2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</row>
    <row r="159" spans="1:71">
      <c r="A159" s="2">
        <v>3</v>
      </c>
      <c r="B159" s="28">
        <v>0.93640055959669732</v>
      </c>
      <c r="C159" s="28">
        <f t="shared" si="40"/>
        <v>6.3599440403302676E-2</v>
      </c>
      <c r="D159" s="8">
        <f t="shared" si="35"/>
        <v>5.3627441817128065E-2</v>
      </c>
      <c r="E159" s="28">
        <f t="shared" si="36"/>
        <v>9.9440755802668453E-5</v>
      </c>
      <c r="F159" s="8">
        <f t="shared" si="37"/>
        <v>7.8118780176176739E-2</v>
      </c>
      <c r="G159" s="8">
        <f t="shared" si="38"/>
        <v>4.373728206120233E-2</v>
      </c>
      <c r="H159" s="8">
        <f t="shared" si="39"/>
        <v>2.722898880939632E-2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</row>
    <row r="160" spans="1:71">
      <c r="A160" s="2">
        <v>2</v>
      </c>
      <c r="B160" s="28">
        <v>0.9734231398295099</v>
      </c>
      <c r="C160" s="28">
        <f t="shared" si="40"/>
        <v>2.6576860170490102E-2</v>
      </c>
      <c r="D160" s="8">
        <f t="shared" si="35"/>
        <v>1.8692317133242244E-2</v>
      </c>
      <c r="E160" s="28">
        <f t="shared" si="36"/>
        <v>6.2166018906213686E-5</v>
      </c>
      <c r="F160" s="8">
        <f t="shared" si="37"/>
        <v>2.7228988809396337E-2</v>
      </c>
      <c r="G160" s="8">
        <f t="shared" si="38"/>
        <v>1.524501484933677E-2</v>
      </c>
      <c r="H160" s="8">
        <f t="shared" si="39"/>
        <v>9.490903850650944E-3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</row>
    <row r="161" spans="1:71">
      <c r="A161" s="2">
        <v>1</v>
      </c>
      <c r="B161" s="28">
        <v>0.99348760412674186</v>
      </c>
      <c r="C161" s="28">
        <f t="shared" si="40"/>
        <v>6.5123958732581366E-3</v>
      </c>
      <c r="D161" s="8">
        <f t="shared" si="35"/>
        <v>3.08445825837715E-3</v>
      </c>
      <c r="E161" s="28">
        <f t="shared" si="36"/>
        <v>1.1750756291515947E-5</v>
      </c>
      <c r="F161" s="8">
        <f t="shared" si="37"/>
        <v>4.4931122664851643E-3</v>
      </c>
      <c r="G161" s="8">
        <f t="shared" si="38"/>
        <v>2.5156117144778433E-3</v>
      </c>
      <c r="H161" s="8">
        <f t="shared" si="39"/>
        <v>1.5661138505692618E-3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</row>
    <row r="162" spans="1:71">
      <c r="A162" s="30">
        <v>0</v>
      </c>
      <c r="B162" s="41">
        <v>0.99997833548047843</v>
      </c>
      <c r="C162" s="72">
        <f t="shared" si="40"/>
        <v>2.1664519521569225E-5</v>
      </c>
      <c r="D162" s="42">
        <f t="shared" si="35"/>
        <v>0</v>
      </c>
      <c r="E162" s="41">
        <f t="shared" si="36"/>
        <v>4.6935140610045409E-10</v>
      </c>
      <c r="F162" s="42">
        <f t="shared" si="37"/>
        <v>0</v>
      </c>
      <c r="G162" s="42">
        <f t="shared" si="38"/>
        <v>0</v>
      </c>
      <c r="H162" s="42">
        <f t="shared" si="39"/>
        <v>0</v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</row>
    <row r="163" spans="1:71">
      <c r="A163" s="2"/>
      <c r="B163" s="2"/>
      <c r="C163" s="2"/>
      <c r="D163" s="17" t="s">
        <v>91</v>
      </c>
      <c r="E163" s="40">
        <f>SUM(E153:E162)</f>
        <v>4.5045641382810938E-4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</row>
    <row r="164" spans="1:71">
      <c r="A164" s="2"/>
      <c r="B164" s="2"/>
      <c r="C164" s="2"/>
      <c r="D164" s="9" t="s">
        <v>163</v>
      </c>
      <c r="E164" s="9"/>
      <c r="F164" s="9"/>
      <c r="G164" s="60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</row>
    <row r="165" spans="1:7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</row>
    <row r="166" spans="1:71">
      <c r="A166" s="2"/>
      <c r="B166" s="22" t="s">
        <v>92</v>
      </c>
      <c r="C166" s="22"/>
      <c r="D166" s="22"/>
      <c r="E166" s="22"/>
      <c r="F166" s="17"/>
      <c r="G166" s="2"/>
      <c r="H166" s="17" t="s">
        <v>93</v>
      </c>
      <c r="I166" s="8">
        <f>(1/a_t)^(1/b_t)</f>
        <v>9.2456943980527324</v>
      </c>
      <c r="J166" s="2" t="s">
        <v>7</v>
      </c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</row>
    <row r="167" spans="1:71">
      <c r="A167" s="2"/>
      <c r="B167" s="2"/>
      <c r="C167" s="2"/>
      <c r="D167" s="2"/>
      <c r="E167" s="2"/>
      <c r="F167" s="17"/>
      <c r="G167" s="2"/>
      <c r="H167" s="43" t="s">
        <v>94</v>
      </c>
      <c r="I167" s="44">
        <f>(1/a_t)^(1/b_t)</f>
        <v>9.2456943980527324</v>
      </c>
      <c r="J167" s="22" t="s">
        <v>7</v>
      </c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</row>
    <row r="168" spans="1:71">
      <c r="A168" s="2"/>
      <c r="B168" s="2" t="s">
        <v>95</v>
      </c>
      <c r="C168" s="2"/>
      <c r="D168" s="2"/>
      <c r="E168" s="2"/>
      <c r="F168" s="17"/>
      <c r="G168" s="2"/>
      <c r="H168" s="8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</row>
    <row r="169" spans="1:71">
      <c r="A169" s="2"/>
      <c r="B169" s="22" t="s">
        <v>96</v>
      </c>
      <c r="C169" s="22"/>
      <c r="D169" s="22"/>
      <c r="E169" s="22"/>
      <c r="F169" s="39" t="s">
        <v>97</v>
      </c>
      <c r="G169" s="17"/>
      <c r="H169" s="8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</row>
    <row r="170" spans="1:71">
      <c r="A170" s="2"/>
      <c r="B170" s="22" t="s">
        <v>98</v>
      </c>
      <c r="C170" s="22"/>
      <c r="D170" s="22"/>
      <c r="E170" s="2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</row>
    <row r="171" spans="1:71">
      <c r="A171" s="2"/>
      <c r="B171" s="22" t="s">
        <v>99</v>
      </c>
      <c r="C171" s="22"/>
      <c r="D171" s="22"/>
      <c r="E171" s="22"/>
      <c r="F171" s="2" t="s">
        <v>100</v>
      </c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</row>
    <row r="172" spans="1:71">
      <c r="A172" s="2"/>
      <c r="B172" s="22" t="s">
        <v>101</v>
      </c>
      <c r="C172" s="22"/>
      <c r="D172" s="22"/>
      <c r="E172" s="2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</row>
    <row r="173" spans="1:7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</row>
    <row r="174" spans="1:71">
      <c r="A174" s="2"/>
      <c r="B174" s="2" t="s">
        <v>102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</row>
    <row r="175" spans="1:71">
      <c r="A175" s="2"/>
      <c r="B175" s="4" t="s">
        <v>103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</row>
    <row r="176" spans="1:7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</row>
    <row r="177" spans="1:71">
      <c r="A177" s="2"/>
      <c r="B177" s="45" t="s">
        <v>104</v>
      </c>
      <c r="C177" s="46" t="s">
        <v>7</v>
      </c>
      <c r="D177" s="47">
        <f>D11</f>
        <v>-34.171657846038833</v>
      </c>
      <c r="E177" s="47">
        <f t="shared" ref="E177:O177" si="41">E11</f>
        <v>-36.556995939242505</v>
      </c>
      <c r="F177" s="47">
        <f t="shared" si="41"/>
        <v>-38.983215462422002</v>
      </c>
      <c r="G177" s="47">
        <f t="shared" si="41"/>
        <v>-41.453686614326799</v>
      </c>
      <c r="H177" s="47">
        <f t="shared" si="41"/>
        <v>-41.997060149801399</v>
      </c>
      <c r="I177" s="47">
        <f t="shared" si="41"/>
        <v>-43.936149738567622</v>
      </c>
      <c r="J177" s="47">
        <f t="shared" si="41"/>
        <v>-46.358686546546537</v>
      </c>
      <c r="K177" s="47">
        <f t="shared" si="41"/>
        <v>-48.720135430706478</v>
      </c>
      <c r="L177" s="47">
        <f t="shared" si="41"/>
        <v>-51.022841943746812</v>
      </c>
      <c r="M177" s="47">
        <f t="shared" si="41"/>
        <v>-53.26904401732731</v>
      </c>
      <c r="N177" s="47">
        <f t="shared" si="41"/>
        <v>-55.460885188547678</v>
      </c>
      <c r="O177" s="47">
        <f t="shared" si="41"/>
        <v>-57.600302356601937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</row>
    <row r="178" spans="1:71">
      <c r="A178" s="2"/>
      <c r="B178" s="48" t="s">
        <v>112</v>
      </c>
      <c r="C178" s="30" t="s">
        <v>34</v>
      </c>
      <c r="D178" s="30">
        <f>D8</f>
        <v>20000</v>
      </c>
      <c r="E178" s="30">
        <f t="shared" ref="E178:O178" si="42">E8</f>
        <v>25000</v>
      </c>
      <c r="F178" s="30">
        <f t="shared" si="42"/>
        <v>30000</v>
      </c>
      <c r="G178" s="30">
        <f t="shared" si="42"/>
        <v>35000</v>
      </c>
      <c r="H178" s="30">
        <f t="shared" si="42"/>
        <v>36089</v>
      </c>
      <c r="I178" s="30">
        <f t="shared" si="42"/>
        <v>40000</v>
      </c>
      <c r="J178" s="30">
        <f t="shared" si="42"/>
        <v>45000</v>
      </c>
      <c r="K178" s="30">
        <f t="shared" si="42"/>
        <v>50000</v>
      </c>
      <c r="L178" s="30">
        <f t="shared" si="42"/>
        <v>55000</v>
      </c>
      <c r="M178" s="30">
        <f t="shared" si="42"/>
        <v>60000</v>
      </c>
      <c r="N178" s="30">
        <f t="shared" si="42"/>
        <v>65000</v>
      </c>
      <c r="O178" s="30">
        <f t="shared" si="42"/>
        <v>70000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</row>
    <row r="179" spans="1:7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</row>
    <row r="180" spans="1:7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</row>
    <row r="181" spans="1:71">
      <c r="A181" s="2"/>
      <c r="B181" s="4" t="s">
        <v>105</v>
      </c>
      <c r="C181" s="49">
        <v>-2118.8000000000002</v>
      </c>
      <c r="D181" s="2" t="s">
        <v>106</v>
      </c>
      <c r="E181" s="2" t="s">
        <v>207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</row>
    <row r="182" spans="1:71">
      <c r="A182" s="2"/>
      <c r="B182" s="4" t="s">
        <v>107</v>
      </c>
      <c r="C182" s="50">
        <v>-52772</v>
      </c>
      <c r="D182" s="2" t="s">
        <v>34</v>
      </c>
      <c r="E182" s="2" t="s">
        <v>207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</row>
    <row r="183" spans="1:7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</row>
    <row r="184" spans="1:7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</row>
    <row r="185" spans="1:71">
      <c r="A185" s="2"/>
      <c r="B185" s="22" t="s">
        <v>162</v>
      </c>
      <c r="C185" s="22"/>
      <c r="D185" s="2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</row>
    <row r="186" spans="1:7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</row>
    <row r="187" spans="1:7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</row>
    <row r="188" spans="1:7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</row>
    <row r="189" spans="1:7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</row>
    <row r="190" spans="1:7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</row>
    <row r="191" spans="1:7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</row>
    <row r="192" spans="1:7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</row>
    <row r="193" spans="1:7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</row>
    <row r="194" spans="1:7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</row>
    <row r="195" spans="1:71">
      <c r="A195" s="2"/>
      <c r="B195" s="2" t="s">
        <v>108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</row>
    <row r="196" spans="1:71">
      <c r="A196" s="2"/>
      <c r="B196" s="22" t="s">
        <v>109</v>
      </c>
      <c r="C196" s="22"/>
      <c r="D196" s="22"/>
      <c r="E196" s="22"/>
      <c r="F196" s="2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</row>
    <row r="197" spans="1:7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</row>
    <row r="198" spans="1:71">
      <c r="A198" s="2"/>
      <c r="B198" s="2" t="s">
        <v>110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</row>
    <row r="199" spans="1:71">
      <c r="A199" s="2"/>
      <c r="B199" s="2" t="s">
        <v>111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</row>
    <row r="200" spans="1:7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</row>
    <row r="201" spans="1:7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</row>
    <row r="202" spans="1:7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</row>
    <row r="203" spans="1:71">
      <c r="A203" s="76" t="s">
        <v>112</v>
      </c>
      <c r="B203" s="77"/>
      <c r="C203" s="78" t="s">
        <v>34</v>
      </c>
      <c r="D203" s="77">
        <v>20000</v>
      </c>
      <c r="E203" s="77">
        <v>25000</v>
      </c>
      <c r="F203" s="77">
        <v>30000</v>
      </c>
      <c r="G203" s="77">
        <v>35000</v>
      </c>
      <c r="H203" s="77">
        <f>H_T</f>
        <v>36089</v>
      </c>
      <c r="I203" s="77">
        <v>40000</v>
      </c>
      <c r="J203" s="77">
        <v>45000</v>
      </c>
      <c r="K203" s="77">
        <v>50000</v>
      </c>
      <c r="L203" s="77">
        <v>55000</v>
      </c>
      <c r="M203" s="77">
        <v>60000</v>
      </c>
      <c r="N203" s="77">
        <v>65000</v>
      </c>
      <c r="O203" s="79">
        <v>70000</v>
      </c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</row>
    <row r="204" spans="1:71">
      <c r="A204" s="80" t="s">
        <v>113</v>
      </c>
      <c r="B204" s="61"/>
      <c r="C204" s="62" t="s">
        <v>7</v>
      </c>
      <c r="D204" s="81">
        <f t="shared" ref="D204:O204" si="43">D13</f>
        <v>10.191807796994766</v>
      </c>
      <c r="E204" s="81">
        <f t="shared" si="43"/>
        <v>9.9604385777602431</v>
      </c>
      <c r="F204" s="81">
        <f t="shared" si="43"/>
        <v>9.7278255152540041</v>
      </c>
      <c r="G204" s="81">
        <f t="shared" si="43"/>
        <v>9.4938003329852094</v>
      </c>
      <c r="H204" s="81">
        <f t="shared" si="43"/>
        <v>9.442709030448718</v>
      </c>
      <c r="I204" s="81">
        <f t="shared" si="43"/>
        <v>9.2615056131735756</v>
      </c>
      <c r="J204" s="81">
        <f t="shared" si="43"/>
        <v>9.0375911897456547</v>
      </c>
      <c r="K204" s="81">
        <f t="shared" si="43"/>
        <v>8.8219585861894672</v>
      </c>
      <c r="L204" s="81">
        <f t="shared" si="43"/>
        <v>8.6142027697986165</v>
      </c>
      <c r="M204" s="81">
        <f t="shared" si="43"/>
        <v>8.4139301957811696</v>
      </c>
      <c r="N204" s="81">
        <f t="shared" si="43"/>
        <v>8.2207515673014058</v>
      </c>
      <c r="O204" s="82">
        <f t="shared" si="43"/>
        <v>8.0343996169108394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</row>
    <row r="205" spans="1:71">
      <c r="A205" s="83" t="s">
        <v>205</v>
      </c>
      <c r="B205" s="2"/>
      <c r="C205" s="17" t="s">
        <v>7</v>
      </c>
      <c r="D205" s="11">
        <f t="shared" ref="D205:O205" si="44">a_tot*D203+b_tot</f>
        <v>10.15428</v>
      </c>
      <c r="E205" s="11">
        <f t="shared" si="44"/>
        <v>9.9373500000000003</v>
      </c>
      <c r="F205" s="11">
        <f t="shared" si="44"/>
        <v>9.7204200000000007</v>
      </c>
      <c r="G205" s="11">
        <f t="shared" si="44"/>
        <v>9.5034899999999993</v>
      </c>
      <c r="H205" s="11">
        <f t="shared" si="44"/>
        <v>9.4562426459999998</v>
      </c>
      <c r="I205" s="11">
        <f t="shared" si="44"/>
        <v>9.2865599999999997</v>
      </c>
      <c r="J205" s="11">
        <f t="shared" si="44"/>
        <v>9.0696300000000001</v>
      </c>
      <c r="K205" s="11">
        <f t="shared" si="44"/>
        <v>8.8527000000000005</v>
      </c>
      <c r="L205" s="11">
        <f t="shared" si="44"/>
        <v>8.6357700000000008</v>
      </c>
      <c r="M205" s="11">
        <f t="shared" si="44"/>
        <v>8.4188399999999994</v>
      </c>
      <c r="N205" s="11">
        <f t="shared" si="44"/>
        <v>8.2019099999999998</v>
      </c>
      <c r="O205" s="11">
        <f t="shared" si="44"/>
        <v>7.9849800000000002</v>
      </c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</row>
    <row r="206" spans="1:71">
      <c r="A206" s="83" t="s">
        <v>204</v>
      </c>
      <c r="B206" s="2"/>
      <c r="C206" s="17" t="s">
        <v>7</v>
      </c>
      <c r="D206" s="11">
        <f t="shared" ref="D206:O206" si="45">t_SAC_0_100-t_SAC_0_0-(L_SAC_100-L_SAC_0)*D$203</f>
        <v>10.154199999999998</v>
      </c>
      <c r="E206" s="11">
        <f t="shared" si="45"/>
        <v>9.937249999999997</v>
      </c>
      <c r="F206" s="11">
        <f t="shared" si="45"/>
        <v>9.7202999999999982</v>
      </c>
      <c r="G206" s="11">
        <f t="shared" si="45"/>
        <v>9.5033499999999975</v>
      </c>
      <c r="H206" s="11">
        <f t="shared" si="45"/>
        <v>9.4560982899999981</v>
      </c>
      <c r="I206" s="11">
        <f t="shared" si="45"/>
        <v>9.2863999999999969</v>
      </c>
      <c r="J206" s="11">
        <f t="shared" si="45"/>
        <v>9.0694499999999962</v>
      </c>
      <c r="K206" s="11">
        <f t="shared" si="45"/>
        <v>8.8524999999999974</v>
      </c>
      <c r="L206" s="11">
        <f t="shared" si="45"/>
        <v>8.6355499999999967</v>
      </c>
      <c r="M206" s="11">
        <f t="shared" si="45"/>
        <v>8.4185999999999961</v>
      </c>
      <c r="N206" s="11">
        <f t="shared" si="45"/>
        <v>8.2016499999999972</v>
      </c>
      <c r="O206" s="11">
        <f t="shared" si="45"/>
        <v>7.9846999999999966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</row>
    <row r="207" spans="1:7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</row>
    <row r="208" spans="1:71">
      <c r="A208" s="2"/>
      <c r="B208" s="2"/>
      <c r="C208" s="4" t="s">
        <v>114</v>
      </c>
      <c r="D208" s="49">
        <v>-4.3386000000000001E-5</v>
      </c>
      <c r="E208" s="2" t="s">
        <v>26</v>
      </c>
      <c r="F208" s="2" t="s">
        <v>207</v>
      </c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</row>
    <row r="209" spans="1:71">
      <c r="A209" s="2"/>
      <c r="B209" s="2"/>
      <c r="C209" s="4" t="s">
        <v>115</v>
      </c>
      <c r="D209" s="74">
        <v>11.022</v>
      </c>
      <c r="E209" s="2" t="s">
        <v>7</v>
      </c>
      <c r="F209" s="2" t="s">
        <v>207</v>
      </c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</row>
    <row r="210" spans="1:7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</row>
    <row r="211" spans="1:71">
      <c r="A211" s="83" t="s">
        <v>205</v>
      </c>
      <c r="B211" s="2"/>
      <c r="C211" s="22" t="s">
        <v>96</v>
      </c>
      <c r="D211" s="22"/>
      <c r="E211" s="22"/>
      <c r="F211" s="84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</row>
    <row r="212" spans="1:7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</row>
    <row r="213" spans="1:71">
      <c r="A213" s="83" t="s">
        <v>204</v>
      </c>
      <c r="B213" s="2"/>
      <c r="C213" s="85" t="s">
        <v>206</v>
      </c>
      <c r="D213" s="84"/>
      <c r="E213" s="84"/>
      <c r="F213" s="84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</row>
    <row r="214" spans="1:7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</row>
    <row r="215" spans="1:7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</row>
    <row r="216" spans="1:7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</row>
    <row r="217" spans="1:7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</row>
    <row r="218" spans="1:7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</row>
    <row r="219" spans="1:7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</row>
    <row r="220" spans="1:7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</row>
    <row r="221" spans="1:7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</row>
    <row r="222" spans="1:71" ht="21">
      <c r="A222" s="1" t="s">
        <v>116</v>
      </c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</row>
    <row r="223" spans="1:71">
      <c r="A223" s="2" t="s">
        <v>117</v>
      </c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</row>
    <row r="224" spans="1:7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</row>
    <row r="225" spans="1:71">
      <c r="A225" s="76" t="s">
        <v>112</v>
      </c>
      <c r="B225" s="77"/>
      <c r="C225" s="78" t="s">
        <v>34</v>
      </c>
      <c r="D225" s="77">
        <f>D8</f>
        <v>20000</v>
      </c>
      <c r="E225" s="77">
        <f t="shared" ref="E225:O225" si="46">E8</f>
        <v>25000</v>
      </c>
      <c r="F225" s="77">
        <f t="shared" si="46"/>
        <v>30000</v>
      </c>
      <c r="G225" s="77">
        <f t="shared" si="46"/>
        <v>35000</v>
      </c>
      <c r="H225" s="77">
        <f t="shared" si="46"/>
        <v>36089</v>
      </c>
      <c r="I225" s="77">
        <f t="shared" si="46"/>
        <v>40000</v>
      </c>
      <c r="J225" s="77">
        <f t="shared" si="46"/>
        <v>45000</v>
      </c>
      <c r="K225" s="77">
        <f t="shared" si="46"/>
        <v>50000</v>
      </c>
      <c r="L225" s="77">
        <f t="shared" si="46"/>
        <v>55000</v>
      </c>
      <c r="M225" s="77">
        <f t="shared" si="46"/>
        <v>60000</v>
      </c>
      <c r="N225" s="77">
        <f t="shared" si="46"/>
        <v>65000</v>
      </c>
      <c r="O225" s="79">
        <f t="shared" si="46"/>
        <v>70000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</row>
    <row r="226" spans="1:71">
      <c r="A226" s="86" t="s">
        <v>65</v>
      </c>
      <c r="B226" s="2"/>
      <c r="C226" s="17" t="s">
        <v>7</v>
      </c>
      <c r="D226" s="13">
        <f>D11</f>
        <v>-34.171657846038833</v>
      </c>
      <c r="E226" s="13">
        <f t="shared" ref="E226:O226" si="47">E11</f>
        <v>-36.556995939242505</v>
      </c>
      <c r="F226" s="13">
        <f t="shared" si="47"/>
        <v>-38.983215462422002</v>
      </c>
      <c r="G226" s="13">
        <f t="shared" si="47"/>
        <v>-41.453686614326799</v>
      </c>
      <c r="H226" s="13">
        <f t="shared" si="47"/>
        <v>-41.997060149801399</v>
      </c>
      <c r="I226" s="13">
        <f t="shared" si="47"/>
        <v>-43.936149738567622</v>
      </c>
      <c r="J226" s="13">
        <f t="shared" si="47"/>
        <v>-46.358686546546537</v>
      </c>
      <c r="K226" s="13">
        <f t="shared" si="47"/>
        <v>-48.720135430706478</v>
      </c>
      <c r="L226" s="13">
        <f t="shared" si="47"/>
        <v>-51.022841943746812</v>
      </c>
      <c r="M226" s="13">
        <f t="shared" si="47"/>
        <v>-53.26904401732731</v>
      </c>
      <c r="N226" s="13">
        <f t="shared" si="47"/>
        <v>-55.460885188547678</v>
      </c>
      <c r="O226" s="87">
        <f t="shared" si="47"/>
        <v>-57.600302356601937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</row>
    <row r="227" spans="1:71">
      <c r="A227" s="80" t="s">
        <v>66</v>
      </c>
      <c r="B227" s="61"/>
      <c r="C227" s="62" t="s">
        <v>7</v>
      </c>
      <c r="D227" s="88">
        <f>D12</f>
        <v>-44.363465643033599</v>
      </c>
      <c r="E227" s="88">
        <f t="shared" ref="E227:O227" si="48">E12</f>
        <v>-46.517434517002748</v>
      </c>
      <c r="F227" s="88">
        <f t="shared" si="48"/>
        <v>-48.711040977676006</v>
      </c>
      <c r="G227" s="88">
        <f t="shared" si="48"/>
        <v>-50.947486947312008</v>
      </c>
      <c r="H227" s="88">
        <f t="shared" si="48"/>
        <v>-51.439769180250117</v>
      </c>
      <c r="I227" s="88">
        <f t="shared" si="48"/>
        <v>-53.197655351741197</v>
      </c>
      <c r="J227" s="88">
        <f t="shared" si="48"/>
        <v>-55.396277736292191</v>
      </c>
      <c r="K227" s="88">
        <f t="shared" si="48"/>
        <v>-57.542094016895945</v>
      </c>
      <c r="L227" s="88">
        <f t="shared" si="48"/>
        <v>-59.637044713545428</v>
      </c>
      <c r="M227" s="88">
        <f t="shared" si="48"/>
        <v>-61.68297421310848</v>
      </c>
      <c r="N227" s="88">
        <f t="shared" si="48"/>
        <v>-63.681636755849084</v>
      </c>
      <c r="O227" s="89">
        <f t="shared" si="48"/>
        <v>-65.634701973512776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</row>
    <row r="228" spans="1:71">
      <c r="A228" s="2" t="s">
        <v>67</v>
      </c>
      <c r="B228" s="2"/>
      <c r="C228" s="17" t="s">
        <v>7</v>
      </c>
      <c r="D228" s="13">
        <f t="shared" ref="D228:O228" si="49">D226-D227</f>
        <v>10.191807796994766</v>
      </c>
      <c r="E228" s="13">
        <f t="shared" si="49"/>
        <v>9.9604385777602431</v>
      </c>
      <c r="F228" s="13">
        <f t="shared" si="49"/>
        <v>9.7278255152540041</v>
      </c>
      <c r="G228" s="13">
        <f t="shared" si="49"/>
        <v>9.4938003329852094</v>
      </c>
      <c r="H228" s="13">
        <f t="shared" si="49"/>
        <v>9.442709030448718</v>
      </c>
      <c r="I228" s="13">
        <f t="shared" si="49"/>
        <v>9.2615056131735756</v>
      </c>
      <c r="J228" s="13">
        <f t="shared" si="49"/>
        <v>9.0375911897456547</v>
      </c>
      <c r="K228" s="13">
        <f t="shared" si="49"/>
        <v>8.8219585861894672</v>
      </c>
      <c r="L228" s="13">
        <f t="shared" si="49"/>
        <v>8.6142027697986165</v>
      </c>
      <c r="M228" s="13">
        <f t="shared" si="49"/>
        <v>8.4139301957811696</v>
      </c>
      <c r="N228" s="13">
        <f t="shared" si="49"/>
        <v>8.2207515673014058</v>
      </c>
      <c r="O228" s="13">
        <f t="shared" si="49"/>
        <v>8.0343996169108394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</row>
    <row r="229" spans="1:71">
      <c r="A229" s="2" t="s">
        <v>118</v>
      </c>
      <c r="B229" s="2"/>
      <c r="C229" s="17" t="s">
        <v>7</v>
      </c>
      <c r="D229" s="13">
        <f>AVERAGE(D228:O228)</f>
        <v>9.1017433993619736</v>
      </c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</row>
    <row r="230" spans="1:71">
      <c r="A230" s="2" t="s">
        <v>119</v>
      </c>
      <c r="B230" s="2"/>
      <c r="C230" s="17" t="s">
        <v>7</v>
      </c>
      <c r="D230" s="13">
        <f t="shared" ref="D230:O230" si="50">IF(D$225&lt;H_T,t_0-L*D$225,t_0-L*H_T)</f>
        <v>-24.623999999999995</v>
      </c>
      <c r="E230" s="13">
        <f t="shared" si="50"/>
        <v>-34.529999999999994</v>
      </c>
      <c r="F230" s="13">
        <f t="shared" si="50"/>
        <v>-44.435999999999993</v>
      </c>
      <c r="G230" s="13">
        <f t="shared" si="50"/>
        <v>-54.341999999999999</v>
      </c>
      <c r="H230" s="13">
        <f t="shared" si="50"/>
        <v>-56.499526799999998</v>
      </c>
      <c r="I230" s="13">
        <f t="shared" si="50"/>
        <v>-56.499526799999998</v>
      </c>
      <c r="J230" s="13">
        <f t="shared" si="50"/>
        <v>-56.499526799999998</v>
      </c>
      <c r="K230" s="13">
        <f t="shared" si="50"/>
        <v>-56.499526799999998</v>
      </c>
      <c r="L230" s="13">
        <f t="shared" si="50"/>
        <v>-56.499526799999998</v>
      </c>
      <c r="M230" s="13">
        <f t="shared" si="50"/>
        <v>-56.499526799999998</v>
      </c>
      <c r="N230" s="13">
        <f t="shared" si="50"/>
        <v>-56.499526799999998</v>
      </c>
      <c r="O230" s="13">
        <f t="shared" si="50"/>
        <v>-56.499526799999998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</row>
    <row r="231" spans="1:71">
      <c r="A231" s="2" t="s">
        <v>120</v>
      </c>
      <c r="B231" s="2"/>
      <c r="C231" s="17" t="s">
        <v>7</v>
      </c>
      <c r="D231" s="13">
        <f t="shared" ref="D231:O231" si="51">IF(D$225&lt;H_T_pole,t_0-L*D$225,t_T_pole)</f>
        <v>-24.623999999999995</v>
      </c>
      <c r="E231" s="13">
        <f t="shared" si="51"/>
        <v>-34.529999999999994</v>
      </c>
      <c r="F231" s="13">
        <f t="shared" si="51"/>
        <v>-44.435999999999993</v>
      </c>
      <c r="G231" s="13">
        <f t="shared" si="51"/>
        <v>-44.435999999999993</v>
      </c>
      <c r="H231" s="13">
        <f t="shared" si="51"/>
        <v>-44.435999999999993</v>
      </c>
      <c r="I231" s="13">
        <f t="shared" si="51"/>
        <v>-44.435999999999993</v>
      </c>
      <c r="J231" s="13">
        <f t="shared" si="51"/>
        <v>-44.435999999999993</v>
      </c>
      <c r="K231" s="13">
        <f t="shared" si="51"/>
        <v>-44.435999999999993</v>
      </c>
      <c r="L231" s="13">
        <f t="shared" si="51"/>
        <v>-44.435999999999993</v>
      </c>
      <c r="M231" s="13">
        <f t="shared" si="51"/>
        <v>-44.435999999999993</v>
      </c>
      <c r="N231" s="13">
        <f t="shared" si="51"/>
        <v>-44.435999999999993</v>
      </c>
      <c r="O231" s="13">
        <f t="shared" si="51"/>
        <v>-44.435999999999993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</row>
    <row r="232" spans="1:71">
      <c r="A232" s="2" t="s">
        <v>121</v>
      </c>
      <c r="B232" s="2"/>
      <c r="C232" s="17" t="s">
        <v>7</v>
      </c>
      <c r="D232" s="13">
        <f t="shared" ref="D232:O232" si="52">t_0_lat-L*D$225</f>
        <v>-9.6239999999999952</v>
      </c>
      <c r="E232" s="13">
        <f t="shared" si="52"/>
        <v>-19.529999999999994</v>
      </c>
      <c r="F232" s="13">
        <f t="shared" si="52"/>
        <v>-29.435999999999993</v>
      </c>
      <c r="G232" s="13">
        <f t="shared" si="52"/>
        <v>-39.341999999999999</v>
      </c>
      <c r="H232" s="13">
        <f t="shared" si="52"/>
        <v>-41.499526799999998</v>
      </c>
      <c r="I232" s="13">
        <f t="shared" si="52"/>
        <v>-49.24799999999999</v>
      </c>
      <c r="J232" s="13">
        <f t="shared" si="52"/>
        <v>-59.153999999999996</v>
      </c>
      <c r="K232" s="13">
        <f t="shared" si="52"/>
        <v>-69.059999999999988</v>
      </c>
      <c r="L232" s="13">
        <f t="shared" si="52"/>
        <v>-78.965999999999994</v>
      </c>
      <c r="M232" s="13">
        <f t="shared" si="52"/>
        <v>-88.871999999999986</v>
      </c>
      <c r="N232" s="13">
        <f t="shared" si="52"/>
        <v>-98.777999999999992</v>
      </c>
      <c r="O232" s="13">
        <f t="shared" si="52"/>
        <v>-108.684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</row>
    <row r="233" spans="1:71">
      <c r="A233" s="2" t="s">
        <v>122</v>
      </c>
      <c r="B233" s="2"/>
      <c r="C233" s="17" t="s">
        <v>7</v>
      </c>
      <c r="D233" s="13">
        <f t="shared" ref="D233:O233" si="53">t_T_lat</f>
        <v>-71.167155521093406</v>
      </c>
      <c r="E233" s="13">
        <f t="shared" si="53"/>
        <v>-71.167155521093406</v>
      </c>
      <c r="F233" s="13">
        <f t="shared" si="53"/>
        <v>-71.167155521093406</v>
      </c>
      <c r="G233" s="13">
        <f t="shared" si="53"/>
        <v>-71.167155521093406</v>
      </c>
      <c r="H233" s="13">
        <f t="shared" si="53"/>
        <v>-71.167155521093406</v>
      </c>
      <c r="I233" s="13">
        <f t="shared" si="53"/>
        <v>-71.167155521093406</v>
      </c>
      <c r="J233" s="13">
        <f t="shared" si="53"/>
        <v>-71.167155521093406</v>
      </c>
      <c r="K233" s="13">
        <f t="shared" si="53"/>
        <v>-71.167155521093406</v>
      </c>
      <c r="L233" s="13">
        <f t="shared" si="53"/>
        <v>-71.167155521093406</v>
      </c>
      <c r="M233" s="13">
        <f t="shared" si="53"/>
        <v>-71.167155521093406</v>
      </c>
      <c r="N233" s="13">
        <f t="shared" si="53"/>
        <v>-71.167155521093406</v>
      </c>
      <c r="O233" s="13">
        <f t="shared" si="53"/>
        <v>-71.167155521093406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</row>
    <row r="234" spans="1:71">
      <c r="A234" s="2" t="s">
        <v>123</v>
      </c>
      <c r="B234" s="2"/>
      <c r="C234" s="17" t="s">
        <v>7</v>
      </c>
      <c r="D234" s="13">
        <f t="shared" ref="D234:O234" si="54">IF(D$225&lt;H_T_equator,t_0-L*D$225,t_T_equator)</f>
        <v>-24.623999999999995</v>
      </c>
      <c r="E234" s="13">
        <f t="shared" si="54"/>
        <v>-34.529999999999994</v>
      </c>
      <c r="F234" s="13">
        <f t="shared" si="54"/>
        <v>-44.435999999999993</v>
      </c>
      <c r="G234" s="13">
        <f t="shared" si="54"/>
        <v>-54.341999999999999</v>
      </c>
      <c r="H234" s="13">
        <f t="shared" si="54"/>
        <v>-56.499526799999998</v>
      </c>
      <c r="I234" s="13">
        <f t="shared" si="54"/>
        <v>-64.24799999999999</v>
      </c>
      <c r="J234" s="13">
        <f t="shared" si="54"/>
        <v>-74.153999999999996</v>
      </c>
      <c r="K234" s="13">
        <f t="shared" si="54"/>
        <v>-84.059999999999988</v>
      </c>
      <c r="L234" s="13">
        <f t="shared" si="54"/>
        <v>-84.059999999999988</v>
      </c>
      <c r="M234" s="13">
        <f t="shared" si="54"/>
        <v>-84.059999999999988</v>
      </c>
      <c r="N234" s="13">
        <f t="shared" si="54"/>
        <v>-84.059999999999988</v>
      </c>
      <c r="O234" s="13">
        <f t="shared" si="54"/>
        <v>-84.059999999999988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</row>
    <row r="235" spans="1:7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</row>
    <row r="236" spans="1:71">
      <c r="A236" s="30" t="s">
        <v>124</v>
      </c>
      <c r="B236" s="30">
        <v>0.30480000000000002</v>
      </c>
      <c r="C236" s="30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</row>
    <row r="237" spans="1:71">
      <c r="A237" s="2" t="s">
        <v>125</v>
      </c>
      <c r="B237" s="70">
        <v>30</v>
      </c>
      <c r="C237" s="2" t="s">
        <v>7</v>
      </c>
      <c r="D237" s="2">
        <v>15</v>
      </c>
      <c r="E237" s="2" t="s">
        <v>203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</row>
    <row r="238" spans="1:71">
      <c r="A238" s="2" t="s">
        <v>126</v>
      </c>
      <c r="B238" s="4">
        <v>30000</v>
      </c>
      <c r="C238" s="2" t="s">
        <v>34</v>
      </c>
      <c r="D238" s="11">
        <f>H_T_pole*m_ft/1000</f>
        <v>9.1440000000000001</v>
      </c>
      <c r="E238" s="2" t="s">
        <v>127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</row>
    <row r="239" spans="1:71">
      <c r="A239" s="2" t="s">
        <v>171</v>
      </c>
      <c r="B239" s="70">
        <v>20</v>
      </c>
      <c r="C239" s="2" t="s">
        <v>170</v>
      </c>
      <c r="D239" s="64">
        <v>53.5</v>
      </c>
      <c r="E239" s="64" t="s">
        <v>180</v>
      </c>
      <c r="F239" s="64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</row>
    <row r="240" spans="1:71">
      <c r="A240" s="2" t="s">
        <v>172</v>
      </c>
      <c r="B240" s="24">
        <f>D240/m_ft*1000</f>
        <v>51063.575369015452</v>
      </c>
      <c r="C240" s="2" t="s">
        <v>34</v>
      </c>
      <c r="D240" s="11">
        <f>a_lat*(1+COS(2*B*PI()/180))+b_lat</f>
        <v>15.564177772475912</v>
      </c>
      <c r="E240" s="2" t="s">
        <v>127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</row>
    <row r="241" spans="1:71">
      <c r="A241" s="2" t="s">
        <v>128</v>
      </c>
      <c r="B241" s="24">
        <f>B240</f>
        <v>51063.575369015452</v>
      </c>
      <c r="C241" s="2" t="s">
        <v>34</v>
      </c>
      <c r="D241" s="11">
        <f>H_T_lat*m_ft/1000</f>
        <v>15.56417777247591</v>
      </c>
      <c r="E241" s="2" t="s">
        <v>127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</row>
    <row r="242" spans="1:71">
      <c r="A242" s="30" t="s">
        <v>129</v>
      </c>
      <c r="B242" s="93">
        <v>50000</v>
      </c>
      <c r="C242" s="30" t="s">
        <v>34</v>
      </c>
      <c r="D242" s="2">
        <f>H_T_equator*m_ft/1000</f>
        <v>15.24</v>
      </c>
      <c r="E242" s="2" t="s">
        <v>127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</row>
    <row r="243" spans="1:71">
      <c r="A243" s="2" t="s">
        <v>130</v>
      </c>
      <c r="B243" s="13">
        <f>t_0-L*H_T_pole</f>
        <v>-44.435999999999993</v>
      </c>
      <c r="C243" s="2" t="s">
        <v>7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</row>
    <row r="244" spans="1:71">
      <c r="A244" s="2" t="s">
        <v>131</v>
      </c>
      <c r="B244" s="13">
        <f>t_0-L*H_T</f>
        <v>-56.499526799999998</v>
      </c>
      <c r="C244" s="2" t="s">
        <v>7</v>
      </c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</row>
    <row r="245" spans="1:71">
      <c r="A245" s="2" t="s">
        <v>132</v>
      </c>
      <c r="B245" s="13">
        <f>t_0_lat-L*H_T_lat</f>
        <v>-71.167155521093406</v>
      </c>
      <c r="C245" s="2" t="s">
        <v>7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</row>
    <row r="246" spans="1:71">
      <c r="A246" s="30" t="s">
        <v>133</v>
      </c>
      <c r="B246" s="31">
        <f>t_0-L*H_T_equator</f>
        <v>-84.059999999999988</v>
      </c>
      <c r="C246" s="30" t="s">
        <v>7</v>
      </c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</row>
    <row r="247" spans="1:71">
      <c r="A247" s="2" t="s">
        <v>134</v>
      </c>
      <c r="B247" s="90">
        <v>4.2831999999999999E-4</v>
      </c>
      <c r="C247" s="2" t="s">
        <v>26</v>
      </c>
      <c r="D247" s="2" t="s">
        <v>207</v>
      </c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</row>
    <row r="248" spans="1:71">
      <c r="A248" s="2" t="s">
        <v>135</v>
      </c>
      <c r="B248" s="90">
        <v>4.7171000000000002E-4</v>
      </c>
      <c r="C248" s="2" t="s">
        <v>26</v>
      </c>
      <c r="D248" s="2" t="s">
        <v>207</v>
      </c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</row>
    <row r="249" spans="1:71">
      <c r="A249" s="2" t="s">
        <v>136</v>
      </c>
      <c r="B249" s="91">
        <v>-35.94</v>
      </c>
      <c r="C249" s="2" t="s">
        <v>7</v>
      </c>
      <c r="D249" s="2" t="s">
        <v>207</v>
      </c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</row>
    <row r="250" spans="1:71">
      <c r="A250" s="30" t="s">
        <v>137</v>
      </c>
      <c r="B250" s="92">
        <v>-24.917999999999999</v>
      </c>
      <c r="C250" s="30" t="s">
        <v>7</v>
      </c>
      <c r="D250" s="2" t="s">
        <v>207</v>
      </c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</row>
    <row r="251" spans="1:71">
      <c r="A251" s="22" t="s">
        <v>138</v>
      </c>
      <c r="B251" s="22"/>
      <c r="C251" s="2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</row>
    <row r="252" spans="1:71">
      <c r="A252" s="52" t="s">
        <v>139</v>
      </c>
      <c r="B252" s="52"/>
      <c r="C252" s="5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</row>
    <row r="253" spans="1:7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</row>
    <row r="254" spans="1:7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</row>
    <row r="255" spans="1:71" ht="18.75">
      <c r="A255" s="53" t="s">
        <v>140</v>
      </c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</row>
    <row r="256" spans="1:7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</row>
    <row r="257" spans="1:71">
      <c r="A257" s="2" t="s">
        <v>141</v>
      </c>
      <c r="B257" s="2"/>
      <c r="C257" s="2"/>
      <c r="D257" s="2" t="s">
        <v>142</v>
      </c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</row>
    <row r="258" spans="1:71">
      <c r="A258" s="2" t="s">
        <v>143</v>
      </c>
      <c r="B258" s="24">
        <f>(t_0-t_SAC_0_100)/(L-L_SAC_100)</f>
        <v>26444.693240763438</v>
      </c>
      <c r="C258" s="2" t="s">
        <v>34</v>
      </c>
      <c r="D258" s="2">
        <f>ROUND(B258/1000,0)*10</f>
        <v>260</v>
      </c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</row>
    <row r="259" spans="1:71">
      <c r="A259" s="2" t="s">
        <v>144</v>
      </c>
      <c r="B259" s="24">
        <f>(t_0_lat-t_SAC_0_100)/(L-L_SAC_100)</f>
        <v>36381.824324771944</v>
      </c>
      <c r="C259" s="2" t="s">
        <v>34</v>
      </c>
      <c r="D259" s="2">
        <f>ROUND(B259/1000,0)*10</f>
        <v>360</v>
      </c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</row>
    <row r="260" spans="1:71">
      <c r="A260" s="2" t="s">
        <v>145</v>
      </c>
      <c r="B260" s="24">
        <f>(t_0-t_SAC_0_0)/(L-L_SAC_0)</f>
        <v>32803.564988923812</v>
      </c>
      <c r="C260" s="2" t="s">
        <v>34</v>
      </c>
      <c r="D260" s="2">
        <f>ROUND(B260/1000,0)*10</f>
        <v>330</v>
      </c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</row>
    <row r="261" spans="1:71">
      <c r="A261" s="30" t="s">
        <v>146</v>
      </c>
      <c r="B261" s="54">
        <f>(t_0_lat-t_SAC_0_0)/(L-L_SAC_0)</f>
        <v>42463.036422646961</v>
      </c>
      <c r="C261" s="30" t="s">
        <v>34</v>
      </c>
      <c r="D261" s="30">
        <f>ROUND(B261/1000,0)*10</f>
        <v>420</v>
      </c>
      <c r="E261" s="30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</row>
    <row r="262" spans="1:71">
      <c r="A262" s="2" t="s">
        <v>147</v>
      </c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</row>
    <row r="263" spans="1:71">
      <c r="A263" s="2" t="s">
        <v>148</v>
      </c>
      <c r="B263" s="55" t="str">
        <f>IF((t_SAC_0_0-t_T_pole)/L_SAC_0&gt;H_SAC_0,(t_SAC_0_0-t_T_pole)/L_SAC_0,"n.a.")</f>
        <v>n.a.</v>
      </c>
      <c r="C263" s="2" t="s">
        <v>34</v>
      </c>
      <c r="D263" s="17" t="str">
        <f t="shared" ref="D263:D270" si="55">IF(B263="n.a.","n.a.",ROUND(B263/1000,0)*10)</f>
        <v>n.a.</v>
      </c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</row>
    <row r="264" spans="1:71">
      <c r="A264" s="2" t="s">
        <v>149</v>
      </c>
      <c r="B264" s="55">
        <f>IF((t_SAC_0_100-t_T_pole)/L_SAC_100&gt;H_SAC_100,(t_SAC_0_100-t_T_pole)/L_SAC_100,"n.a.")</f>
        <v>41377.117296644108</v>
      </c>
      <c r="C264" s="2" t="s">
        <v>34</v>
      </c>
      <c r="D264" s="17">
        <f t="shared" si="55"/>
        <v>410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</row>
    <row r="265" spans="1:71">
      <c r="A265" s="2" t="s">
        <v>150</v>
      </c>
      <c r="B265" s="55">
        <f>(t_SAC_0_0-t_T)/L_SAC_0</f>
        <v>48000.389428464703</v>
      </c>
      <c r="C265" s="2" t="s">
        <v>34</v>
      </c>
      <c r="D265" s="17">
        <f t="shared" si="55"/>
        <v>480</v>
      </c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</row>
    <row r="266" spans="1:71">
      <c r="A266" s="2" t="s">
        <v>151</v>
      </c>
      <c r="B266" s="55">
        <f>(t_SAC_0_100-t_T)/L_SAC_100</f>
        <v>66951.149647028884</v>
      </c>
      <c r="C266" s="2" t="s">
        <v>34</v>
      </c>
      <c r="D266" s="17">
        <f t="shared" si="55"/>
        <v>670</v>
      </c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</row>
    <row r="267" spans="1:71">
      <c r="A267" s="2" t="s">
        <v>146</v>
      </c>
      <c r="B267" s="55">
        <f>IF((t_SAC_0_0-t_T_lat)/L_SAC_0&gt;H_SAC_lat_0,(t_SAC_0_0-t_T_lat)/L_SAC_0,"n.a.")</f>
        <v>82244.94658454755</v>
      </c>
      <c r="C267" s="2" t="s">
        <v>34</v>
      </c>
      <c r="D267" s="17">
        <f t="shared" si="55"/>
        <v>820</v>
      </c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</row>
    <row r="268" spans="1:71">
      <c r="A268" s="2" t="s">
        <v>144</v>
      </c>
      <c r="B268" s="55">
        <f>IF((t_SAC_0_100-t_T_lat)/L_SAC_100&gt;H_SAC_lat_100,(t_SAC_0_100-t_T_lat)/L_SAC_100,"n.a.")</f>
        <v>98045.738952096421</v>
      </c>
      <c r="C268" s="2" t="s">
        <v>34</v>
      </c>
      <c r="D268" s="17">
        <f t="shared" si="55"/>
        <v>980</v>
      </c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</row>
    <row r="269" spans="1:71">
      <c r="A269" s="2" t="s">
        <v>152</v>
      </c>
      <c r="B269" s="55">
        <f>IF((t_SAC_0_0-t_T_equator)/L_SAC_0&gt;H_SAC_100,(t_SAC_0_0-t_T_equator)/L_SAC_0,"n.a.")</f>
        <v>112345.90960029882</v>
      </c>
      <c r="C269" s="2" t="s">
        <v>34</v>
      </c>
      <c r="D269" s="17">
        <f t="shared" si="55"/>
        <v>1120</v>
      </c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</row>
    <row r="270" spans="1:71">
      <c r="A270" s="2" t="s">
        <v>153</v>
      </c>
      <c r="B270" s="55">
        <f>IF((t_SAC_0_100-t_T_equator)/L_SAC_100&gt;H_SAC_100,(t_SAC_0_100-t_T_equator)/L_SAC_100,"n.a.")</f>
        <v>125377.88047741193</v>
      </c>
      <c r="C270" s="2" t="s">
        <v>34</v>
      </c>
      <c r="D270" s="17">
        <f t="shared" si="55"/>
        <v>1250</v>
      </c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</row>
    <row r="271" spans="1:7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</row>
    <row r="272" spans="1:7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</row>
    <row r="273" spans="1:71" ht="21">
      <c r="A273" s="1" t="s">
        <v>154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</row>
    <row r="274" spans="1:7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</row>
    <row r="275" spans="1:71">
      <c r="A275" s="2" t="s">
        <v>37</v>
      </c>
      <c r="B275" s="2" t="s">
        <v>34</v>
      </c>
      <c r="C275" s="2">
        <v>20000</v>
      </c>
      <c r="D275" s="2">
        <v>70000</v>
      </c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</row>
    <row r="276" spans="1:71">
      <c r="A276" s="2" t="s">
        <v>155</v>
      </c>
      <c r="B276" s="2" t="s">
        <v>7</v>
      </c>
      <c r="C276" s="13">
        <f>a_tot*C$275+b_tot</f>
        <v>10.15428</v>
      </c>
      <c r="D276" s="13">
        <f>a_tot*D$275+b_tot</f>
        <v>7.9849800000000002</v>
      </c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</row>
    <row r="277" spans="1:71">
      <c r="A277" s="2" t="s">
        <v>156</v>
      </c>
      <c r="B277" s="2" t="s">
        <v>157</v>
      </c>
      <c r="C277" s="38">
        <f>1/C$276^b_t</f>
        <v>2.4174646800060196E-3</v>
      </c>
      <c r="D277" s="38">
        <f>1/D$276^b_t</f>
        <v>4.5151142698865035E-3</v>
      </c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</row>
    <row r="278" spans="1:71">
      <c r="A278" s="56" t="s">
        <v>158</v>
      </c>
      <c r="B278" s="57" t="s">
        <v>159</v>
      </c>
      <c r="C278" s="57" t="s">
        <v>160</v>
      </c>
      <c r="D278" s="57" t="s">
        <v>160</v>
      </c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</row>
    <row r="279" spans="1:71">
      <c r="A279" s="58">
        <v>0.5</v>
      </c>
      <c r="B279" s="59">
        <f>1-$A279</f>
        <v>0.5</v>
      </c>
      <c r="C279" s="13">
        <f t="shared" ref="C279:D281" si="56">($B279/C$277)^(1/b_t)</f>
        <v>7.77749426416998</v>
      </c>
      <c r="D279" s="13">
        <f t="shared" si="56"/>
        <v>6.1159566359714299</v>
      </c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</row>
    <row r="280" spans="1:71">
      <c r="A280" s="58">
        <v>0.8</v>
      </c>
      <c r="B280" s="59">
        <f>1-$A280</f>
        <v>0.19999999999999996</v>
      </c>
      <c r="C280" s="13">
        <f t="shared" si="56"/>
        <v>5.4669858951467312</v>
      </c>
      <c r="D280" s="13">
        <f t="shared" si="56"/>
        <v>4.2990515362023425</v>
      </c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</row>
    <row r="281" spans="1:71">
      <c r="A281" s="58">
        <v>0.95</v>
      </c>
      <c r="B281" s="59">
        <f>1-$A281</f>
        <v>5.0000000000000044E-2</v>
      </c>
      <c r="C281" s="13">
        <f t="shared" si="56"/>
        <v>3.2072224478916929</v>
      </c>
      <c r="D281" s="13">
        <f t="shared" si="56"/>
        <v>2.5220505148534604</v>
      </c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</row>
    <row r="282" spans="1:7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</row>
    <row r="283" spans="1:71">
      <c r="A283" s="51" t="s">
        <v>65</v>
      </c>
      <c r="B283" s="2" t="s">
        <v>7</v>
      </c>
      <c r="C283" s="13">
        <f>D226</f>
        <v>-34.171657846038833</v>
      </c>
      <c r="D283" s="13">
        <f>O226</f>
        <v>-57.600302356601937</v>
      </c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</row>
    <row r="284" spans="1:71">
      <c r="A284" s="56" t="s">
        <v>158</v>
      </c>
      <c r="B284" s="57" t="s">
        <v>159</v>
      </c>
      <c r="C284" s="56" t="s">
        <v>161</v>
      </c>
      <c r="D284" s="56" t="s">
        <v>161</v>
      </c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</row>
    <row r="285" spans="1:71">
      <c r="A285" s="58">
        <f>A279</f>
        <v>0.5</v>
      </c>
      <c r="B285" s="59">
        <f>1-$A285</f>
        <v>0.5</v>
      </c>
      <c r="C285" s="13">
        <f t="shared" ref="C285:D287" si="57">C$283-C279</f>
        <v>-41.949152110208814</v>
      </c>
      <c r="D285" s="13">
        <f t="shared" si="57"/>
        <v>-63.716258992573366</v>
      </c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</row>
    <row r="286" spans="1:71">
      <c r="A286" s="58">
        <f>A280</f>
        <v>0.8</v>
      </c>
      <c r="B286" s="59">
        <f>1-$A286</f>
        <v>0.19999999999999996</v>
      </c>
      <c r="C286" s="13">
        <f t="shared" si="57"/>
        <v>-39.638643741185561</v>
      </c>
      <c r="D286" s="13">
        <f t="shared" si="57"/>
        <v>-61.899353892804278</v>
      </c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</row>
    <row r="287" spans="1:71">
      <c r="A287" s="58">
        <f>A281</f>
        <v>0.95</v>
      </c>
      <c r="B287" s="59">
        <f>1-$A287</f>
        <v>5.0000000000000044E-2</v>
      </c>
      <c r="C287" s="13">
        <f t="shared" si="57"/>
        <v>-37.378880293930528</v>
      </c>
      <c r="D287" s="13">
        <f t="shared" si="57"/>
        <v>-60.122352871455398</v>
      </c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</row>
    <row r="288" spans="1:7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</row>
    <row r="289" spans="1:78">
      <c r="A289" s="2" t="s">
        <v>65</v>
      </c>
      <c r="B289" s="2"/>
      <c r="C289" s="2">
        <f>t_SAC_0_100-L_SAC_100*C$275</f>
        <v>-34.352199999999996</v>
      </c>
      <c r="D289" s="2">
        <f>t_SAC_0_100-L_SAC_100*D$275</f>
        <v>-57.9377</v>
      </c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</row>
    <row r="290" spans="1:78">
      <c r="A290" s="2" t="s">
        <v>66</v>
      </c>
      <c r="B290" s="2"/>
      <c r="C290" s="2">
        <f>t_SAC_0_0-L_SAC_0*C$275</f>
        <v>-44.506399999999999</v>
      </c>
      <c r="D290" s="2">
        <f>t_SAC_0_0-L_SAC_0*D$275</f>
        <v>-65.922399999999996</v>
      </c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</row>
    <row r="291" spans="1:78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</row>
    <row r="292" spans="1:78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</row>
    <row r="293" spans="1:78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</row>
    <row r="294" spans="1:78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</row>
    <row r="295" spans="1:78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</row>
    <row r="296" spans="1:78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</row>
    <row r="297" spans="1:78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</row>
    <row r="298" spans="1:78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</row>
    <row r="299" spans="1:78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</row>
    <row r="300" spans="1:78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</row>
    <row r="301" spans="1:78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</row>
    <row r="302" spans="1:78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</row>
    <row r="303" spans="1:78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</row>
    <row r="304" spans="1:78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</row>
    <row r="305" spans="1:78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</row>
    <row r="306" spans="1:78" ht="21">
      <c r="A306" s="1" t="s">
        <v>225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</row>
    <row r="307" spans="1:78" ht="21">
      <c r="A307" s="1" t="s">
        <v>224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</row>
    <row r="308" spans="1:78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</row>
    <row r="309" spans="1:78">
      <c r="A309" s="98"/>
      <c r="B309" s="99" t="s">
        <v>169</v>
      </c>
      <c r="C309" s="100"/>
      <c r="D309" s="84"/>
      <c r="E309" s="63" t="s">
        <v>179</v>
      </c>
      <c r="F309" s="61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</row>
    <row r="310" spans="1:78">
      <c r="A310" s="2" t="s">
        <v>178</v>
      </c>
      <c r="B310" s="2" t="s">
        <v>164</v>
      </c>
      <c r="C310" s="97">
        <v>4</v>
      </c>
      <c r="D310" s="2" t="s">
        <v>127</v>
      </c>
      <c r="E310" s="11">
        <v>3.5</v>
      </c>
      <c r="F310" s="2" t="s">
        <v>127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</row>
    <row r="311" spans="1:78">
      <c r="A311" s="2" t="s">
        <v>126</v>
      </c>
      <c r="B311" s="2" t="s">
        <v>165</v>
      </c>
      <c r="C311" s="97">
        <v>8.5</v>
      </c>
      <c r="D311" s="2" t="s">
        <v>127</v>
      </c>
      <c r="E311" s="11">
        <v>9</v>
      </c>
      <c r="F311" s="2" t="s">
        <v>127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</row>
    <row r="312" spans="1:78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</row>
    <row r="313" spans="1:78">
      <c r="A313" s="62" t="s">
        <v>168</v>
      </c>
      <c r="B313" s="62" t="s">
        <v>166</v>
      </c>
      <c r="C313" s="62" t="s">
        <v>167</v>
      </c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</row>
    <row r="314" spans="1:78">
      <c r="A314" s="2">
        <v>-90</v>
      </c>
      <c r="B314" s="13">
        <v>9</v>
      </c>
      <c r="C314" s="11">
        <f t="shared" ref="C314:C332" si="58">a_lat*(1+COS(2*A314*PI()/180))+b_lat</f>
        <v>8.5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</row>
    <row r="315" spans="1:78">
      <c r="A315" s="2">
        <v>-80</v>
      </c>
      <c r="B315" s="13">
        <v>9</v>
      </c>
      <c r="C315" s="11">
        <f t="shared" si="58"/>
        <v>8.7412295168563663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</row>
    <row r="316" spans="1:78">
      <c r="A316" s="2">
        <v>-70</v>
      </c>
      <c r="B316" s="13">
        <v>9.5</v>
      </c>
      <c r="C316" s="11">
        <f t="shared" si="58"/>
        <v>9.4358222275240884</v>
      </c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</row>
    <row r="317" spans="1:78">
      <c r="A317" s="2">
        <v>-60</v>
      </c>
      <c r="B317" s="13">
        <v>10</v>
      </c>
      <c r="C317" s="11">
        <f t="shared" si="58"/>
        <v>10.5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</row>
    <row r="318" spans="1:78">
      <c r="A318" s="2">
        <v>-50</v>
      </c>
      <c r="B318" s="13">
        <v>11</v>
      </c>
      <c r="C318" s="11">
        <f t="shared" si="58"/>
        <v>11.80540728933228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</row>
    <row r="319" spans="1:78">
      <c r="A319" s="2">
        <v>-40</v>
      </c>
      <c r="B319" s="13">
        <v>13</v>
      </c>
      <c r="C319" s="11">
        <f t="shared" si="58"/>
        <v>13.194592710667722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</row>
    <row r="320" spans="1:78">
      <c r="A320" s="2">
        <v>-30</v>
      </c>
      <c r="B320" s="13">
        <v>15.2</v>
      </c>
      <c r="C320" s="11">
        <f t="shared" si="58"/>
        <v>14.5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</row>
    <row r="321" spans="1:78">
      <c r="A321" s="2">
        <v>-20</v>
      </c>
      <c r="B321" s="13">
        <v>16</v>
      </c>
      <c r="C321" s="11">
        <f t="shared" si="58"/>
        <v>15.564177772475912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</row>
    <row r="322" spans="1:78">
      <c r="A322" s="2">
        <v>-10</v>
      </c>
      <c r="B322" s="13">
        <v>16.8</v>
      </c>
      <c r="C322" s="11">
        <f t="shared" si="58"/>
        <v>16.258770483143635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</row>
    <row r="323" spans="1:78">
      <c r="A323" s="2">
        <v>0</v>
      </c>
      <c r="B323" s="13">
        <v>16.399999999999999</v>
      </c>
      <c r="C323" s="11">
        <f t="shared" si="58"/>
        <v>16.5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</row>
    <row r="324" spans="1:78">
      <c r="A324" s="2">
        <v>10</v>
      </c>
      <c r="B324" s="13">
        <v>16.399999999999999</v>
      </c>
      <c r="C324" s="11">
        <f t="shared" si="58"/>
        <v>16.258770483143635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</row>
    <row r="325" spans="1:78">
      <c r="A325" s="2">
        <v>20</v>
      </c>
      <c r="B325" s="13">
        <v>15.8</v>
      </c>
      <c r="C325" s="11">
        <f t="shared" si="58"/>
        <v>15.564177772475912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</row>
    <row r="326" spans="1:78">
      <c r="A326" s="2">
        <v>30</v>
      </c>
      <c r="B326" s="13">
        <v>13</v>
      </c>
      <c r="C326" s="11">
        <f t="shared" si="58"/>
        <v>14.5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</row>
    <row r="327" spans="1:78">
      <c r="A327" s="2">
        <v>40</v>
      </c>
      <c r="B327" s="13">
        <v>10.4</v>
      </c>
      <c r="C327" s="11">
        <f t="shared" si="58"/>
        <v>13.194592710667722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</row>
    <row r="328" spans="1:78">
      <c r="A328" s="2">
        <v>50</v>
      </c>
      <c r="B328" s="13">
        <v>9.6999999999999993</v>
      </c>
      <c r="C328" s="11">
        <f t="shared" si="58"/>
        <v>11.80540728933228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</row>
    <row r="329" spans="1:78">
      <c r="A329" s="2">
        <v>60</v>
      </c>
      <c r="B329" s="13">
        <v>8.9</v>
      </c>
      <c r="C329" s="11">
        <f t="shared" si="58"/>
        <v>10.5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 t="s">
        <v>181</v>
      </c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</row>
    <row r="330" spans="1:78">
      <c r="A330" s="2">
        <v>70</v>
      </c>
      <c r="B330" s="13">
        <v>8.4</v>
      </c>
      <c r="C330" s="11">
        <f t="shared" si="58"/>
        <v>9.4358222275240884</v>
      </c>
      <c r="D330" s="2"/>
      <c r="E330" s="2"/>
      <c r="F330" s="2"/>
      <c r="G330" s="2" t="s">
        <v>175</v>
      </c>
      <c r="H330" s="2"/>
      <c r="I330" s="2"/>
      <c r="J330" s="2"/>
      <c r="K330" s="2"/>
      <c r="L330" s="2"/>
      <c r="M330" s="2"/>
      <c r="N330" s="2"/>
      <c r="O330" s="2"/>
      <c r="P330" s="2"/>
      <c r="Q330" s="2" t="s">
        <v>182</v>
      </c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</row>
    <row r="331" spans="1:78">
      <c r="A331" s="2">
        <v>80</v>
      </c>
      <c r="B331" s="13">
        <v>8</v>
      </c>
      <c r="C331" s="11">
        <f t="shared" si="58"/>
        <v>8.7412295168563663</v>
      </c>
      <c r="D331" s="2"/>
      <c r="E331" s="2"/>
      <c r="F331" s="2"/>
      <c r="G331" s="3" t="s">
        <v>176</v>
      </c>
      <c r="H331" s="2"/>
      <c r="I331" s="2"/>
      <c r="J331" s="2"/>
      <c r="K331" s="2"/>
      <c r="L331" s="2"/>
      <c r="M331" s="2"/>
      <c r="N331" s="2"/>
      <c r="O331" s="2"/>
      <c r="P331" s="2"/>
      <c r="Q331" s="4" t="s">
        <v>174</v>
      </c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</row>
    <row r="332" spans="1:78">
      <c r="A332" s="2">
        <v>90</v>
      </c>
      <c r="B332" s="13">
        <v>8</v>
      </c>
      <c r="C332" s="11">
        <f t="shared" si="58"/>
        <v>8.5</v>
      </c>
      <c r="D332" s="2"/>
      <c r="E332" s="2"/>
      <c r="F332" s="2"/>
      <c r="G332" s="3" t="s">
        <v>177</v>
      </c>
      <c r="H332" s="2"/>
      <c r="I332" s="2"/>
      <c r="J332" s="2"/>
      <c r="K332" s="2"/>
      <c r="L332" s="2"/>
      <c r="M332" s="2"/>
      <c r="N332" s="2"/>
      <c r="O332" s="2"/>
      <c r="P332" s="2"/>
      <c r="Q332" s="65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</row>
    <row r="333" spans="1:78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 t="s">
        <v>183</v>
      </c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</row>
    <row r="334" spans="1:78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3" t="s">
        <v>173</v>
      </c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</row>
    <row r="335" spans="1:78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</row>
    <row r="336" spans="1:78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</row>
    <row r="337" spans="1:78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</row>
    <row r="338" spans="1:78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</row>
    <row r="339" spans="1:78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</row>
    <row r="340" spans="1:78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</row>
    <row r="341" spans="1:78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</row>
    <row r="342" spans="1:78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</row>
    <row r="343" spans="1:78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</row>
    <row r="344" spans="1:78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</row>
    <row r="345" spans="1:78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</row>
    <row r="346" spans="1:78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</row>
    <row r="347" spans="1:78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</row>
    <row r="348" spans="1:78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</row>
    <row r="349" spans="1:78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</row>
    <row r="350" spans="1:78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</row>
    <row r="351" spans="1:78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</row>
    <row r="352" spans="1:78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</row>
    <row r="353" spans="1:78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</row>
    <row r="354" spans="1:78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</row>
    <row r="355" spans="1:78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</row>
    <row r="356" spans="1:78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</row>
    <row r="357" spans="1:78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</row>
    <row r="358" spans="1:78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</row>
    <row r="359" spans="1:78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</row>
    <row r="360" spans="1:78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</row>
    <row r="361" spans="1:78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</row>
    <row r="362" spans="1:78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</row>
    <row r="363" spans="1:78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</row>
    <row r="364" spans="1:78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</row>
    <row r="365" spans="1:78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</row>
    <row r="366" spans="1:78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</row>
    <row r="367" spans="1:78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</row>
    <row r="368" spans="1:78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</row>
    <row r="369" spans="1:78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</row>
    <row r="370" spans="1:78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</row>
    <row r="371" spans="1:78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</row>
    <row r="372" spans="1:78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</row>
    <row r="373" spans="1:78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</row>
    <row r="374" spans="1:78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</row>
    <row r="375" spans="1:78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</row>
    <row r="376" spans="1:78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</row>
    <row r="377" spans="1:78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</row>
    <row r="378" spans="1:78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</row>
    <row r="379" spans="1:78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</row>
    <row r="380" spans="1:78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</row>
    <row r="381" spans="1:78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</row>
    <row r="382" spans="1:78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</row>
    <row r="383" spans="1:78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</row>
    <row r="384" spans="1:78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</row>
    <row r="385" spans="1:78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</row>
    <row r="386" spans="1:78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</row>
    <row r="387" spans="1:78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</row>
    <row r="388" spans="1:78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</row>
    <row r="389" spans="1:78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</row>
    <row r="390" spans="1:78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</row>
    <row r="391" spans="1:78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</row>
    <row r="392" spans="1:78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</row>
    <row r="393" spans="1:78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</row>
    <row r="394" spans="1:78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</row>
    <row r="395" spans="1:78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</row>
    <row r="396" spans="1:78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</row>
    <row r="397" spans="1:78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</row>
    <row r="398" spans="1:78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</row>
    <row r="399" spans="1:78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</row>
  </sheetData>
  <conditionalFormatting sqref="D16:M5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0:M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04:M139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ref="Q334" r:id="rId1" xr:uid="{2CB4C32A-F85D-468E-AEFD-EEE1B6BB6511}"/>
    <hyperlink ref="G331" r:id="rId2" xr:uid="{A0DBBC63-C713-4FD3-961C-BC2DCF3C6DEF}"/>
    <hyperlink ref="G332" r:id="rId3" xr:uid="{F4EB29E7-0784-4244-B1B9-0DD7DACB813B}"/>
  </hyperlinks>
  <pageMargins left="0.70000000000000007" right="0.70000000000000007" top="0.78740157500000008" bottom="0.78740157500000008" header="0.30000000000000004" footer="0.30000000000000004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59C7-C5D6-4530-A05A-AC8BA15FA56E}">
  <dimension ref="A1:BZ202"/>
  <sheetViews>
    <sheetView workbookViewId="0">
      <selection activeCell="A2" sqref="A2"/>
    </sheetView>
  </sheetViews>
  <sheetFormatPr baseColWidth="10" defaultRowHeight="15"/>
  <sheetData>
    <row r="1" spans="1:78" ht="21">
      <c r="A1" s="1" t="s">
        <v>184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</row>
    <row r="2" spans="1:78">
      <c r="A2" s="65"/>
      <c r="B2" s="65"/>
      <c r="C2" s="65"/>
      <c r="D2" s="65"/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  <c r="BS2" s="65"/>
      <c r="BT2" s="65"/>
      <c r="BU2" s="65"/>
      <c r="BV2" s="65"/>
      <c r="BW2" s="65"/>
      <c r="BX2" s="65"/>
      <c r="BY2" s="65"/>
      <c r="BZ2" s="65"/>
    </row>
    <row r="3" spans="1:78">
      <c r="A3" s="2" t="s">
        <v>183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65"/>
      <c r="AX3" s="65"/>
      <c r="AY3" s="65"/>
      <c r="AZ3" s="65"/>
      <c r="BA3" s="65"/>
      <c r="BB3" s="65"/>
      <c r="BC3" s="65"/>
      <c r="BD3" s="65"/>
      <c r="BE3" s="65"/>
      <c r="BF3" s="65"/>
      <c r="BG3" s="65"/>
      <c r="BH3" s="65"/>
      <c r="BI3" s="65"/>
      <c r="BJ3" s="65"/>
      <c r="BK3" s="65"/>
      <c r="BL3" s="65"/>
      <c r="BM3" s="65"/>
      <c r="BN3" s="65"/>
      <c r="BO3" s="65"/>
      <c r="BP3" s="65"/>
      <c r="BQ3" s="65"/>
      <c r="BR3" s="65"/>
      <c r="BS3" s="65"/>
      <c r="BT3" s="65"/>
      <c r="BU3" s="65"/>
      <c r="BV3" s="65"/>
      <c r="BW3" s="65"/>
      <c r="BX3" s="65"/>
      <c r="BY3" s="65"/>
      <c r="BZ3" s="65"/>
    </row>
    <row r="4" spans="1:78">
      <c r="A4" s="3" t="s">
        <v>173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</row>
    <row r="5" spans="1:78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</row>
    <row r="6" spans="1:78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</row>
    <row r="7" spans="1:78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</row>
    <row r="8" spans="1:78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</row>
    <row r="9" spans="1:78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</row>
    <row r="10" spans="1:78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</row>
    <row r="11" spans="1:78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</row>
    <row r="12" spans="1:78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</row>
    <row r="13" spans="1:78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</row>
    <row r="14" spans="1:78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</row>
    <row r="15" spans="1:78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</row>
    <row r="16" spans="1:78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</row>
    <row r="17" spans="1:78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</row>
    <row r="18" spans="1:78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</row>
    <row r="19" spans="1:78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</row>
    <row r="20" spans="1:78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</row>
    <row r="21" spans="1:78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</row>
    <row r="22" spans="1:78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</row>
    <row r="23" spans="1:78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</row>
    <row r="24" spans="1:78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</row>
    <row r="25" spans="1:78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</row>
    <row r="26" spans="1:78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</row>
    <row r="27" spans="1:78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</row>
    <row r="28" spans="1:78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</row>
    <row r="29" spans="1:78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</row>
    <row r="30" spans="1:78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</row>
    <row r="31" spans="1:78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</row>
    <row r="32" spans="1:78">
      <c r="A32" s="65" t="s">
        <v>187</v>
      </c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</row>
    <row r="33" spans="1:78">
      <c r="A33" s="65" t="s">
        <v>185</v>
      </c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  <c r="AP33" s="65"/>
      <c r="AQ33" s="65"/>
      <c r="AR33" s="65"/>
      <c r="AS33" s="65"/>
      <c r="AT33" s="65"/>
      <c r="AU33" s="65"/>
      <c r="AV33" s="65"/>
      <c r="AW33" s="65"/>
      <c r="AX33" s="65"/>
      <c r="AY33" s="65"/>
      <c r="AZ33" s="65"/>
      <c r="BA33" s="65"/>
      <c r="BB33" s="65"/>
      <c r="BC33" s="65"/>
      <c r="BD33" s="65"/>
      <c r="BE33" s="65"/>
      <c r="BF33" s="65"/>
      <c r="BG33" s="65"/>
      <c r="BH33" s="65"/>
      <c r="BI33" s="65"/>
      <c r="BJ33" s="65"/>
      <c r="BK33" s="65"/>
      <c r="BL33" s="65"/>
      <c r="BM33" s="65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</row>
    <row r="34" spans="1:78">
      <c r="A34" s="4" t="s">
        <v>186</v>
      </c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  <c r="AP34" s="65"/>
      <c r="AQ34" s="65"/>
      <c r="AR34" s="65"/>
      <c r="AS34" s="65"/>
      <c r="AT34" s="65"/>
      <c r="AU34" s="65"/>
      <c r="AV34" s="65"/>
      <c r="AW34" s="65"/>
      <c r="AX34" s="65"/>
      <c r="AY34" s="65"/>
      <c r="AZ34" s="65"/>
      <c r="BA34" s="65"/>
      <c r="BB34" s="65"/>
      <c r="BC34" s="65"/>
      <c r="BD34" s="65"/>
      <c r="BE34" s="65"/>
      <c r="BF34" s="65"/>
      <c r="BG34" s="65"/>
      <c r="BH34" s="65"/>
      <c r="BI34" s="65"/>
      <c r="BJ34" s="65"/>
      <c r="BK34" s="65"/>
      <c r="BL34" s="65"/>
      <c r="BM34" s="65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</row>
    <row r="35" spans="1:78">
      <c r="A35" s="68"/>
      <c r="B35" s="68"/>
      <c r="C35" s="68"/>
      <c r="D35" s="68"/>
      <c r="E35" s="68"/>
      <c r="F35" s="68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65"/>
      <c r="BI35" s="65"/>
      <c r="BJ35" s="65"/>
      <c r="BK35" s="65"/>
      <c r="BL35" s="65"/>
      <c r="BM35" s="65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</row>
    <row r="36" spans="1:78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  <c r="AP36" s="65"/>
      <c r="AQ36" s="65"/>
      <c r="AR36" s="65"/>
      <c r="AS36" s="65"/>
      <c r="AT36" s="65"/>
      <c r="AU36" s="65"/>
      <c r="AV36" s="65"/>
      <c r="AW36" s="65"/>
      <c r="AX36" s="65"/>
      <c r="AY36" s="65"/>
      <c r="AZ36" s="65"/>
      <c r="BA36" s="65"/>
      <c r="BB36" s="65"/>
      <c r="BC36" s="65"/>
      <c r="BD36" s="65"/>
      <c r="BE36" s="65"/>
      <c r="BF36" s="65"/>
      <c r="BG36" s="65"/>
      <c r="BH36" s="65"/>
      <c r="BI36" s="65"/>
      <c r="BJ36" s="65"/>
      <c r="BK36" s="65"/>
      <c r="BL36" s="65"/>
      <c r="BM36" s="65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</row>
    <row r="37" spans="1:78">
      <c r="A37" s="2" t="s">
        <v>194</v>
      </c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  <c r="AP37" s="65"/>
      <c r="AQ37" s="65"/>
      <c r="AR37" s="65"/>
      <c r="AS37" s="65"/>
      <c r="AT37" s="65"/>
      <c r="AU37" s="65"/>
      <c r="AV37" s="65"/>
      <c r="AW37" s="65"/>
      <c r="AX37" s="65"/>
      <c r="AY37" s="65"/>
      <c r="AZ37" s="65"/>
      <c r="BA37" s="65"/>
      <c r="BB37" s="65"/>
      <c r="BC37" s="65"/>
      <c r="BD37" s="65"/>
      <c r="BE37" s="65"/>
      <c r="BF37" s="65"/>
      <c r="BG37" s="65"/>
      <c r="BH37" s="65"/>
      <c r="BI37" s="65"/>
      <c r="BJ37" s="65"/>
      <c r="BK37" s="65"/>
      <c r="BL37" s="65"/>
      <c r="BM37" s="65"/>
      <c r="BN37" s="65"/>
      <c r="BO37" s="65"/>
      <c r="BP37" s="65"/>
      <c r="BQ37" s="65"/>
      <c r="BR37" s="65"/>
      <c r="BS37" s="65"/>
      <c r="BT37" s="65"/>
      <c r="BU37" s="65"/>
      <c r="BV37" s="65"/>
      <c r="BW37" s="65"/>
      <c r="BX37" s="65"/>
      <c r="BY37" s="65"/>
      <c r="BZ37" s="65"/>
    </row>
    <row r="38" spans="1:78">
      <c r="A38" s="67" t="s">
        <v>195</v>
      </c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</row>
    <row r="39" spans="1:78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</row>
    <row r="40" spans="1:78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</row>
    <row r="41" spans="1:78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65"/>
      <c r="AS41" s="65"/>
      <c r="AT41" s="65"/>
      <c r="AU41" s="65"/>
      <c r="AV41" s="65"/>
      <c r="AW41" s="65"/>
      <c r="AX41" s="65"/>
      <c r="AY41" s="65"/>
      <c r="AZ41" s="65"/>
      <c r="BA41" s="65"/>
      <c r="BB41" s="65"/>
      <c r="BC41" s="65"/>
      <c r="BD41" s="65"/>
      <c r="BE41" s="65"/>
      <c r="BF41" s="65"/>
      <c r="BG41" s="65"/>
      <c r="BH41" s="65"/>
      <c r="BI41" s="65"/>
      <c r="BJ41" s="65"/>
      <c r="BK41" s="65"/>
      <c r="BL41" s="65"/>
      <c r="BM41" s="65"/>
      <c r="BN41" s="65"/>
      <c r="BO41" s="65"/>
      <c r="BP41" s="65"/>
      <c r="BQ41" s="65"/>
      <c r="BR41" s="65"/>
      <c r="BS41" s="65"/>
      <c r="BT41" s="65"/>
      <c r="BU41" s="65"/>
      <c r="BV41" s="65"/>
      <c r="BW41" s="65"/>
      <c r="BX41" s="65"/>
      <c r="BY41" s="65"/>
      <c r="BZ41" s="65"/>
    </row>
    <row r="42" spans="1:78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5"/>
      <c r="BN42" s="65"/>
      <c r="BO42" s="65"/>
      <c r="BP42" s="65"/>
      <c r="BQ42" s="65"/>
      <c r="BR42" s="65"/>
      <c r="BS42" s="65"/>
      <c r="BT42" s="65"/>
      <c r="BU42" s="65"/>
      <c r="BV42" s="65"/>
      <c r="BW42" s="65"/>
      <c r="BX42" s="65"/>
      <c r="BY42" s="65"/>
      <c r="BZ42" s="65"/>
    </row>
    <row r="43" spans="1:78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  <c r="AP43" s="65"/>
      <c r="AQ43" s="65"/>
      <c r="AR43" s="65"/>
      <c r="AS43" s="65"/>
      <c r="AT43" s="65"/>
      <c r="AU43" s="65"/>
      <c r="AV43" s="65"/>
      <c r="AW43" s="65"/>
      <c r="AX43" s="65"/>
      <c r="AY43" s="65"/>
      <c r="AZ43" s="65"/>
      <c r="BA43" s="65"/>
      <c r="BB43" s="65"/>
      <c r="BC43" s="65"/>
      <c r="BD43" s="65"/>
      <c r="BE43" s="65"/>
      <c r="BF43" s="65"/>
      <c r="BG43" s="65"/>
      <c r="BH43" s="65"/>
      <c r="BI43" s="65"/>
      <c r="BJ43" s="65"/>
      <c r="BK43" s="65"/>
      <c r="BL43" s="65"/>
      <c r="BM43" s="65"/>
      <c r="BN43" s="65"/>
      <c r="BO43" s="65"/>
      <c r="BP43" s="65"/>
      <c r="BQ43" s="65"/>
      <c r="BR43" s="65"/>
      <c r="BS43" s="65"/>
      <c r="BT43" s="65"/>
      <c r="BU43" s="65"/>
      <c r="BV43" s="65"/>
      <c r="BW43" s="65"/>
      <c r="BX43" s="65"/>
      <c r="BY43" s="65"/>
      <c r="BZ43" s="65"/>
    </row>
    <row r="44" spans="1:78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5"/>
      <c r="AS44" s="65"/>
      <c r="AT44" s="65"/>
      <c r="AU44" s="65"/>
      <c r="AV44" s="65"/>
      <c r="AW44" s="65"/>
      <c r="AX44" s="65"/>
      <c r="AY44" s="65"/>
      <c r="AZ44" s="65"/>
      <c r="BA44" s="65"/>
      <c r="BB44" s="65"/>
      <c r="BC44" s="65"/>
      <c r="BD44" s="65"/>
      <c r="BE44" s="65"/>
      <c r="BF44" s="65"/>
      <c r="BG44" s="65"/>
      <c r="BH44" s="65"/>
      <c r="BI44" s="65"/>
      <c r="BJ44" s="65"/>
      <c r="BK44" s="65"/>
      <c r="BL44" s="65"/>
      <c r="BM44" s="65"/>
      <c r="BN44" s="65"/>
      <c r="BO44" s="65"/>
      <c r="BP44" s="65"/>
      <c r="BQ44" s="65"/>
      <c r="BR44" s="65"/>
      <c r="BS44" s="65"/>
      <c r="BT44" s="65"/>
      <c r="BU44" s="65"/>
      <c r="BV44" s="65"/>
      <c r="BW44" s="65"/>
      <c r="BX44" s="65"/>
      <c r="BY44" s="65"/>
      <c r="BZ44" s="65"/>
    </row>
    <row r="45" spans="1:78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65"/>
      <c r="AQ45" s="65"/>
      <c r="AR45" s="65"/>
      <c r="AS45" s="65"/>
      <c r="AT45" s="65"/>
      <c r="AU45" s="65"/>
      <c r="AV45" s="65"/>
      <c r="AW45" s="65"/>
      <c r="AX45" s="65"/>
      <c r="AY45" s="65"/>
      <c r="AZ45" s="65"/>
      <c r="BA45" s="65"/>
      <c r="BB45" s="65"/>
      <c r="BC45" s="65"/>
      <c r="BD45" s="65"/>
      <c r="BE45" s="65"/>
      <c r="BF45" s="65"/>
      <c r="BG45" s="65"/>
      <c r="BH45" s="65"/>
      <c r="BI45" s="65"/>
      <c r="BJ45" s="65"/>
      <c r="BK45" s="65"/>
      <c r="BL45" s="65"/>
      <c r="BM45" s="65"/>
      <c r="BN45" s="65"/>
      <c r="BO45" s="65"/>
      <c r="BP45" s="65"/>
      <c r="BQ45" s="65"/>
      <c r="BR45" s="65"/>
      <c r="BS45" s="65"/>
      <c r="BT45" s="65"/>
      <c r="BU45" s="65"/>
      <c r="BV45" s="65"/>
      <c r="BW45" s="65"/>
      <c r="BX45" s="65"/>
      <c r="BY45" s="65"/>
      <c r="BZ45" s="65"/>
    </row>
    <row r="46" spans="1:78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5"/>
      <c r="Y46" s="65"/>
      <c r="Z46" s="65"/>
      <c r="AA46" s="65"/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  <c r="AP46" s="65"/>
      <c r="AQ46" s="65"/>
      <c r="AR46" s="65"/>
      <c r="AS46" s="65"/>
      <c r="AT46" s="65"/>
      <c r="AU46" s="65"/>
      <c r="AV46" s="65"/>
      <c r="AW46" s="65"/>
      <c r="AX46" s="65"/>
      <c r="AY46" s="65"/>
      <c r="AZ46" s="65"/>
      <c r="BA46" s="65"/>
      <c r="BB46" s="65"/>
      <c r="BC46" s="65"/>
      <c r="BD46" s="65"/>
      <c r="BE46" s="65"/>
      <c r="BF46" s="65"/>
      <c r="BG46" s="65"/>
      <c r="BH46" s="65"/>
      <c r="BI46" s="65"/>
      <c r="BJ46" s="65"/>
      <c r="BK46" s="65"/>
      <c r="BL46" s="65"/>
      <c r="BM46" s="65"/>
      <c r="BN46" s="65"/>
      <c r="BO46" s="65"/>
      <c r="BP46" s="65"/>
      <c r="BQ46" s="65"/>
      <c r="BR46" s="65"/>
      <c r="BS46" s="65"/>
      <c r="BT46" s="65"/>
      <c r="BU46" s="65"/>
      <c r="BV46" s="65"/>
      <c r="BW46" s="65"/>
      <c r="BX46" s="65"/>
      <c r="BY46" s="65"/>
      <c r="BZ46" s="65"/>
    </row>
    <row r="47" spans="1:78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5"/>
      <c r="Y47" s="65"/>
      <c r="Z47" s="65"/>
      <c r="AA47" s="65"/>
      <c r="AB47" s="65"/>
      <c r="AC47" s="65"/>
      <c r="AD47" s="65"/>
      <c r="AE47" s="65"/>
      <c r="AF47" s="65"/>
      <c r="AG47" s="65"/>
      <c r="AH47" s="65"/>
      <c r="AI47" s="65"/>
      <c r="AJ47" s="65"/>
      <c r="AK47" s="65"/>
      <c r="AL47" s="65"/>
      <c r="AM47" s="65"/>
      <c r="AN47" s="65"/>
      <c r="AO47" s="65"/>
      <c r="AP47" s="65"/>
      <c r="AQ47" s="65"/>
      <c r="AR47" s="65"/>
      <c r="AS47" s="65"/>
      <c r="AT47" s="65"/>
      <c r="AU47" s="65"/>
      <c r="AV47" s="65"/>
      <c r="AW47" s="65"/>
      <c r="AX47" s="65"/>
      <c r="AY47" s="65"/>
      <c r="AZ47" s="65"/>
      <c r="BA47" s="65"/>
      <c r="BB47" s="65"/>
      <c r="BC47" s="65"/>
      <c r="BD47" s="65"/>
      <c r="BE47" s="65"/>
      <c r="BF47" s="65"/>
      <c r="BG47" s="65"/>
      <c r="BH47" s="65"/>
      <c r="BI47" s="65"/>
      <c r="BJ47" s="65"/>
      <c r="BK47" s="65"/>
      <c r="BL47" s="65"/>
      <c r="BM47" s="65"/>
      <c r="BN47" s="65"/>
      <c r="BO47" s="65"/>
      <c r="BP47" s="65"/>
      <c r="BQ47" s="65"/>
      <c r="BR47" s="65"/>
      <c r="BS47" s="65"/>
      <c r="BT47" s="65"/>
      <c r="BU47" s="65"/>
      <c r="BV47" s="65"/>
      <c r="BW47" s="65"/>
      <c r="BX47" s="65"/>
      <c r="BY47" s="65"/>
      <c r="BZ47" s="65"/>
    </row>
    <row r="48" spans="1:78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  <c r="AP48" s="65"/>
      <c r="AQ48" s="65"/>
      <c r="AR48" s="65"/>
      <c r="AS48" s="65"/>
      <c r="AT48" s="65"/>
      <c r="AU48" s="65"/>
      <c r="AV48" s="65"/>
      <c r="AW48" s="65"/>
      <c r="AX48" s="65"/>
      <c r="AY48" s="65"/>
      <c r="AZ48" s="65"/>
      <c r="BA48" s="65"/>
      <c r="BB48" s="65"/>
      <c r="BC48" s="65"/>
      <c r="BD48" s="65"/>
      <c r="BE48" s="65"/>
      <c r="BF48" s="65"/>
      <c r="BG48" s="65"/>
      <c r="BH48" s="65"/>
      <c r="BI48" s="65"/>
      <c r="BJ48" s="65"/>
      <c r="BK48" s="65"/>
      <c r="BL48" s="65"/>
      <c r="BM48" s="65"/>
      <c r="BN48" s="65"/>
      <c r="BO48" s="65"/>
      <c r="BP48" s="65"/>
      <c r="BQ48" s="65"/>
      <c r="BR48" s="65"/>
      <c r="BS48" s="65"/>
      <c r="BT48" s="65"/>
      <c r="BU48" s="65"/>
      <c r="BV48" s="65"/>
      <c r="BW48" s="65"/>
      <c r="BX48" s="65"/>
      <c r="BY48" s="65"/>
      <c r="BZ48" s="65"/>
    </row>
    <row r="49" spans="1:78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65"/>
      <c r="AG49" s="65"/>
      <c r="AH49" s="65"/>
      <c r="AI49" s="65"/>
      <c r="AJ49" s="65"/>
      <c r="AK49" s="65"/>
      <c r="AL49" s="65"/>
      <c r="AM49" s="65"/>
      <c r="AN49" s="65"/>
      <c r="AO49" s="65"/>
      <c r="AP49" s="65"/>
      <c r="AQ49" s="65"/>
      <c r="AR49" s="65"/>
      <c r="AS49" s="65"/>
      <c r="AT49" s="65"/>
      <c r="AU49" s="65"/>
      <c r="AV49" s="65"/>
      <c r="AW49" s="65"/>
      <c r="AX49" s="65"/>
      <c r="AY49" s="65"/>
      <c r="AZ49" s="65"/>
      <c r="BA49" s="65"/>
      <c r="BB49" s="65"/>
      <c r="BC49" s="65"/>
      <c r="BD49" s="65"/>
      <c r="BE49" s="65"/>
      <c r="BF49" s="65"/>
      <c r="BG49" s="65"/>
      <c r="BH49" s="65"/>
      <c r="BI49" s="65"/>
      <c r="BJ49" s="65"/>
      <c r="BK49" s="65"/>
      <c r="BL49" s="65"/>
      <c r="BM49" s="65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</row>
    <row r="50" spans="1:78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  <c r="AY50" s="65"/>
      <c r="AZ50" s="65"/>
      <c r="BA50" s="65"/>
      <c r="BB50" s="65"/>
      <c r="BC50" s="65"/>
      <c r="BD50" s="65"/>
      <c r="BE50" s="65"/>
      <c r="BF50" s="65"/>
      <c r="BG50" s="65"/>
      <c r="BH50" s="65"/>
      <c r="BI50" s="65"/>
      <c r="BJ50" s="65"/>
      <c r="BK50" s="65"/>
      <c r="BL50" s="65"/>
      <c r="BM50" s="65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</row>
    <row r="51" spans="1:78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5"/>
      <c r="Y51" s="65"/>
      <c r="Z51" s="65"/>
      <c r="AA51" s="65"/>
      <c r="AB51" s="65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  <c r="AP51" s="65"/>
      <c r="AQ51" s="65"/>
      <c r="AR51" s="65"/>
      <c r="AS51" s="65"/>
      <c r="AT51" s="65"/>
      <c r="AU51" s="65"/>
      <c r="AV51" s="65"/>
      <c r="AW51" s="65"/>
      <c r="AX51" s="65"/>
      <c r="AY51" s="65"/>
      <c r="AZ51" s="65"/>
      <c r="BA51" s="65"/>
      <c r="BB51" s="65"/>
      <c r="BC51" s="65"/>
      <c r="BD51" s="65"/>
      <c r="BE51" s="65"/>
      <c r="BF51" s="65"/>
      <c r="BG51" s="65"/>
      <c r="BH51" s="65"/>
      <c r="BI51" s="65"/>
      <c r="BJ51" s="65"/>
      <c r="BK51" s="65"/>
      <c r="BL51" s="65"/>
      <c r="BM51" s="65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</row>
    <row r="52" spans="1:78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  <c r="AP52" s="65"/>
      <c r="AQ52" s="65"/>
      <c r="AR52" s="65"/>
      <c r="AS52" s="65"/>
      <c r="AT52" s="65"/>
      <c r="AU52" s="65"/>
      <c r="AV52" s="65"/>
      <c r="AW52" s="65"/>
      <c r="AX52" s="65"/>
      <c r="AY52" s="65"/>
      <c r="AZ52" s="65"/>
      <c r="BA52" s="65"/>
      <c r="BB52" s="65"/>
      <c r="BC52" s="65"/>
      <c r="BD52" s="65"/>
      <c r="BE52" s="65"/>
      <c r="BF52" s="65"/>
      <c r="BG52" s="65"/>
      <c r="BH52" s="65"/>
      <c r="BI52" s="65"/>
      <c r="BJ52" s="65"/>
      <c r="BK52" s="65"/>
      <c r="BL52" s="65"/>
      <c r="BM52" s="65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</row>
    <row r="53" spans="1:78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5"/>
      <c r="Y53" s="65"/>
      <c r="Z53" s="65"/>
      <c r="AA53" s="65"/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  <c r="AP53" s="65"/>
      <c r="AQ53" s="65"/>
      <c r="AR53" s="65"/>
      <c r="AS53" s="65"/>
      <c r="AT53" s="65"/>
      <c r="AU53" s="65"/>
      <c r="AV53" s="65"/>
      <c r="AW53" s="65"/>
      <c r="AX53" s="65"/>
      <c r="AY53" s="65"/>
      <c r="AZ53" s="65"/>
      <c r="BA53" s="65"/>
      <c r="BB53" s="65"/>
      <c r="BC53" s="65"/>
      <c r="BD53" s="65"/>
      <c r="BE53" s="65"/>
      <c r="BF53" s="65"/>
      <c r="BG53" s="65"/>
      <c r="BH53" s="65"/>
      <c r="BI53" s="65"/>
      <c r="BJ53" s="65"/>
      <c r="BK53" s="65"/>
      <c r="BL53" s="65"/>
      <c r="BM53" s="65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</row>
    <row r="54" spans="1:78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I54" s="65"/>
      <c r="AJ54" s="65"/>
      <c r="AK54" s="65"/>
      <c r="AL54" s="65"/>
      <c r="AM54" s="65"/>
      <c r="AN54" s="65"/>
      <c r="AO54" s="65"/>
      <c r="AP54" s="65"/>
      <c r="AQ54" s="65"/>
      <c r="AR54" s="65"/>
      <c r="AS54" s="65"/>
      <c r="AT54" s="65"/>
      <c r="AU54" s="65"/>
      <c r="AV54" s="65"/>
      <c r="AW54" s="65"/>
      <c r="AX54" s="65"/>
      <c r="AY54" s="65"/>
      <c r="AZ54" s="65"/>
      <c r="BA54" s="65"/>
      <c r="BB54" s="65"/>
      <c r="BC54" s="65"/>
      <c r="BD54" s="65"/>
      <c r="BE54" s="65"/>
      <c r="BF54" s="65"/>
      <c r="BG54" s="65"/>
      <c r="BH54" s="65"/>
      <c r="BI54" s="65"/>
      <c r="BJ54" s="65"/>
      <c r="BK54" s="65"/>
      <c r="BL54" s="65"/>
      <c r="BM54" s="65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</row>
    <row r="55" spans="1:78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  <c r="Y55" s="65"/>
      <c r="Z55" s="65"/>
      <c r="AA55" s="65"/>
      <c r="AB55" s="65"/>
      <c r="AC55" s="65"/>
      <c r="AD55" s="65"/>
      <c r="AE55" s="65"/>
      <c r="AF55" s="65"/>
      <c r="AG55" s="65"/>
      <c r="AH55" s="65"/>
      <c r="AI55" s="65"/>
      <c r="AJ55" s="65"/>
      <c r="AK55" s="65"/>
      <c r="AL55" s="65"/>
      <c r="AM55" s="65"/>
      <c r="AN55" s="65"/>
      <c r="AO55" s="65"/>
      <c r="AP55" s="65"/>
      <c r="AQ55" s="65"/>
      <c r="AR55" s="65"/>
      <c r="AS55" s="65"/>
      <c r="AT55" s="65"/>
      <c r="AU55" s="65"/>
      <c r="AV55" s="65"/>
      <c r="AW55" s="65"/>
      <c r="AX55" s="65"/>
      <c r="AY55" s="65"/>
      <c r="AZ55" s="65"/>
      <c r="BA55" s="65"/>
      <c r="BB55" s="65"/>
      <c r="BC55" s="65"/>
      <c r="BD55" s="65"/>
      <c r="BE55" s="65"/>
      <c r="BF55" s="65"/>
      <c r="BG55" s="65"/>
      <c r="BH55" s="65"/>
      <c r="BI55" s="65"/>
      <c r="BJ55" s="65"/>
      <c r="BK55" s="65"/>
      <c r="BL55" s="65"/>
      <c r="BM55" s="65"/>
      <c r="BN55" s="65"/>
      <c r="BO55" s="65"/>
      <c r="BP55" s="65"/>
      <c r="BQ55" s="65"/>
      <c r="BR55" s="65"/>
      <c r="BS55" s="65"/>
      <c r="BT55" s="65"/>
      <c r="BU55" s="65"/>
      <c r="BV55" s="65"/>
      <c r="BW55" s="65"/>
      <c r="BX55" s="65"/>
      <c r="BY55" s="65"/>
      <c r="BZ55" s="65"/>
    </row>
    <row r="56" spans="1:78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5"/>
      <c r="Y56" s="65"/>
      <c r="Z56" s="65"/>
      <c r="AA56" s="65"/>
      <c r="AB56" s="65"/>
      <c r="AC56" s="65"/>
      <c r="AD56" s="65"/>
      <c r="AE56" s="65"/>
      <c r="AF56" s="65"/>
      <c r="AG56" s="65"/>
      <c r="AH56" s="65"/>
      <c r="AI56" s="65"/>
      <c r="AJ56" s="65"/>
      <c r="AK56" s="65"/>
      <c r="AL56" s="65"/>
      <c r="AM56" s="65"/>
      <c r="AN56" s="65"/>
      <c r="AO56" s="65"/>
      <c r="AP56" s="65"/>
      <c r="AQ56" s="65"/>
      <c r="AR56" s="65"/>
      <c r="AS56" s="65"/>
      <c r="AT56" s="65"/>
      <c r="AU56" s="65"/>
      <c r="AV56" s="65"/>
      <c r="AW56" s="65"/>
      <c r="AX56" s="65"/>
      <c r="AY56" s="65"/>
      <c r="AZ56" s="65"/>
      <c r="BA56" s="65"/>
      <c r="BB56" s="65"/>
      <c r="BC56" s="65"/>
      <c r="BD56" s="65"/>
      <c r="BE56" s="65"/>
      <c r="BF56" s="65"/>
      <c r="BG56" s="65"/>
      <c r="BH56" s="65"/>
      <c r="BI56" s="65"/>
      <c r="BJ56" s="65"/>
      <c r="BK56" s="65"/>
      <c r="BL56" s="65"/>
      <c r="BM56" s="65"/>
      <c r="BN56" s="65"/>
      <c r="BO56" s="65"/>
      <c r="BP56" s="65"/>
      <c r="BQ56" s="65"/>
      <c r="BR56" s="65"/>
      <c r="BS56" s="65"/>
      <c r="BT56" s="65"/>
      <c r="BU56" s="65"/>
      <c r="BV56" s="65"/>
      <c r="BW56" s="65"/>
      <c r="BX56" s="65"/>
      <c r="BY56" s="65"/>
      <c r="BZ56" s="65"/>
    </row>
    <row r="57" spans="1:78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  <c r="AP57" s="65"/>
      <c r="AQ57" s="65"/>
      <c r="AR57" s="65"/>
      <c r="AS57" s="65"/>
      <c r="AT57" s="65"/>
      <c r="AU57" s="65"/>
      <c r="AV57" s="65"/>
      <c r="AW57" s="65"/>
      <c r="AX57" s="65"/>
      <c r="AY57" s="65"/>
      <c r="AZ57" s="65"/>
      <c r="BA57" s="65"/>
      <c r="BB57" s="65"/>
      <c r="BC57" s="65"/>
      <c r="BD57" s="65"/>
      <c r="BE57" s="65"/>
      <c r="BF57" s="65"/>
      <c r="BG57" s="65"/>
      <c r="BH57" s="65"/>
      <c r="BI57" s="65"/>
      <c r="BJ57" s="65"/>
      <c r="BK57" s="65"/>
      <c r="BL57" s="65"/>
      <c r="BM57" s="65"/>
      <c r="BN57" s="65"/>
      <c r="BO57" s="65"/>
      <c r="BP57" s="65"/>
      <c r="BQ57" s="65"/>
      <c r="BR57" s="65"/>
      <c r="BS57" s="65"/>
      <c r="BT57" s="65"/>
      <c r="BU57" s="65"/>
      <c r="BV57" s="65"/>
      <c r="BW57" s="65"/>
      <c r="BX57" s="65"/>
      <c r="BY57" s="65"/>
      <c r="BZ57" s="65"/>
    </row>
    <row r="58" spans="1:78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5"/>
      <c r="Y58" s="65"/>
      <c r="Z58" s="65"/>
      <c r="AA58" s="65"/>
      <c r="AB58" s="65"/>
      <c r="AC58" s="65"/>
      <c r="AD58" s="65"/>
      <c r="AE58" s="65"/>
      <c r="AF58" s="65"/>
      <c r="AG58" s="65"/>
      <c r="AH58" s="65"/>
      <c r="AI58" s="65"/>
      <c r="AJ58" s="65"/>
      <c r="AK58" s="65"/>
      <c r="AL58" s="65"/>
      <c r="AM58" s="65"/>
      <c r="AN58" s="65"/>
      <c r="AO58" s="65"/>
      <c r="AP58" s="65"/>
      <c r="AQ58" s="65"/>
      <c r="AR58" s="65"/>
      <c r="AS58" s="65"/>
      <c r="AT58" s="65"/>
      <c r="AU58" s="65"/>
      <c r="AV58" s="65"/>
      <c r="AW58" s="65"/>
      <c r="AX58" s="65"/>
      <c r="AY58" s="65"/>
      <c r="AZ58" s="65"/>
      <c r="BA58" s="65"/>
      <c r="BB58" s="65"/>
      <c r="BC58" s="65"/>
      <c r="BD58" s="65"/>
      <c r="BE58" s="65"/>
      <c r="BF58" s="65"/>
      <c r="BG58" s="65"/>
      <c r="BH58" s="65"/>
      <c r="BI58" s="65"/>
      <c r="BJ58" s="65"/>
      <c r="BK58" s="65"/>
      <c r="BL58" s="65"/>
      <c r="BM58" s="65"/>
      <c r="BN58" s="65"/>
      <c r="BO58" s="65"/>
      <c r="BP58" s="65"/>
      <c r="BQ58" s="65"/>
      <c r="BR58" s="65"/>
      <c r="BS58" s="65"/>
      <c r="BT58" s="65"/>
      <c r="BU58" s="65"/>
      <c r="BV58" s="65"/>
      <c r="BW58" s="65"/>
      <c r="BX58" s="65"/>
      <c r="BY58" s="65"/>
      <c r="BZ58" s="65"/>
    </row>
    <row r="59" spans="1:78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5"/>
      <c r="Y59" s="65"/>
      <c r="Z59" s="65"/>
      <c r="AA59" s="65"/>
      <c r="AB59" s="65"/>
      <c r="AC59" s="65"/>
      <c r="AD59" s="65"/>
      <c r="AE59" s="65"/>
      <c r="AF59" s="65"/>
      <c r="AG59" s="65"/>
      <c r="AH59" s="65"/>
      <c r="AI59" s="65"/>
      <c r="AJ59" s="65"/>
      <c r="AK59" s="65"/>
      <c r="AL59" s="65"/>
      <c r="AM59" s="65"/>
      <c r="AN59" s="65"/>
      <c r="AO59" s="65"/>
      <c r="AP59" s="65"/>
      <c r="AQ59" s="65"/>
      <c r="AR59" s="65"/>
      <c r="AS59" s="65"/>
      <c r="AT59" s="65"/>
      <c r="AU59" s="65"/>
      <c r="AV59" s="65"/>
      <c r="AW59" s="65"/>
      <c r="AX59" s="65"/>
      <c r="AY59" s="65"/>
      <c r="AZ59" s="65"/>
      <c r="BA59" s="65"/>
      <c r="BB59" s="65"/>
      <c r="BC59" s="65"/>
      <c r="BD59" s="65"/>
      <c r="BE59" s="65"/>
      <c r="BF59" s="65"/>
      <c r="BG59" s="65"/>
      <c r="BH59" s="65"/>
      <c r="BI59" s="65"/>
      <c r="BJ59" s="65"/>
      <c r="BK59" s="65"/>
      <c r="BL59" s="65"/>
      <c r="BM59" s="65"/>
      <c r="BN59" s="65"/>
      <c r="BO59" s="65"/>
      <c r="BP59" s="65"/>
      <c r="BQ59" s="65"/>
      <c r="BR59" s="65"/>
      <c r="BS59" s="65"/>
      <c r="BT59" s="65"/>
      <c r="BU59" s="65"/>
      <c r="BV59" s="65"/>
      <c r="BW59" s="65"/>
      <c r="BX59" s="65"/>
      <c r="BY59" s="65"/>
      <c r="BZ59" s="65"/>
    </row>
    <row r="60" spans="1:78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  <c r="AP60" s="65"/>
      <c r="AQ60" s="65"/>
      <c r="AR60" s="65"/>
      <c r="AS60" s="65"/>
      <c r="AT60" s="65"/>
      <c r="AU60" s="65"/>
      <c r="AV60" s="65"/>
      <c r="AW60" s="65"/>
      <c r="AX60" s="65"/>
      <c r="AY60" s="65"/>
      <c r="AZ60" s="65"/>
      <c r="BA60" s="65"/>
      <c r="BB60" s="65"/>
      <c r="BC60" s="65"/>
      <c r="BD60" s="65"/>
      <c r="BE60" s="65"/>
      <c r="BF60" s="65"/>
      <c r="BG60" s="65"/>
      <c r="BH60" s="65"/>
      <c r="BI60" s="65"/>
      <c r="BJ60" s="65"/>
      <c r="BK60" s="65"/>
      <c r="BL60" s="65"/>
      <c r="BM60" s="65"/>
      <c r="BN60" s="65"/>
      <c r="BO60" s="65"/>
      <c r="BP60" s="65"/>
      <c r="BQ60" s="65"/>
      <c r="BR60" s="65"/>
      <c r="BS60" s="65"/>
      <c r="BT60" s="65"/>
      <c r="BU60" s="65"/>
      <c r="BV60" s="65"/>
      <c r="BW60" s="65"/>
      <c r="BX60" s="65"/>
      <c r="BY60" s="65"/>
      <c r="BZ60" s="65"/>
    </row>
    <row r="61" spans="1:78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5"/>
      <c r="Y61" s="65"/>
      <c r="Z61" s="65"/>
      <c r="AA61" s="65"/>
      <c r="AB61" s="65"/>
      <c r="AC61" s="65"/>
      <c r="AD61" s="65"/>
      <c r="AE61" s="65"/>
      <c r="AF61" s="65"/>
      <c r="AG61" s="65"/>
      <c r="AH61" s="65"/>
      <c r="AI61" s="65"/>
      <c r="AJ61" s="65"/>
      <c r="AK61" s="65"/>
      <c r="AL61" s="65"/>
      <c r="AM61" s="65"/>
      <c r="AN61" s="65"/>
      <c r="AO61" s="65"/>
      <c r="AP61" s="65"/>
      <c r="AQ61" s="65"/>
      <c r="AR61" s="65"/>
      <c r="AS61" s="65"/>
      <c r="AT61" s="65"/>
      <c r="AU61" s="65"/>
      <c r="AV61" s="65"/>
      <c r="AW61" s="65"/>
      <c r="AX61" s="65"/>
      <c r="AY61" s="65"/>
      <c r="AZ61" s="65"/>
      <c r="BA61" s="65"/>
      <c r="BB61" s="65"/>
      <c r="BC61" s="65"/>
      <c r="BD61" s="65"/>
      <c r="BE61" s="65"/>
      <c r="BF61" s="65"/>
      <c r="BG61" s="65"/>
      <c r="BH61" s="65"/>
      <c r="BI61" s="65"/>
      <c r="BJ61" s="65"/>
      <c r="BK61" s="65"/>
      <c r="BL61" s="65"/>
      <c r="BM61" s="65"/>
      <c r="BN61" s="65"/>
      <c r="BO61" s="65"/>
      <c r="BP61" s="65"/>
      <c r="BQ61" s="65"/>
      <c r="BR61" s="65"/>
      <c r="BS61" s="65"/>
      <c r="BT61" s="65"/>
      <c r="BU61" s="65"/>
      <c r="BV61" s="65"/>
      <c r="BW61" s="65"/>
      <c r="BX61" s="65"/>
      <c r="BY61" s="65"/>
      <c r="BZ61" s="65"/>
    </row>
    <row r="62" spans="1:78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5"/>
      <c r="Y62" s="65"/>
      <c r="Z62" s="65"/>
      <c r="AA62" s="65"/>
      <c r="AB62" s="65"/>
      <c r="AC62" s="65"/>
      <c r="AD62" s="65"/>
      <c r="AE62" s="65"/>
      <c r="AF62" s="65"/>
      <c r="AG62" s="65"/>
      <c r="AH62" s="65"/>
      <c r="AI62" s="65"/>
      <c r="AJ62" s="65"/>
      <c r="AK62" s="65"/>
      <c r="AL62" s="65"/>
      <c r="AM62" s="65"/>
      <c r="AN62" s="65"/>
      <c r="AO62" s="65"/>
      <c r="AP62" s="65"/>
      <c r="AQ62" s="65"/>
      <c r="AR62" s="65"/>
      <c r="AS62" s="65"/>
      <c r="AT62" s="65"/>
      <c r="AU62" s="65"/>
      <c r="AV62" s="65"/>
      <c r="AW62" s="65"/>
      <c r="AX62" s="65"/>
      <c r="AY62" s="65"/>
      <c r="AZ62" s="65"/>
      <c r="BA62" s="65"/>
      <c r="BB62" s="65"/>
      <c r="BC62" s="65"/>
      <c r="BD62" s="65"/>
      <c r="BE62" s="65"/>
      <c r="BF62" s="65"/>
      <c r="BG62" s="65"/>
      <c r="BH62" s="65"/>
      <c r="BI62" s="65"/>
      <c r="BJ62" s="65"/>
      <c r="BK62" s="65"/>
      <c r="BL62" s="65"/>
      <c r="BM62" s="65"/>
      <c r="BN62" s="65"/>
      <c r="BO62" s="65"/>
      <c r="BP62" s="65"/>
      <c r="BQ62" s="65"/>
      <c r="BR62" s="65"/>
      <c r="BS62" s="65"/>
      <c r="BT62" s="65"/>
      <c r="BU62" s="65"/>
      <c r="BV62" s="65"/>
      <c r="BW62" s="65"/>
      <c r="BX62" s="65"/>
      <c r="BY62" s="65"/>
      <c r="BZ62" s="65"/>
    </row>
    <row r="63" spans="1:78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5"/>
      <c r="Y63" s="65"/>
      <c r="Z63" s="65"/>
      <c r="AA63" s="65"/>
      <c r="AB63" s="65"/>
      <c r="AC63" s="65"/>
      <c r="AD63" s="65"/>
      <c r="AE63" s="65"/>
      <c r="AF63" s="65"/>
      <c r="AG63" s="65"/>
      <c r="AH63" s="65"/>
      <c r="AI63" s="65"/>
      <c r="AJ63" s="65"/>
      <c r="AK63" s="65"/>
      <c r="AL63" s="65"/>
      <c r="AM63" s="65"/>
      <c r="AN63" s="65"/>
      <c r="AO63" s="65"/>
      <c r="AP63" s="65"/>
      <c r="AQ63" s="65"/>
      <c r="AR63" s="65"/>
      <c r="AS63" s="65"/>
      <c r="AT63" s="65"/>
      <c r="AU63" s="65"/>
      <c r="AV63" s="65"/>
      <c r="AW63" s="65"/>
      <c r="AX63" s="65"/>
      <c r="AY63" s="65"/>
      <c r="AZ63" s="65"/>
      <c r="BA63" s="65"/>
      <c r="BB63" s="65"/>
      <c r="BC63" s="65"/>
      <c r="BD63" s="65"/>
      <c r="BE63" s="65"/>
      <c r="BF63" s="65"/>
      <c r="BG63" s="65"/>
      <c r="BH63" s="65"/>
      <c r="BI63" s="65"/>
      <c r="BJ63" s="65"/>
      <c r="BK63" s="65"/>
      <c r="BL63" s="65"/>
      <c r="BM63" s="65"/>
      <c r="BN63" s="65"/>
      <c r="BO63" s="65"/>
      <c r="BP63" s="65"/>
      <c r="BQ63" s="65"/>
      <c r="BR63" s="65"/>
      <c r="BS63" s="65"/>
      <c r="BT63" s="65"/>
      <c r="BU63" s="65"/>
      <c r="BV63" s="65"/>
      <c r="BW63" s="65"/>
      <c r="BX63" s="65"/>
      <c r="BY63" s="65"/>
      <c r="BZ63" s="65"/>
    </row>
    <row r="64" spans="1:78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</row>
    <row r="65" spans="1:78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</row>
    <row r="66" spans="1:78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5"/>
      <c r="Y66" s="65"/>
      <c r="Z66" s="65"/>
      <c r="AA66" s="65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  <c r="BR66" s="65"/>
      <c r="BS66" s="65"/>
      <c r="BT66" s="65"/>
      <c r="BU66" s="65"/>
      <c r="BV66" s="65"/>
      <c r="BW66" s="65"/>
      <c r="BX66" s="65"/>
      <c r="BY66" s="65"/>
      <c r="BZ66" s="65"/>
    </row>
    <row r="67" spans="1:78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  <c r="BR67" s="65"/>
      <c r="BS67" s="65"/>
      <c r="BT67" s="65"/>
      <c r="BU67" s="65"/>
      <c r="BV67" s="65"/>
      <c r="BW67" s="65"/>
      <c r="BX67" s="65"/>
      <c r="BY67" s="65"/>
      <c r="BZ67" s="65"/>
    </row>
    <row r="68" spans="1:78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  <c r="BR68" s="65"/>
      <c r="BS68" s="65"/>
      <c r="BT68" s="65"/>
      <c r="BU68" s="65"/>
      <c r="BV68" s="65"/>
      <c r="BW68" s="65"/>
      <c r="BX68" s="65"/>
      <c r="BY68" s="65"/>
      <c r="BZ68" s="65"/>
    </row>
    <row r="69" spans="1:78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  <c r="Q69" s="65"/>
      <c r="R69" s="65"/>
      <c r="S69" s="65"/>
      <c r="T69" s="65"/>
      <c r="U69" s="65"/>
      <c r="V69" s="65"/>
      <c r="W69" s="65"/>
      <c r="X69" s="65"/>
      <c r="Y69" s="65"/>
      <c r="Z69" s="65"/>
      <c r="AA69" s="65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  <c r="BR69" s="65"/>
      <c r="BS69" s="65"/>
      <c r="BT69" s="65"/>
      <c r="BU69" s="65"/>
      <c r="BV69" s="65"/>
      <c r="BW69" s="65"/>
      <c r="BX69" s="65"/>
      <c r="BY69" s="65"/>
      <c r="BZ69" s="65"/>
    </row>
    <row r="70" spans="1:78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</row>
    <row r="71" spans="1:78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</row>
    <row r="72" spans="1:78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  <c r="Q72" s="65"/>
      <c r="R72" s="65"/>
      <c r="S72" s="65"/>
      <c r="T72" s="65"/>
      <c r="U72" s="65"/>
      <c r="V72" s="65"/>
      <c r="W72" s="65"/>
      <c r="X72" s="65"/>
      <c r="Y72" s="65"/>
      <c r="Z72" s="65"/>
      <c r="AA72" s="65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  <c r="BR72" s="65"/>
      <c r="BS72" s="65"/>
      <c r="BT72" s="65"/>
      <c r="BU72" s="65"/>
      <c r="BV72" s="65"/>
      <c r="BW72" s="65"/>
      <c r="BX72" s="65"/>
      <c r="BY72" s="65"/>
      <c r="BZ72" s="65"/>
    </row>
    <row r="73" spans="1:78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5"/>
      <c r="X73" s="65"/>
      <c r="Y73" s="65"/>
      <c r="Z73" s="65"/>
      <c r="AA73" s="65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  <c r="BR73" s="65"/>
      <c r="BS73" s="65"/>
      <c r="BT73" s="65"/>
      <c r="BU73" s="65"/>
      <c r="BV73" s="65"/>
      <c r="BW73" s="65"/>
      <c r="BX73" s="65"/>
      <c r="BY73" s="65"/>
      <c r="BZ73" s="65"/>
    </row>
    <row r="74" spans="1:78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  <c r="V74" s="65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  <c r="BR74" s="65"/>
      <c r="BS74" s="65"/>
      <c r="BT74" s="65"/>
      <c r="BU74" s="65"/>
      <c r="BV74" s="65"/>
      <c r="BW74" s="65"/>
      <c r="BX74" s="65"/>
      <c r="BY74" s="65"/>
      <c r="BZ74" s="65"/>
    </row>
    <row r="75" spans="1:78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5"/>
      <c r="X75" s="65"/>
      <c r="Y75" s="65"/>
      <c r="Z75" s="65"/>
      <c r="AA75" s="65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  <c r="BR75" s="65"/>
      <c r="BS75" s="65"/>
      <c r="BT75" s="65"/>
      <c r="BU75" s="65"/>
      <c r="BV75" s="65"/>
      <c r="BW75" s="65"/>
      <c r="BX75" s="65"/>
      <c r="BY75" s="65"/>
      <c r="BZ75" s="65"/>
    </row>
    <row r="76" spans="1:78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5"/>
      <c r="U76" s="65"/>
      <c r="V76" s="65"/>
      <c r="W76" s="65"/>
      <c r="X76" s="65"/>
      <c r="Y76" s="65"/>
      <c r="Z76" s="65"/>
      <c r="AA76" s="65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  <c r="BR76" s="65"/>
      <c r="BS76" s="65"/>
      <c r="BT76" s="65"/>
      <c r="BU76" s="65"/>
      <c r="BV76" s="65"/>
      <c r="BW76" s="65"/>
      <c r="BX76" s="65"/>
      <c r="BY76" s="65"/>
      <c r="BZ76" s="65"/>
    </row>
    <row r="77" spans="1:78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  <c r="AP77" s="65"/>
      <c r="AQ77" s="65"/>
      <c r="AR77" s="65"/>
      <c r="AS77" s="65"/>
      <c r="AT77" s="65"/>
      <c r="AU77" s="65"/>
      <c r="AV77" s="65"/>
      <c r="AW77" s="65"/>
      <c r="AX77" s="65"/>
      <c r="AY77" s="65"/>
      <c r="AZ77" s="65"/>
      <c r="BA77" s="65"/>
      <c r="BB77" s="65"/>
      <c r="BC77" s="65"/>
      <c r="BD77" s="65"/>
      <c r="BE77" s="65"/>
      <c r="BF77" s="65"/>
      <c r="BG77" s="65"/>
      <c r="BH77" s="65"/>
      <c r="BI77" s="65"/>
      <c r="BJ77" s="65"/>
      <c r="BK77" s="65"/>
      <c r="BL77" s="65"/>
      <c r="BM77" s="65"/>
      <c r="BN77" s="65"/>
      <c r="BO77" s="65"/>
      <c r="BP77" s="65"/>
      <c r="BQ77" s="65"/>
      <c r="BR77" s="65"/>
      <c r="BS77" s="65"/>
      <c r="BT77" s="65"/>
      <c r="BU77" s="65"/>
      <c r="BV77" s="65"/>
      <c r="BW77" s="65"/>
      <c r="BX77" s="65"/>
      <c r="BY77" s="65"/>
      <c r="BZ77" s="65"/>
    </row>
    <row r="78" spans="1:78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5"/>
      <c r="X78" s="65"/>
      <c r="Y78" s="65"/>
      <c r="Z78" s="65"/>
      <c r="AA78" s="65"/>
      <c r="AB78" s="65"/>
      <c r="AC78" s="65"/>
      <c r="AD78" s="65"/>
      <c r="AE78" s="65"/>
      <c r="AF78" s="65"/>
      <c r="AG78" s="65"/>
      <c r="AH78" s="65"/>
      <c r="AI78" s="65"/>
      <c r="AJ78" s="65"/>
      <c r="AK78" s="65"/>
      <c r="AL78" s="65"/>
      <c r="AM78" s="65"/>
      <c r="AN78" s="65"/>
      <c r="AO78" s="65"/>
      <c r="AP78" s="65"/>
      <c r="AQ78" s="65"/>
      <c r="AR78" s="65"/>
      <c r="AS78" s="65"/>
      <c r="AT78" s="65"/>
      <c r="AU78" s="65"/>
      <c r="AV78" s="65"/>
      <c r="AW78" s="65"/>
      <c r="AX78" s="65"/>
      <c r="AY78" s="65"/>
      <c r="AZ78" s="65"/>
      <c r="BA78" s="65"/>
      <c r="BB78" s="65"/>
      <c r="BC78" s="65"/>
      <c r="BD78" s="65"/>
      <c r="BE78" s="65"/>
      <c r="BF78" s="65"/>
      <c r="BG78" s="65"/>
      <c r="BH78" s="65"/>
      <c r="BI78" s="65"/>
      <c r="BJ78" s="65"/>
      <c r="BK78" s="65"/>
      <c r="BL78" s="65"/>
      <c r="BM78" s="65"/>
      <c r="BN78" s="65"/>
      <c r="BO78" s="65"/>
      <c r="BP78" s="65"/>
      <c r="BQ78" s="65"/>
      <c r="BR78" s="65"/>
      <c r="BS78" s="65"/>
      <c r="BT78" s="65"/>
      <c r="BU78" s="65"/>
      <c r="BV78" s="65"/>
      <c r="BW78" s="65"/>
      <c r="BX78" s="65"/>
      <c r="BY78" s="65"/>
      <c r="BZ78" s="65"/>
    </row>
    <row r="79" spans="1:78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5"/>
      <c r="X79" s="65"/>
      <c r="Y79" s="65"/>
      <c r="Z79" s="65"/>
      <c r="AA79" s="65"/>
      <c r="AB79" s="65"/>
      <c r="AC79" s="65"/>
      <c r="AD79" s="65"/>
      <c r="AE79" s="65"/>
      <c r="AF79" s="65"/>
      <c r="AG79" s="65"/>
      <c r="AH79" s="65"/>
      <c r="AI79" s="65"/>
      <c r="AJ79" s="65"/>
      <c r="AK79" s="65"/>
      <c r="AL79" s="65"/>
      <c r="AM79" s="65"/>
      <c r="AN79" s="65"/>
      <c r="AO79" s="65"/>
      <c r="AP79" s="65"/>
      <c r="AQ79" s="65"/>
      <c r="AR79" s="65"/>
      <c r="AS79" s="65"/>
      <c r="AT79" s="65"/>
      <c r="AU79" s="65"/>
      <c r="AV79" s="65"/>
      <c r="AW79" s="65"/>
      <c r="AX79" s="65"/>
      <c r="AY79" s="65"/>
      <c r="AZ79" s="65"/>
      <c r="BA79" s="65"/>
      <c r="BB79" s="65"/>
      <c r="BC79" s="65"/>
      <c r="BD79" s="65"/>
      <c r="BE79" s="65"/>
      <c r="BF79" s="65"/>
      <c r="BG79" s="65"/>
      <c r="BH79" s="65"/>
      <c r="BI79" s="65"/>
      <c r="BJ79" s="65"/>
      <c r="BK79" s="65"/>
      <c r="BL79" s="65"/>
      <c r="BM79" s="65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</row>
    <row r="80" spans="1:78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  <c r="V80" s="65"/>
      <c r="W80" s="65"/>
      <c r="X80" s="65"/>
      <c r="Y80" s="65"/>
      <c r="Z80" s="65"/>
      <c r="AA80" s="65"/>
      <c r="AB80" s="65"/>
      <c r="AC80" s="65"/>
      <c r="AD80" s="65"/>
      <c r="AE80" s="65"/>
      <c r="AF80" s="65"/>
      <c r="AG80" s="65"/>
      <c r="AH80" s="65"/>
      <c r="AI80" s="65"/>
      <c r="AJ80" s="65"/>
      <c r="AK80" s="65"/>
      <c r="AL80" s="65"/>
      <c r="AM80" s="65"/>
      <c r="AN80" s="65"/>
      <c r="AO80" s="65"/>
      <c r="AP80" s="65"/>
      <c r="AQ80" s="65"/>
      <c r="AR80" s="65"/>
      <c r="AS80" s="65"/>
      <c r="AT80" s="65"/>
      <c r="AU80" s="65"/>
      <c r="AV80" s="65"/>
      <c r="AW80" s="65"/>
      <c r="AX80" s="65"/>
      <c r="AY80" s="65"/>
      <c r="AZ80" s="65"/>
      <c r="BA80" s="65"/>
      <c r="BB80" s="65"/>
      <c r="BC80" s="65"/>
      <c r="BD80" s="65"/>
      <c r="BE80" s="65"/>
      <c r="BF80" s="65"/>
      <c r="BG80" s="65"/>
      <c r="BH80" s="65"/>
      <c r="BI80" s="65"/>
      <c r="BJ80" s="65"/>
      <c r="BK80" s="65"/>
      <c r="BL80" s="65"/>
      <c r="BM80" s="65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</row>
    <row r="81" spans="1:78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65"/>
      <c r="AA81" s="65"/>
      <c r="AB81" s="65"/>
      <c r="AC81" s="65"/>
      <c r="AD81" s="65"/>
      <c r="AE81" s="65"/>
      <c r="AF81" s="65"/>
      <c r="AG81" s="65"/>
      <c r="AH81" s="65"/>
      <c r="AI81" s="65"/>
      <c r="AJ81" s="65"/>
      <c r="AK81" s="65"/>
      <c r="AL81" s="65"/>
      <c r="AM81" s="65"/>
      <c r="AN81" s="65"/>
      <c r="AO81" s="65"/>
      <c r="AP81" s="65"/>
      <c r="AQ81" s="65"/>
      <c r="AR81" s="65"/>
      <c r="AS81" s="65"/>
      <c r="AT81" s="65"/>
      <c r="AU81" s="65"/>
      <c r="AV81" s="65"/>
      <c r="AW81" s="65"/>
      <c r="AX81" s="65"/>
      <c r="AY81" s="65"/>
      <c r="AZ81" s="65"/>
      <c r="BA81" s="65"/>
      <c r="BB81" s="65"/>
      <c r="BC81" s="65"/>
      <c r="BD81" s="65"/>
      <c r="BE81" s="65"/>
      <c r="BF81" s="65"/>
      <c r="BG81" s="65"/>
      <c r="BH81" s="65"/>
      <c r="BI81" s="65"/>
      <c r="BJ81" s="65"/>
      <c r="BK81" s="65"/>
      <c r="BL81" s="65"/>
      <c r="BM81" s="65"/>
      <c r="BN81" s="65"/>
      <c r="BO81" s="65"/>
      <c r="BP81" s="65"/>
      <c r="BQ81" s="65"/>
      <c r="BR81" s="65"/>
      <c r="BS81" s="65"/>
      <c r="BT81" s="65"/>
      <c r="BU81" s="65"/>
      <c r="BV81" s="65"/>
      <c r="BW81" s="65"/>
      <c r="BX81" s="65"/>
      <c r="BY81" s="65"/>
      <c r="BZ81" s="65"/>
    </row>
    <row r="82" spans="1:78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  <c r="Q82" s="65"/>
      <c r="R82" s="65"/>
      <c r="S82" s="65"/>
      <c r="T82" s="65"/>
      <c r="U82" s="65"/>
      <c r="V82" s="65"/>
      <c r="W82" s="65"/>
      <c r="X82" s="65"/>
      <c r="Y82" s="65"/>
      <c r="Z82" s="65"/>
      <c r="AA82" s="65"/>
      <c r="AB82" s="65"/>
      <c r="AC82" s="65"/>
      <c r="AD82" s="65"/>
      <c r="AE82" s="65"/>
      <c r="AF82" s="65"/>
      <c r="AG82" s="65"/>
      <c r="AH82" s="65"/>
      <c r="AI82" s="65"/>
      <c r="AJ82" s="65"/>
      <c r="AK82" s="65"/>
      <c r="AL82" s="65"/>
      <c r="AM82" s="65"/>
      <c r="AN82" s="65"/>
      <c r="AO82" s="65"/>
      <c r="AP82" s="65"/>
      <c r="AQ82" s="65"/>
      <c r="AR82" s="65"/>
      <c r="AS82" s="65"/>
      <c r="AT82" s="65"/>
      <c r="AU82" s="65"/>
      <c r="AV82" s="65"/>
      <c r="AW82" s="65"/>
      <c r="AX82" s="65"/>
      <c r="AY82" s="65"/>
      <c r="AZ82" s="65"/>
      <c r="BA82" s="65"/>
      <c r="BB82" s="65"/>
      <c r="BC82" s="65"/>
      <c r="BD82" s="65"/>
      <c r="BE82" s="65"/>
      <c r="BF82" s="65"/>
      <c r="BG82" s="65"/>
      <c r="BH82" s="65"/>
      <c r="BI82" s="65"/>
      <c r="BJ82" s="65"/>
      <c r="BK82" s="65"/>
      <c r="BL82" s="65"/>
      <c r="BM82" s="65"/>
      <c r="BN82" s="65"/>
      <c r="BO82" s="65"/>
      <c r="BP82" s="65"/>
      <c r="BQ82" s="65"/>
      <c r="BR82" s="65"/>
      <c r="BS82" s="65"/>
      <c r="BT82" s="65"/>
      <c r="BU82" s="65"/>
      <c r="BV82" s="65"/>
      <c r="BW82" s="65"/>
      <c r="BX82" s="65"/>
      <c r="BY82" s="65"/>
      <c r="BZ82" s="65"/>
    </row>
    <row r="83" spans="1:78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5"/>
      <c r="X83" s="65"/>
      <c r="Y83" s="65"/>
      <c r="Z83" s="65"/>
      <c r="AA83" s="65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  <c r="BR83" s="65"/>
      <c r="BS83" s="65"/>
      <c r="BT83" s="65"/>
      <c r="BU83" s="65"/>
      <c r="BV83" s="65"/>
      <c r="BW83" s="65"/>
      <c r="BX83" s="65"/>
      <c r="BY83" s="65"/>
      <c r="BZ83" s="65"/>
    </row>
    <row r="84" spans="1:78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5"/>
      <c r="X84" s="65"/>
      <c r="Y84" s="65"/>
      <c r="Z84" s="65"/>
      <c r="AA84" s="65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  <c r="BR84" s="65"/>
      <c r="BS84" s="65"/>
      <c r="BT84" s="65"/>
      <c r="BU84" s="65"/>
      <c r="BV84" s="65"/>
      <c r="BW84" s="65"/>
      <c r="BX84" s="65"/>
      <c r="BY84" s="65"/>
      <c r="BZ84" s="65"/>
    </row>
    <row r="85" spans="1:78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5"/>
      <c r="X85" s="65"/>
      <c r="Y85" s="65"/>
      <c r="Z85" s="65"/>
      <c r="AA85" s="65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</row>
    <row r="86" spans="1:78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  <c r="V86" s="65"/>
      <c r="W86" s="65"/>
      <c r="X86" s="65"/>
      <c r="Y86" s="65"/>
      <c r="Z86" s="65"/>
      <c r="AA86" s="65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</row>
    <row r="87" spans="1:78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5"/>
      <c r="U87" s="65"/>
      <c r="V87" s="65"/>
      <c r="W87" s="65"/>
      <c r="X87" s="65"/>
      <c r="Y87" s="65"/>
      <c r="Z87" s="65"/>
      <c r="AA87" s="65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</row>
    <row r="88" spans="1:78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  <c r="Q88" s="65"/>
      <c r="R88" s="65"/>
      <c r="S88" s="65"/>
      <c r="T88" s="65"/>
      <c r="U88" s="65"/>
      <c r="V88" s="65"/>
      <c r="W88" s="65"/>
      <c r="X88" s="65"/>
      <c r="Y88" s="65"/>
      <c r="Z88" s="65"/>
      <c r="AA88" s="65"/>
      <c r="AB88" s="65"/>
      <c r="AC88" s="65"/>
      <c r="AD88" s="65"/>
      <c r="AE88" s="65"/>
      <c r="AF88" s="65"/>
      <c r="AG88" s="65"/>
      <c r="AH88" s="65"/>
      <c r="AI88" s="65"/>
      <c r="AJ88" s="65"/>
      <c r="AK88" s="65"/>
      <c r="AL88" s="65"/>
      <c r="AM88" s="65"/>
      <c r="AN88" s="65"/>
      <c r="AO88" s="65"/>
      <c r="AP88" s="65"/>
      <c r="AQ88" s="65"/>
      <c r="AR88" s="65"/>
      <c r="AS88" s="65"/>
      <c r="AT88" s="65"/>
      <c r="AU88" s="65"/>
      <c r="AV88" s="65"/>
      <c r="AW88" s="65"/>
      <c r="AX88" s="65"/>
      <c r="AY88" s="65"/>
      <c r="AZ88" s="65"/>
      <c r="BA88" s="65"/>
      <c r="BB88" s="65"/>
      <c r="BC88" s="65"/>
      <c r="BD88" s="65"/>
      <c r="BE88" s="65"/>
      <c r="BF88" s="65"/>
      <c r="BG88" s="65"/>
      <c r="BH88" s="65"/>
      <c r="BI88" s="65"/>
      <c r="BJ88" s="65"/>
      <c r="BK88" s="65"/>
      <c r="BL88" s="65"/>
      <c r="BM88" s="65"/>
      <c r="BN88" s="65"/>
      <c r="BO88" s="65"/>
      <c r="BP88" s="65"/>
      <c r="BQ88" s="65"/>
      <c r="BR88" s="65"/>
      <c r="BS88" s="65"/>
      <c r="BT88" s="65"/>
      <c r="BU88" s="65"/>
      <c r="BV88" s="65"/>
      <c r="BW88" s="65"/>
      <c r="BX88" s="65"/>
      <c r="BY88" s="65"/>
      <c r="BZ88" s="65"/>
    </row>
    <row r="89" spans="1:78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  <c r="V89" s="65"/>
      <c r="W89" s="65"/>
      <c r="X89" s="65"/>
      <c r="Y89" s="65"/>
      <c r="Z89" s="65"/>
      <c r="AA89" s="65"/>
      <c r="AB89" s="65"/>
      <c r="AC89" s="65"/>
      <c r="AD89" s="65"/>
      <c r="AE89" s="65"/>
      <c r="AF89" s="65"/>
      <c r="AG89" s="65"/>
      <c r="AH89" s="65"/>
      <c r="AI89" s="65"/>
      <c r="AJ89" s="65"/>
      <c r="AK89" s="65"/>
      <c r="AL89" s="65"/>
      <c r="AM89" s="65"/>
      <c r="AN89" s="65"/>
      <c r="AO89" s="65"/>
      <c r="AP89" s="65"/>
      <c r="AQ89" s="65"/>
      <c r="AR89" s="65"/>
      <c r="AS89" s="65"/>
      <c r="AT89" s="65"/>
      <c r="AU89" s="65"/>
      <c r="AV89" s="65"/>
      <c r="AW89" s="65"/>
      <c r="AX89" s="65"/>
      <c r="AY89" s="65"/>
      <c r="AZ89" s="65"/>
      <c r="BA89" s="65"/>
      <c r="BB89" s="65"/>
      <c r="BC89" s="65"/>
      <c r="BD89" s="65"/>
      <c r="BE89" s="65"/>
      <c r="BF89" s="65"/>
      <c r="BG89" s="65"/>
      <c r="BH89" s="65"/>
      <c r="BI89" s="65"/>
      <c r="BJ89" s="65"/>
      <c r="BK89" s="65"/>
      <c r="BL89" s="65"/>
      <c r="BM89" s="65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</row>
    <row r="90" spans="1:78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  <c r="Q90" s="65"/>
      <c r="R90" s="65"/>
      <c r="S90" s="65"/>
      <c r="T90" s="65"/>
      <c r="U90" s="65"/>
      <c r="V90" s="65"/>
      <c r="W90" s="65"/>
      <c r="X90" s="65"/>
      <c r="Y90" s="65"/>
      <c r="Z90" s="65"/>
      <c r="AA90" s="65"/>
      <c r="AB90" s="65"/>
      <c r="AC90" s="65"/>
      <c r="AD90" s="65"/>
      <c r="AE90" s="65"/>
      <c r="AF90" s="65"/>
      <c r="AG90" s="65"/>
      <c r="AH90" s="65"/>
      <c r="AI90" s="65"/>
      <c r="AJ90" s="65"/>
      <c r="AK90" s="65"/>
      <c r="AL90" s="65"/>
      <c r="AM90" s="65"/>
      <c r="AN90" s="65"/>
      <c r="AO90" s="65"/>
      <c r="AP90" s="65"/>
      <c r="AQ90" s="65"/>
      <c r="AR90" s="65"/>
      <c r="AS90" s="65"/>
      <c r="AT90" s="65"/>
      <c r="AU90" s="65"/>
      <c r="AV90" s="65"/>
      <c r="AW90" s="65"/>
      <c r="AX90" s="65"/>
      <c r="AY90" s="65"/>
      <c r="AZ90" s="65"/>
      <c r="BA90" s="65"/>
      <c r="BB90" s="65"/>
      <c r="BC90" s="65"/>
      <c r="BD90" s="65"/>
      <c r="BE90" s="65"/>
      <c r="BF90" s="65"/>
      <c r="BG90" s="65"/>
      <c r="BH90" s="65"/>
      <c r="BI90" s="65"/>
      <c r="BJ90" s="65"/>
      <c r="BK90" s="65"/>
      <c r="BL90" s="65"/>
      <c r="BM90" s="65"/>
      <c r="BN90" s="65"/>
      <c r="BO90" s="65"/>
      <c r="BP90" s="65"/>
      <c r="BQ90" s="65"/>
      <c r="BR90" s="65"/>
      <c r="BS90" s="65"/>
      <c r="BT90" s="65"/>
      <c r="BU90" s="65"/>
      <c r="BV90" s="65"/>
      <c r="BW90" s="65"/>
      <c r="BX90" s="65"/>
      <c r="BY90" s="65"/>
      <c r="BZ90" s="65"/>
    </row>
    <row r="91" spans="1:78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  <c r="Q91" s="65"/>
      <c r="R91" s="65"/>
      <c r="S91" s="65"/>
      <c r="T91" s="65"/>
      <c r="U91" s="65"/>
      <c r="V91" s="65"/>
      <c r="W91" s="65"/>
      <c r="X91" s="65"/>
      <c r="Y91" s="65"/>
      <c r="Z91" s="65"/>
      <c r="AA91" s="65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  <c r="BR91" s="65"/>
      <c r="BS91" s="65"/>
      <c r="BT91" s="65"/>
      <c r="BU91" s="65"/>
      <c r="BV91" s="65"/>
      <c r="BW91" s="65"/>
      <c r="BX91" s="65"/>
      <c r="BY91" s="65"/>
      <c r="BZ91" s="65"/>
    </row>
    <row r="92" spans="1:78">
      <c r="A92" s="65" t="s">
        <v>188</v>
      </c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  <c r="V92" s="65"/>
      <c r="W92" s="65"/>
      <c r="X92" s="65"/>
      <c r="Y92" s="65"/>
      <c r="Z92" s="65"/>
      <c r="AA92" s="65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  <c r="BR92" s="65"/>
      <c r="BS92" s="65"/>
      <c r="BT92" s="65"/>
      <c r="BU92" s="65"/>
      <c r="BV92" s="65"/>
      <c r="BW92" s="65"/>
      <c r="BX92" s="65"/>
      <c r="BY92" s="65"/>
      <c r="BZ92" s="65"/>
    </row>
    <row r="93" spans="1:78">
      <c r="A93" s="65" t="s">
        <v>189</v>
      </c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  <c r="Q93" s="65"/>
      <c r="R93" s="65"/>
      <c r="S93" s="65"/>
      <c r="T93" s="65"/>
      <c r="U93" s="65"/>
      <c r="V93" s="65"/>
      <c r="W93" s="65"/>
      <c r="X93" s="65"/>
      <c r="Y93" s="65"/>
      <c r="Z93" s="65"/>
      <c r="AA93" s="65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  <c r="BR93" s="65"/>
      <c r="BS93" s="65"/>
      <c r="BT93" s="65"/>
      <c r="BU93" s="65"/>
      <c r="BV93" s="65"/>
      <c r="BW93" s="65"/>
      <c r="BX93" s="65"/>
      <c r="BY93" s="65"/>
      <c r="BZ93" s="65"/>
    </row>
    <row r="94" spans="1:78">
      <c r="A94" s="65" t="s">
        <v>190</v>
      </c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  <c r="Y94" s="65"/>
      <c r="Z94" s="65"/>
      <c r="AA94" s="65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  <c r="BR94" s="65"/>
      <c r="BS94" s="65"/>
      <c r="BT94" s="65"/>
      <c r="BU94" s="65"/>
      <c r="BV94" s="65"/>
      <c r="BW94" s="65"/>
      <c r="BX94" s="65"/>
      <c r="BY94" s="65"/>
      <c r="BZ94" s="65"/>
    </row>
    <row r="95" spans="1:78">
      <c r="A95" s="66" t="s">
        <v>174</v>
      </c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5"/>
      <c r="X95" s="65"/>
      <c r="Y95" s="65"/>
      <c r="Z95" s="65"/>
      <c r="AA95" s="65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  <c r="BR95" s="65"/>
      <c r="BS95" s="65"/>
      <c r="BT95" s="65"/>
      <c r="BU95" s="65"/>
      <c r="BV95" s="65"/>
      <c r="BW95" s="65"/>
      <c r="BX95" s="65"/>
      <c r="BY95" s="65"/>
      <c r="BZ95" s="65"/>
    </row>
    <row r="96" spans="1:78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5"/>
      <c r="U96" s="65"/>
      <c r="V96" s="65"/>
      <c r="W96" s="65"/>
      <c r="X96" s="65"/>
      <c r="Y96" s="65"/>
      <c r="Z96" s="65"/>
      <c r="AA96" s="65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  <c r="BR96" s="65"/>
      <c r="BS96" s="65"/>
      <c r="BT96" s="65"/>
      <c r="BU96" s="65"/>
      <c r="BV96" s="65"/>
      <c r="BW96" s="65"/>
      <c r="BX96" s="65"/>
      <c r="BY96" s="65"/>
      <c r="BZ96" s="65"/>
    </row>
    <row r="97" spans="1:78"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5"/>
      <c r="U97" s="65"/>
      <c r="V97" s="65"/>
      <c r="W97" s="65"/>
      <c r="X97" s="65"/>
      <c r="Y97" s="65"/>
      <c r="Z97" s="65"/>
      <c r="AA97" s="65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  <c r="BR97" s="65"/>
      <c r="BS97" s="65"/>
      <c r="BT97" s="65"/>
      <c r="BU97" s="65"/>
      <c r="BV97" s="65"/>
      <c r="BW97" s="65"/>
      <c r="BX97" s="65"/>
      <c r="BY97" s="65"/>
      <c r="BZ97" s="65"/>
    </row>
    <row r="98" spans="1:78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  <c r="V98" s="65"/>
      <c r="W98" s="65"/>
      <c r="X98" s="65"/>
      <c r="Y98" s="65"/>
      <c r="Z98" s="65"/>
      <c r="AA98" s="65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  <c r="BR98" s="65"/>
      <c r="BS98" s="65"/>
      <c r="BT98" s="65"/>
      <c r="BU98" s="65"/>
      <c r="BV98" s="65"/>
      <c r="BW98" s="65"/>
      <c r="BX98" s="65"/>
      <c r="BY98" s="65"/>
      <c r="BZ98" s="65"/>
    </row>
    <row r="99" spans="1:78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  <c r="Q99" s="65"/>
      <c r="R99" s="65"/>
      <c r="S99" s="65"/>
      <c r="T99" s="65"/>
      <c r="U99" s="65"/>
      <c r="V99" s="65"/>
      <c r="W99" s="65"/>
      <c r="X99" s="65"/>
      <c r="Y99" s="65"/>
      <c r="Z99" s="65"/>
      <c r="AA99" s="65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  <c r="BR99" s="65"/>
      <c r="BS99" s="65"/>
      <c r="BT99" s="65"/>
      <c r="BU99" s="65"/>
      <c r="BV99" s="65"/>
      <c r="BW99" s="65"/>
      <c r="BX99" s="65"/>
      <c r="BY99" s="65"/>
      <c r="BZ99" s="65"/>
    </row>
    <row r="100" spans="1:78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5"/>
      <c r="U100" s="65"/>
      <c r="V100" s="65"/>
      <c r="W100" s="65"/>
      <c r="X100" s="65"/>
      <c r="Y100" s="65"/>
      <c r="Z100" s="65"/>
      <c r="AA100" s="65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  <c r="BR100" s="65"/>
      <c r="BS100" s="65"/>
      <c r="BT100" s="65"/>
      <c r="BU100" s="65"/>
      <c r="BV100" s="65"/>
      <c r="BW100" s="65"/>
      <c r="BX100" s="65"/>
      <c r="BY100" s="65"/>
      <c r="BZ100" s="65"/>
    </row>
    <row r="101" spans="1:78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5"/>
      <c r="X101" s="65"/>
      <c r="Y101" s="65"/>
      <c r="Z101" s="65"/>
      <c r="AA101" s="65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  <c r="BR101" s="65"/>
      <c r="BS101" s="65"/>
      <c r="BT101" s="65"/>
      <c r="BU101" s="65"/>
      <c r="BV101" s="65"/>
      <c r="BW101" s="65"/>
      <c r="BX101" s="65"/>
      <c r="BY101" s="65"/>
      <c r="BZ101" s="65"/>
    </row>
    <row r="102" spans="1:78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  <c r="BR102" s="65"/>
      <c r="BS102" s="65"/>
      <c r="BT102" s="65"/>
      <c r="BU102" s="65"/>
      <c r="BV102" s="65"/>
      <c r="BW102" s="65"/>
      <c r="BX102" s="65"/>
      <c r="BY102" s="65"/>
      <c r="BZ102" s="65"/>
    </row>
    <row r="103" spans="1:78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  <c r="Q103" s="65"/>
      <c r="R103" s="65"/>
      <c r="S103" s="65"/>
      <c r="T103" s="65"/>
      <c r="U103" s="65"/>
      <c r="V103" s="65"/>
      <c r="W103" s="65"/>
      <c r="X103" s="65"/>
      <c r="Y103" s="65"/>
      <c r="Z103" s="65"/>
      <c r="AA103" s="65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  <c r="BR103" s="65"/>
      <c r="BS103" s="65"/>
      <c r="BT103" s="65"/>
      <c r="BU103" s="65"/>
      <c r="BV103" s="65"/>
      <c r="BW103" s="65"/>
      <c r="BX103" s="65"/>
      <c r="BY103" s="65"/>
      <c r="BZ103" s="65"/>
    </row>
    <row r="104" spans="1:78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  <c r="BR104" s="65"/>
      <c r="BS104" s="65"/>
      <c r="BT104" s="65"/>
      <c r="BU104" s="65"/>
      <c r="BV104" s="65"/>
      <c r="BW104" s="65"/>
      <c r="BX104" s="65"/>
      <c r="BY104" s="65"/>
      <c r="BZ104" s="65"/>
    </row>
    <row r="105" spans="1:78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5"/>
      <c r="U105" s="65"/>
      <c r="V105" s="65"/>
      <c r="W105" s="65"/>
      <c r="X105" s="65"/>
      <c r="Y105" s="65"/>
      <c r="Z105" s="65"/>
      <c r="AA105" s="65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  <c r="BR105" s="65"/>
      <c r="BS105" s="65"/>
      <c r="BT105" s="65"/>
      <c r="BU105" s="65"/>
      <c r="BV105" s="65"/>
      <c r="BW105" s="65"/>
      <c r="BX105" s="65"/>
      <c r="BY105" s="65"/>
      <c r="BZ105" s="65"/>
    </row>
    <row r="106" spans="1:78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  <c r="N106" s="65"/>
      <c r="O106" s="65"/>
      <c r="P106" s="65"/>
      <c r="Q106" s="65"/>
      <c r="R106" s="65"/>
      <c r="S106" s="65"/>
      <c r="T106" s="65"/>
      <c r="U106" s="65"/>
      <c r="V106" s="65"/>
      <c r="W106" s="65"/>
      <c r="X106" s="65"/>
      <c r="Y106" s="65"/>
      <c r="Z106" s="65"/>
      <c r="AA106" s="65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  <c r="BR106" s="65"/>
      <c r="BS106" s="65"/>
      <c r="BT106" s="65"/>
      <c r="BU106" s="65"/>
      <c r="BV106" s="65"/>
      <c r="BW106" s="65"/>
      <c r="BX106" s="65"/>
      <c r="BY106" s="65"/>
      <c r="BZ106" s="65"/>
    </row>
    <row r="107" spans="1:78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  <c r="Y107" s="65"/>
      <c r="Z107" s="65"/>
      <c r="AA107" s="65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  <c r="BR107" s="65"/>
      <c r="BS107" s="65"/>
      <c r="BT107" s="65"/>
      <c r="BU107" s="65"/>
      <c r="BV107" s="65"/>
      <c r="BW107" s="65"/>
      <c r="BX107" s="65"/>
      <c r="BY107" s="65"/>
      <c r="BZ107" s="65"/>
    </row>
    <row r="108" spans="1:78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  <c r="N108" s="65"/>
      <c r="O108" s="65"/>
      <c r="P108" s="65"/>
      <c r="Q108" s="65"/>
      <c r="R108" s="65"/>
      <c r="S108" s="65"/>
      <c r="T108" s="65"/>
      <c r="U108" s="65"/>
      <c r="V108" s="65"/>
      <c r="W108" s="65"/>
      <c r="X108" s="65"/>
      <c r="Y108" s="65"/>
      <c r="Z108" s="65"/>
      <c r="AA108" s="65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  <c r="BR108" s="65"/>
      <c r="BS108" s="65"/>
      <c r="BT108" s="65"/>
      <c r="BU108" s="65"/>
      <c r="BV108" s="65"/>
      <c r="BW108" s="65"/>
      <c r="BX108" s="65"/>
      <c r="BY108" s="65"/>
      <c r="BZ108" s="65"/>
    </row>
    <row r="109" spans="1:78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  <c r="N109" s="65"/>
      <c r="O109" s="65"/>
      <c r="P109" s="65"/>
      <c r="Q109" s="65"/>
      <c r="R109" s="65"/>
      <c r="S109" s="65"/>
      <c r="T109" s="65"/>
      <c r="U109" s="65"/>
      <c r="V109" s="65"/>
      <c r="W109" s="65"/>
      <c r="X109" s="65"/>
      <c r="Y109" s="65"/>
      <c r="Z109" s="65"/>
      <c r="AA109" s="65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  <c r="BR109" s="65"/>
      <c r="BS109" s="65"/>
      <c r="BT109" s="65"/>
      <c r="BU109" s="65"/>
      <c r="BV109" s="65"/>
      <c r="BW109" s="65"/>
      <c r="BX109" s="65"/>
      <c r="BY109" s="65"/>
      <c r="BZ109" s="65"/>
    </row>
    <row r="110" spans="1:78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  <c r="V110" s="65"/>
      <c r="W110" s="65"/>
      <c r="X110" s="65"/>
      <c r="Y110" s="65"/>
      <c r="Z110" s="65"/>
      <c r="AA110" s="65"/>
      <c r="AB110" s="65"/>
      <c r="AC110" s="65"/>
      <c r="AD110" s="65"/>
      <c r="AE110" s="65"/>
      <c r="AF110" s="65"/>
      <c r="AG110" s="65"/>
      <c r="AH110" s="65"/>
      <c r="AI110" s="65"/>
      <c r="AJ110" s="65"/>
      <c r="AK110" s="65"/>
      <c r="AL110" s="65"/>
      <c r="AM110" s="65"/>
      <c r="AN110" s="65"/>
      <c r="AO110" s="65"/>
      <c r="AP110" s="65"/>
      <c r="AQ110" s="65"/>
      <c r="AR110" s="65"/>
      <c r="AS110" s="65"/>
      <c r="AT110" s="65"/>
      <c r="AU110" s="65"/>
      <c r="AV110" s="65"/>
      <c r="AW110" s="65"/>
      <c r="AX110" s="65"/>
      <c r="AY110" s="65"/>
      <c r="AZ110" s="65"/>
      <c r="BA110" s="65"/>
      <c r="BB110" s="65"/>
      <c r="BC110" s="65"/>
      <c r="BD110" s="65"/>
      <c r="BE110" s="65"/>
      <c r="BF110" s="65"/>
      <c r="BG110" s="65"/>
      <c r="BH110" s="65"/>
      <c r="BI110" s="65"/>
      <c r="BJ110" s="65"/>
      <c r="BK110" s="65"/>
      <c r="BL110" s="65"/>
      <c r="BM110" s="65"/>
      <c r="BN110" s="65"/>
      <c r="BO110" s="65"/>
      <c r="BP110" s="65"/>
      <c r="BQ110" s="65"/>
      <c r="BR110" s="65"/>
      <c r="BS110" s="65"/>
      <c r="BT110" s="65"/>
      <c r="BU110" s="65"/>
      <c r="BV110" s="65"/>
      <c r="BW110" s="65"/>
      <c r="BX110" s="65"/>
      <c r="BY110" s="65"/>
      <c r="BZ110" s="65"/>
    </row>
    <row r="111" spans="1:78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5"/>
      <c r="U111" s="65"/>
      <c r="V111" s="65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  <c r="AP111" s="65"/>
      <c r="AQ111" s="65"/>
      <c r="AR111" s="65"/>
      <c r="AS111" s="65"/>
      <c r="AT111" s="65"/>
      <c r="AU111" s="65"/>
      <c r="AV111" s="65"/>
      <c r="AW111" s="65"/>
      <c r="AX111" s="65"/>
      <c r="AY111" s="65"/>
      <c r="AZ111" s="65"/>
      <c r="BA111" s="65"/>
      <c r="BB111" s="65"/>
      <c r="BC111" s="65"/>
      <c r="BD111" s="65"/>
      <c r="BE111" s="65"/>
      <c r="BF111" s="65"/>
      <c r="BG111" s="65"/>
      <c r="BH111" s="65"/>
      <c r="BI111" s="65"/>
      <c r="BJ111" s="65"/>
      <c r="BK111" s="65"/>
      <c r="BL111" s="65"/>
      <c r="BM111" s="65"/>
      <c r="BN111" s="65"/>
      <c r="BO111" s="65"/>
      <c r="BP111" s="65"/>
      <c r="BQ111" s="65"/>
      <c r="BR111" s="65"/>
      <c r="BS111" s="65"/>
      <c r="BT111" s="65"/>
      <c r="BU111" s="65"/>
      <c r="BV111" s="65"/>
      <c r="BW111" s="65"/>
      <c r="BX111" s="65"/>
      <c r="BY111" s="65"/>
      <c r="BZ111" s="65"/>
    </row>
    <row r="112" spans="1:78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  <c r="N112" s="65"/>
      <c r="O112" s="65"/>
      <c r="P112" s="65"/>
      <c r="Q112" s="65"/>
      <c r="R112" s="65"/>
      <c r="S112" s="65"/>
      <c r="T112" s="65"/>
      <c r="U112" s="65"/>
      <c r="V112" s="65"/>
      <c r="W112" s="65"/>
      <c r="X112" s="65"/>
      <c r="Y112" s="65"/>
      <c r="Z112" s="65"/>
      <c r="AA112" s="65"/>
      <c r="AB112" s="65"/>
      <c r="AC112" s="65"/>
      <c r="AD112" s="65"/>
      <c r="AE112" s="65"/>
      <c r="AF112" s="65"/>
      <c r="AG112" s="65"/>
      <c r="AH112" s="65"/>
      <c r="AI112" s="65"/>
      <c r="AJ112" s="65"/>
      <c r="AK112" s="65"/>
      <c r="AL112" s="65"/>
      <c r="AM112" s="65"/>
      <c r="AN112" s="65"/>
      <c r="AO112" s="65"/>
      <c r="AP112" s="65"/>
      <c r="AQ112" s="65"/>
      <c r="AR112" s="65"/>
      <c r="AS112" s="65"/>
      <c r="AT112" s="65"/>
      <c r="AU112" s="65"/>
      <c r="AV112" s="65"/>
      <c r="AW112" s="65"/>
      <c r="AX112" s="65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</row>
    <row r="113" spans="1:78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  <c r="V113" s="65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  <c r="AP113" s="65"/>
      <c r="AQ113" s="65"/>
      <c r="AR113" s="65"/>
      <c r="AS113" s="65"/>
      <c r="AT113" s="65"/>
      <c r="AU113" s="65"/>
      <c r="AV113" s="65"/>
      <c r="AW113" s="65"/>
      <c r="AX113" s="65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</row>
    <row r="114" spans="1:78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  <c r="N114" s="65"/>
      <c r="O114" s="65"/>
      <c r="P114" s="65"/>
      <c r="Q114" s="65"/>
      <c r="R114" s="65"/>
      <c r="S114" s="65"/>
      <c r="T114" s="65"/>
      <c r="U114" s="65"/>
      <c r="V114" s="65"/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</row>
    <row r="115" spans="1:78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5"/>
      <c r="U115" s="65"/>
      <c r="V115" s="65"/>
      <c r="W115" s="65"/>
      <c r="X115" s="65"/>
      <c r="Y115" s="65"/>
      <c r="Z115" s="65"/>
      <c r="AA115" s="65"/>
      <c r="AB115" s="65"/>
      <c r="AC115" s="65"/>
      <c r="AD115" s="65"/>
      <c r="AE115" s="65"/>
      <c r="AF115" s="65"/>
      <c r="AG115" s="65"/>
      <c r="AH115" s="65"/>
      <c r="AI115" s="65"/>
      <c r="AJ115" s="65"/>
      <c r="AK115" s="65"/>
      <c r="AL115" s="65"/>
      <c r="AM115" s="65"/>
      <c r="AN115" s="65"/>
      <c r="AO115" s="65"/>
      <c r="AP115" s="65"/>
      <c r="AQ115" s="65"/>
      <c r="AR115" s="65"/>
      <c r="AS115" s="65"/>
      <c r="AT115" s="65"/>
      <c r="AU115" s="65"/>
      <c r="AV115" s="65"/>
      <c r="AW115" s="65"/>
      <c r="AX115" s="65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</row>
    <row r="116" spans="1:78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  <c r="V116" s="65"/>
      <c r="W116" s="65"/>
      <c r="X116" s="65"/>
      <c r="Y116" s="65"/>
      <c r="Z116" s="65"/>
      <c r="AA116" s="65"/>
      <c r="AB116" s="65"/>
      <c r="AC116" s="65"/>
      <c r="AD116" s="65"/>
      <c r="AE116" s="65"/>
      <c r="AF116" s="65"/>
      <c r="AG116" s="65"/>
      <c r="AH116" s="65"/>
      <c r="AI116" s="65"/>
      <c r="AJ116" s="65"/>
      <c r="AK116" s="65"/>
      <c r="AL116" s="65"/>
      <c r="AM116" s="65"/>
      <c r="AN116" s="65"/>
      <c r="AO116" s="65"/>
      <c r="AP116" s="65"/>
      <c r="AQ116" s="65"/>
      <c r="AR116" s="65"/>
      <c r="AS116" s="65"/>
      <c r="AT116" s="65"/>
      <c r="AU116" s="65"/>
      <c r="AV116" s="65"/>
      <c r="AW116" s="65"/>
      <c r="AX116" s="65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</row>
    <row r="117" spans="1:78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  <c r="N117" s="65"/>
      <c r="O117" s="65"/>
      <c r="P117" s="65"/>
      <c r="Q117" s="65"/>
      <c r="R117" s="65"/>
      <c r="S117" s="65"/>
      <c r="T117" s="65"/>
      <c r="U117" s="65"/>
      <c r="V117" s="65"/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  <c r="AP117" s="65"/>
      <c r="AQ117" s="65"/>
      <c r="AR117" s="65"/>
      <c r="AS117" s="65"/>
      <c r="AT117" s="65"/>
      <c r="AU117" s="65"/>
      <c r="AV117" s="65"/>
      <c r="AW117" s="65"/>
      <c r="AX117" s="65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</row>
    <row r="118" spans="1:78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  <c r="N118" s="65"/>
      <c r="O118" s="65"/>
      <c r="P118" s="65"/>
      <c r="Q118" s="65"/>
      <c r="R118" s="65"/>
      <c r="S118" s="65"/>
      <c r="T118" s="65"/>
      <c r="U118" s="65"/>
      <c r="V118" s="65"/>
      <c r="W118" s="65"/>
      <c r="X118" s="65"/>
      <c r="Y118" s="65"/>
      <c r="Z118" s="65"/>
      <c r="AA118" s="65"/>
      <c r="AB118" s="65"/>
      <c r="AC118" s="65"/>
      <c r="AD118" s="65"/>
      <c r="AE118" s="65"/>
      <c r="AF118" s="65"/>
      <c r="AG118" s="65"/>
      <c r="AH118" s="65"/>
      <c r="AI118" s="65"/>
      <c r="AJ118" s="65"/>
      <c r="AK118" s="65"/>
      <c r="AL118" s="65"/>
      <c r="AM118" s="65"/>
      <c r="AN118" s="65"/>
      <c r="AO118" s="65"/>
      <c r="AP118" s="65"/>
      <c r="AQ118" s="65"/>
      <c r="AR118" s="65"/>
      <c r="AS118" s="65"/>
      <c r="AT118" s="65"/>
      <c r="AU118" s="65"/>
      <c r="AV118" s="65"/>
      <c r="AW118" s="65"/>
      <c r="AX118" s="65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</row>
    <row r="119" spans="1:78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  <c r="V119" s="65"/>
      <c r="W119" s="65"/>
      <c r="X119" s="65"/>
      <c r="Y119" s="65"/>
      <c r="Z119" s="65"/>
      <c r="AA119" s="65"/>
      <c r="AB119" s="65"/>
      <c r="AC119" s="65"/>
      <c r="AD119" s="65"/>
      <c r="AE119" s="65"/>
      <c r="AF119" s="65"/>
      <c r="AG119" s="65"/>
      <c r="AH119" s="65"/>
      <c r="AI119" s="65"/>
      <c r="AJ119" s="65"/>
      <c r="AK119" s="65"/>
      <c r="AL119" s="65"/>
      <c r="AM119" s="65"/>
      <c r="AN119" s="65"/>
      <c r="AO119" s="65"/>
      <c r="AP119" s="65"/>
      <c r="AQ119" s="65"/>
      <c r="AR119" s="65"/>
      <c r="AS119" s="65"/>
      <c r="AT119" s="65"/>
      <c r="AU119" s="65"/>
      <c r="AV119" s="65"/>
      <c r="AW119" s="65"/>
      <c r="AX119" s="65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</row>
    <row r="120" spans="1:78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  <c r="Y120" s="65"/>
      <c r="Z120" s="65"/>
      <c r="AA120" s="65"/>
      <c r="AB120" s="65"/>
      <c r="AC120" s="65"/>
      <c r="AD120" s="65"/>
      <c r="AE120" s="65"/>
      <c r="AF120" s="65"/>
      <c r="AG120" s="65"/>
      <c r="AH120" s="65"/>
      <c r="AI120" s="65"/>
      <c r="AJ120" s="65"/>
      <c r="AK120" s="65"/>
      <c r="AL120" s="65"/>
      <c r="AM120" s="65"/>
      <c r="AN120" s="65"/>
      <c r="AO120" s="65"/>
      <c r="AP120" s="65"/>
      <c r="AQ120" s="65"/>
      <c r="AR120" s="65"/>
      <c r="AS120" s="65"/>
      <c r="AT120" s="65"/>
      <c r="AU120" s="65"/>
      <c r="AV120" s="65"/>
      <c r="AW120" s="65"/>
      <c r="AX120" s="65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</row>
    <row r="121" spans="1:78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5"/>
      <c r="U121" s="65"/>
      <c r="V121" s="65"/>
      <c r="W121" s="65"/>
      <c r="X121" s="65"/>
      <c r="Y121" s="65"/>
      <c r="Z121" s="65"/>
      <c r="AA121" s="65"/>
      <c r="AB121" s="65"/>
      <c r="AC121" s="65"/>
      <c r="AD121" s="65"/>
      <c r="AE121" s="65"/>
      <c r="AF121" s="65"/>
      <c r="AG121" s="65"/>
      <c r="AH121" s="65"/>
      <c r="AI121" s="65"/>
      <c r="AJ121" s="65"/>
      <c r="AK121" s="65"/>
      <c r="AL121" s="65"/>
      <c r="AM121" s="65"/>
      <c r="AN121" s="65"/>
      <c r="AO121" s="65"/>
      <c r="AP121" s="65"/>
      <c r="AQ121" s="65"/>
      <c r="AR121" s="65"/>
      <c r="AS121" s="65"/>
      <c r="AT121" s="65"/>
      <c r="AU121" s="65"/>
      <c r="AV121" s="65"/>
      <c r="AW121" s="65"/>
      <c r="AX121" s="65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</row>
    <row r="122" spans="1:78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  <c r="V122" s="65"/>
      <c r="W122" s="65"/>
      <c r="X122" s="65"/>
      <c r="Y122" s="65"/>
      <c r="Z122" s="65"/>
      <c r="AA122" s="65"/>
      <c r="AB122" s="65"/>
      <c r="AC122" s="65"/>
      <c r="AD122" s="65"/>
      <c r="AE122" s="65"/>
      <c r="AF122" s="65"/>
      <c r="AG122" s="65"/>
      <c r="AH122" s="65"/>
      <c r="AI122" s="65"/>
      <c r="AJ122" s="65"/>
      <c r="AK122" s="65"/>
      <c r="AL122" s="65"/>
      <c r="AM122" s="65"/>
      <c r="AN122" s="65"/>
      <c r="AO122" s="65"/>
      <c r="AP122" s="65"/>
      <c r="AQ122" s="65"/>
      <c r="AR122" s="65"/>
      <c r="AS122" s="65"/>
      <c r="AT122" s="65"/>
      <c r="AU122" s="65"/>
      <c r="AV122" s="65"/>
      <c r="AW122" s="65"/>
      <c r="AX122" s="65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</row>
    <row r="123" spans="1:78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  <c r="N123" s="65"/>
      <c r="O123" s="65"/>
      <c r="P123" s="65"/>
      <c r="Q123" s="65"/>
      <c r="R123" s="65"/>
      <c r="S123" s="65"/>
      <c r="T123" s="65"/>
      <c r="U123" s="65"/>
      <c r="V123" s="65"/>
      <c r="W123" s="65"/>
      <c r="X123" s="65"/>
      <c r="Y123" s="65"/>
      <c r="Z123" s="65"/>
      <c r="AA123" s="65"/>
      <c r="AB123" s="65"/>
      <c r="AC123" s="65"/>
      <c r="AD123" s="65"/>
      <c r="AE123" s="65"/>
      <c r="AF123" s="65"/>
      <c r="AG123" s="65"/>
      <c r="AH123" s="65"/>
      <c r="AI123" s="65"/>
      <c r="AJ123" s="65"/>
      <c r="AK123" s="65"/>
      <c r="AL123" s="65"/>
      <c r="AM123" s="65"/>
      <c r="AN123" s="65"/>
      <c r="AO123" s="65"/>
      <c r="AP123" s="65"/>
      <c r="AQ123" s="65"/>
      <c r="AR123" s="65"/>
      <c r="AS123" s="65"/>
      <c r="AT123" s="65"/>
      <c r="AU123" s="65"/>
      <c r="AV123" s="65"/>
      <c r="AW123" s="65"/>
      <c r="AX123" s="65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</row>
    <row r="124" spans="1:78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  <c r="N124" s="65"/>
      <c r="O124" s="65"/>
      <c r="P124" s="65"/>
      <c r="Q124" s="65"/>
      <c r="R124" s="65"/>
      <c r="S124" s="65"/>
      <c r="T124" s="65"/>
      <c r="U124" s="65"/>
      <c r="V124" s="65"/>
      <c r="W124" s="65"/>
      <c r="X124" s="65"/>
      <c r="Y124" s="65"/>
      <c r="Z124" s="65"/>
      <c r="AA124" s="65"/>
      <c r="AB124" s="65"/>
      <c r="AC124" s="65"/>
      <c r="AD124" s="65"/>
      <c r="AE124" s="65"/>
      <c r="AF124" s="65"/>
      <c r="AG124" s="65"/>
      <c r="AH124" s="65"/>
      <c r="AI124" s="65"/>
      <c r="AJ124" s="65"/>
      <c r="AK124" s="65"/>
      <c r="AL124" s="65"/>
      <c r="AM124" s="65"/>
      <c r="AN124" s="65"/>
      <c r="AO124" s="65"/>
      <c r="AP124" s="65"/>
      <c r="AQ124" s="65"/>
      <c r="AR124" s="65"/>
      <c r="AS124" s="65"/>
      <c r="AT124" s="65"/>
      <c r="AU124" s="65"/>
      <c r="AV124" s="65"/>
      <c r="AW124" s="65"/>
      <c r="AX124" s="65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</row>
    <row r="125" spans="1:78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  <c r="V125" s="65"/>
      <c r="W125" s="65"/>
      <c r="X125" s="65"/>
      <c r="Y125" s="65"/>
      <c r="Z125" s="65"/>
      <c r="AA125" s="65"/>
      <c r="AB125" s="65"/>
      <c r="AC125" s="65"/>
      <c r="AD125" s="65"/>
      <c r="AE125" s="65"/>
      <c r="AF125" s="65"/>
      <c r="AG125" s="65"/>
      <c r="AH125" s="65"/>
      <c r="AI125" s="65"/>
      <c r="AJ125" s="65"/>
      <c r="AK125" s="65"/>
      <c r="AL125" s="65"/>
      <c r="AM125" s="65"/>
      <c r="AN125" s="65"/>
      <c r="AO125" s="65"/>
      <c r="AP125" s="65"/>
      <c r="AQ125" s="65"/>
      <c r="AR125" s="65"/>
      <c r="AS125" s="65"/>
      <c r="AT125" s="65"/>
      <c r="AU125" s="65"/>
      <c r="AV125" s="65"/>
      <c r="AW125" s="65"/>
      <c r="AX125" s="65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</row>
    <row r="126" spans="1:78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  <c r="N126" s="65"/>
      <c r="O126" s="65"/>
      <c r="P126" s="65"/>
      <c r="Q126" s="65"/>
      <c r="R126" s="65"/>
      <c r="S126" s="65"/>
      <c r="T126" s="65"/>
      <c r="U126" s="65"/>
      <c r="V126" s="65"/>
      <c r="W126" s="65"/>
      <c r="X126" s="65"/>
      <c r="Y126" s="65"/>
      <c r="Z126" s="65"/>
      <c r="AA126" s="65"/>
      <c r="AB126" s="65"/>
      <c r="AC126" s="65"/>
      <c r="AD126" s="65"/>
      <c r="AE126" s="65"/>
      <c r="AF126" s="65"/>
      <c r="AG126" s="65"/>
      <c r="AH126" s="65"/>
      <c r="AI126" s="65"/>
      <c r="AJ126" s="65"/>
      <c r="AK126" s="65"/>
      <c r="AL126" s="65"/>
      <c r="AM126" s="65"/>
      <c r="AN126" s="65"/>
      <c r="AO126" s="65"/>
      <c r="AP126" s="65"/>
      <c r="AQ126" s="65"/>
      <c r="AR126" s="65"/>
      <c r="AS126" s="65"/>
      <c r="AT126" s="65"/>
      <c r="AU126" s="65"/>
      <c r="AV126" s="65"/>
      <c r="AW126" s="65"/>
      <c r="AX126" s="65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</row>
    <row r="127" spans="1:78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5"/>
      <c r="U127" s="65"/>
      <c r="V127" s="65"/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  <c r="AP127" s="65"/>
      <c r="AQ127" s="65"/>
      <c r="AR127" s="65"/>
      <c r="AS127" s="65"/>
      <c r="AT127" s="65"/>
      <c r="AU127" s="65"/>
      <c r="AV127" s="65"/>
      <c r="AW127" s="65"/>
      <c r="AX127" s="65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</row>
    <row r="128" spans="1:78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  <c r="V128" s="65"/>
      <c r="W128" s="65"/>
      <c r="X128" s="65"/>
      <c r="Y128" s="65"/>
      <c r="Z128" s="65"/>
      <c r="AA128" s="65"/>
      <c r="AB128" s="65"/>
      <c r="AC128" s="65"/>
      <c r="AD128" s="65"/>
      <c r="AE128" s="65"/>
      <c r="AF128" s="65"/>
      <c r="AG128" s="65"/>
      <c r="AH128" s="65"/>
      <c r="AI128" s="65"/>
      <c r="AJ128" s="65"/>
      <c r="AK128" s="65"/>
      <c r="AL128" s="65"/>
      <c r="AM128" s="65"/>
      <c r="AN128" s="65"/>
      <c r="AO128" s="65"/>
      <c r="AP128" s="65"/>
      <c r="AQ128" s="65"/>
      <c r="AR128" s="65"/>
      <c r="AS128" s="65"/>
      <c r="AT128" s="65"/>
      <c r="AU128" s="65"/>
      <c r="AV128" s="65"/>
      <c r="AW128" s="65"/>
      <c r="AX128" s="65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</row>
    <row r="129" spans="1:78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5"/>
      <c r="W129" s="65"/>
      <c r="X129" s="65"/>
      <c r="Y129" s="65"/>
      <c r="Z129" s="65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</row>
    <row r="130" spans="1:78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  <c r="N130" s="65"/>
      <c r="O130" s="65"/>
      <c r="P130" s="65"/>
      <c r="Q130" s="65"/>
      <c r="R130" s="65"/>
      <c r="S130" s="65"/>
      <c r="T130" s="65"/>
      <c r="U130" s="65"/>
      <c r="V130" s="65"/>
      <c r="W130" s="65"/>
      <c r="X130" s="65"/>
      <c r="Y130" s="65"/>
      <c r="Z130" s="65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</row>
    <row r="131" spans="1:78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5"/>
      <c r="W131" s="65"/>
      <c r="X131" s="65"/>
      <c r="Y131" s="65"/>
      <c r="Z131" s="65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</row>
    <row r="132" spans="1:78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  <c r="N132" s="65"/>
      <c r="O132" s="65"/>
      <c r="P132" s="65"/>
      <c r="Q132" s="65"/>
      <c r="R132" s="65"/>
      <c r="S132" s="65"/>
      <c r="T132" s="65"/>
      <c r="U132" s="65"/>
      <c r="V132" s="65"/>
      <c r="W132" s="65"/>
      <c r="X132" s="65"/>
      <c r="Y132" s="65"/>
      <c r="Z132" s="65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</row>
    <row r="133" spans="1:78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5"/>
      <c r="U133" s="65"/>
      <c r="V133" s="65"/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</row>
    <row r="134" spans="1:78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  <c r="V134" s="65"/>
      <c r="W134" s="65"/>
      <c r="X134" s="65"/>
      <c r="Y134" s="65"/>
      <c r="Z134" s="65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</row>
    <row r="135" spans="1:78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5"/>
      <c r="U135" s="65"/>
      <c r="V135" s="65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</row>
    <row r="136" spans="1:78">
      <c r="A136" s="65" t="s">
        <v>196</v>
      </c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  <c r="N136" s="65"/>
      <c r="O136" s="65"/>
      <c r="P136" s="65"/>
      <c r="Q136" s="65"/>
      <c r="R136" s="65"/>
      <c r="S136" s="65"/>
      <c r="T136" s="65"/>
      <c r="U136" s="65"/>
      <c r="V136" s="65"/>
      <c r="W136" s="65"/>
      <c r="X136" s="65"/>
      <c r="Y136" s="65"/>
      <c r="Z136" s="65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</row>
    <row r="137" spans="1:78">
      <c r="A137" s="66" t="s">
        <v>191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5"/>
      <c r="W137" s="65"/>
      <c r="X137" s="65"/>
      <c r="Y137" s="65"/>
      <c r="Z137" s="65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</row>
    <row r="138" spans="1:78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  <c r="N138" s="65"/>
      <c r="O138" s="65"/>
      <c r="P138" s="65"/>
      <c r="Q138" s="65"/>
      <c r="R138" s="65"/>
      <c r="S138" s="65"/>
      <c r="T138" s="65"/>
      <c r="U138" s="65"/>
      <c r="V138" s="65"/>
      <c r="W138" s="65"/>
      <c r="X138" s="65"/>
      <c r="Y138" s="65"/>
      <c r="Z138" s="65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</row>
    <row r="139" spans="1:78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5"/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</row>
    <row r="140" spans="1:78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  <c r="V140" s="65"/>
      <c r="W140" s="65"/>
      <c r="X140" s="65"/>
      <c r="Y140" s="65"/>
      <c r="Z140" s="65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</row>
    <row r="141" spans="1:78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5"/>
      <c r="U141" s="65"/>
      <c r="V141" s="65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</row>
    <row r="142" spans="1:78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  <c r="N142" s="65"/>
      <c r="O142" s="65"/>
      <c r="P142" s="65"/>
      <c r="Q142" s="65"/>
      <c r="R142" s="65"/>
      <c r="S142" s="65"/>
      <c r="T142" s="65"/>
      <c r="U142" s="65"/>
      <c r="V142" s="65"/>
      <c r="W142" s="65"/>
      <c r="X142" s="65"/>
      <c r="Y142" s="65"/>
      <c r="Z142" s="65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</row>
    <row r="143" spans="1:78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5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</row>
    <row r="144" spans="1:78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  <c r="N144" s="65"/>
      <c r="O144" s="65"/>
      <c r="P144" s="65"/>
      <c r="Q144" s="65"/>
      <c r="R144" s="65"/>
      <c r="S144" s="65"/>
      <c r="T144" s="65"/>
      <c r="U144" s="65"/>
      <c r="V144" s="65"/>
      <c r="W144" s="65"/>
      <c r="X144" s="65"/>
      <c r="Y144" s="65"/>
      <c r="Z144" s="65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</row>
    <row r="145" spans="1:78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5"/>
      <c r="W145" s="65"/>
      <c r="X145" s="65"/>
      <c r="Y145" s="65"/>
      <c r="Z145" s="65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</row>
    <row r="146" spans="1:78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  <c r="V146" s="65"/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</row>
    <row r="147" spans="1:78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5"/>
      <c r="W147" s="65"/>
      <c r="X147" s="65"/>
      <c r="Y147" s="65"/>
      <c r="Z147" s="65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</row>
    <row r="148" spans="1:78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  <c r="N148" s="65"/>
      <c r="O148" s="65"/>
      <c r="P148" s="65"/>
      <c r="Q148" s="65"/>
      <c r="R148" s="65"/>
      <c r="S148" s="65"/>
      <c r="T148" s="65"/>
      <c r="U148" s="65"/>
      <c r="V148" s="65"/>
      <c r="W148" s="65"/>
      <c r="X148" s="65"/>
      <c r="Y148" s="65"/>
      <c r="Z148" s="65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</row>
    <row r="149" spans="1:78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  <c r="V149" s="65"/>
      <c r="W149" s="65"/>
      <c r="X149" s="65"/>
      <c r="Y149" s="65"/>
      <c r="Z149" s="65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</row>
    <row r="150" spans="1:78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5"/>
      <c r="W150" s="65"/>
      <c r="X150" s="65"/>
      <c r="Y150" s="65"/>
      <c r="Z150" s="65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</row>
    <row r="151" spans="1:78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5"/>
      <c r="W151" s="65"/>
      <c r="X151" s="65"/>
      <c r="Y151" s="65"/>
      <c r="Z151" s="65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</row>
    <row r="152" spans="1:78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  <c r="V152" s="65"/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</row>
    <row r="153" spans="1:78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  <c r="N153" s="65"/>
      <c r="O153" s="65"/>
      <c r="P153" s="65"/>
      <c r="Q153" s="65"/>
      <c r="R153" s="65"/>
      <c r="S153" s="65"/>
      <c r="T153" s="65"/>
      <c r="U153" s="65"/>
      <c r="V153" s="65"/>
      <c r="W153" s="65"/>
      <c r="X153" s="65"/>
      <c r="Y153" s="65"/>
      <c r="Z153" s="65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</row>
    <row r="154" spans="1:78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5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</row>
    <row r="155" spans="1:78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  <c r="V155" s="65"/>
      <c r="W155" s="65"/>
      <c r="X155" s="65"/>
      <c r="Y155" s="65"/>
      <c r="Z155" s="65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</row>
    <row r="156" spans="1:78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  <c r="N156" s="65"/>
      <c r="O156" s="65"/>
      <c r="P156" s="65"/>
      <c r="Q156" s="65"/>
      <c r="R156" s="65"/>
      <c r="S156" s="65"/>
      <c r="T156" s="65"/>
      <c r="U156" s="65"/>
      <c r="V156" s="65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</row>
    <row r="157" spans="1:78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5"/>
      <c r="U157" s="65"/>
      <c r="V157" s="65"/>
      <c r="W157" s="65"/>
      <c r="X157" s="65"/>
      <c r="Y157" s="65"/>
      <c r="Z157" s="65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</row>
    <row r="158" spans="1:78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  <c r="V158" s="65"/>
      <c r="W158" s="65"/>
      <c r="X158" s="65"/>
      <c r="Y158" s="65"/>
      <c r="Z158" s="65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</row>
    <row r="159" spans="1:78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  <c r="N159" s="65"/>
      <c r="O159" s="65"/>
      <c r="P159" s="65"/>
      <c r="Q159" s="65"/>
      <c r="R159" s="65"/>
      <c r="S159" s="65"/>
      <c r="T159" s="65"/>
      <c r="U159" s="65"/>
      <c r="V159" s="65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</row>
    <row r="160" spans="1:78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  <c r="N160" s="65"/>
      <c r="O160" s="65"/>
      <c r="P160" s="65"/>
      <c r="Q160" s="65"/>
      <c r="R160" s="65"/>
      <c r="S160" s="65"/>
      <c r="T160" s="65"/>
      <c r="U160" s="65"/>
      <c r="V160" s="65"/>
      <c r="W160" s="65"/>
      <c r="X160" s="65"/>
      <c r="Y160" s="65"/>
      <c r="Z160" s="65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</row>
    <row r="161" spans="1:78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5"/>
      <c r="W161" s="65"/>
      <c r="X161" s="65"/>
      <c r="Y161" s="65"/>
      <c r="Z161" s="65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</row>
    <row r="162" spans="1:78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  <c r="N162" s="65"/>
      <c r="O162" s="65"/>
      <c r="P162" s="65"/>
      <c r="Q162" s="65"/>
      <c r="R162" s="65"/>
      <c r="S162" s="65"/>
      <c r="T162" s="65"/>
      <c r="U162" s="65"/>
      <c r="V162" s="65"/>
      <c r="W162" s="65"/>
      <c r="X162" s="65"/>
      <c r="Y162" s="65"/>
      <c r="Z162" s="65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</row>
    <row r="163" spans="1:78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5"/>
      <c r="U163" s="65"/>
      <c r="V163" s="65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</row>
    <row r="164" spans="1:78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  <c r="V164" s="65"/>
      <c r="W164" s="65"/>
      <c r="X164" s="65"/>
      <c r="Y164" s="65"/>
      <c r="Z164" s="65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</row>
    <row r="165" spans="1:78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  <c r="N165" s="65"/>
      <c r="O165" s="65"/>
      <c r="P165" s="65"/>
      <c r="Q165" s="65"/>
      <c r="R165" s="65"/>
      <c r="S165" s="65"/>
      <c r="T165" s="65"/>
      <c r="U165" s="65"/>
      <c r="V165" s="65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</row>
    <row r="166" spans="1:78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  <c r="N166" s="65"/>
      <c r="O166" s="65"/>
      <c r="P166" s="65"/>
      <c r="Q166" s="65"/>
      <c r="R166" s="65"/>
      <c r="S166" s="65"/>
      <c r="T166" s="65"/>
      <c r="U166" s="65"/>
      <c r="V166" s="65"/>
      <c r="W166" s="65"/>
      <c r="X166" s="65"/>
      <c r="Y166" s="65"/>
      <c r="Z166" s="65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</row>
    <row r="167" spans="1:78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  <c r="V167" s="65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</row>
    <row r="168" spans="1:78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5"/>
      <c r="W168" s="65"/>
      <c r="X168" s="65"/>
      <c r="Y168" s="65"/>
      <c r="Z168" s="65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</row>
    <row r="169" spans="1:78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  <c r="N169" s="65"/>
      <c r="O169" s="65"/>
      <c r="P169" s="65"/>
      <c r="Q169" s="65"/>
      <c r="R169" s="65"/>
      <c r="S169" s="65"/>
      <c r="T169" s="65"/>
      <c r="U169" s="65"/>
      <c r="V169" s="65"/>
      <c r="W169" s="65"/>
      <c r="X169" s="65"/>
      <c r="Y169" s="65"/>
      <c r="Z169" s="65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</row>
    <row r="170" spans="1:78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  <c r="V170" s="65"/>
      <c r="W170" s="65"/>
      <c r="X170" s="65"/>
      <c r="Y170" s="65"/>
      <c r="Z170" s="65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</row>
    <row r="171" spans="1:78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  <c r="N171" s="65"/>
      <c r="O171" s="65"/>
      <c r="P171" s="65"/>
      <c r="Q171" s="65"/>
      <c r="R171" s="65"/>
      <c r="S171" s="65"/>
      <c r="T171" s="65"/>
      <c r="U171" s="65"/>
      <c r="V171" s="65"/>
      <c r="W171" s="65"/>
      <c r="X171" s="65"/>
      <c r="Y171" s="65"/>
      <c r="Z171" s="65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</row>
    <row r="172" spans="1:78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  <c r="N172" s="65"/>
      <c r="O172" s="65"/>
      <c r="P172" s="65"/>
      <c r="Q172" s="65"/>
      <c r="R172" s="65"/>
      <c r="S172" s="65"/>
      <c r="T172" s="65"/>
      <c r="U172" s="65"/>
      <c r="V172" s="65"/>
      <c r="W172" s="65"/>
      <c r="X172" s="65"/>
      <c r="Y172" s="65"/>
      <c r="Z172" s="65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</row>
    <row r="173" spans="1:78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5"/>
      <c r="W173" s="65"/>
      <c r="X173" s="65"/>
      <c r="Y173" s="65"/>
      <c r="Z173" s="65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</row>
    <row r="174" spans="1:78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  <c r="N174" s="65"/>
      <c r="O174" s="65"/>
      <c r="P174" s="65"/>
      <c r="Q174" s="65"/>
      <c r="R174" s="65"/>
      <c r="S174" s="65"/>
      <c r="T174" s="65"/>
      <c r="U174" s="65"/>
      <c r="V174" s="65"/>
      <c r="W174" s="65"/>
      <c r="X174" s="65"/>
      <c r="Y174" s="65"/>
      <c r="Z174" s="65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</row>
    <row r="175" spans="1:78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5"/>
      <c r="W175" s="65"/>
      <c r="X175" s="65"/>
      <c r="Y175" s="65"/>
      <c r="Z175" s="65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</row>
    <row r="176" spans="1:78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  <c r="V176" s="65"/>
      <c r="W176" s="65"/>
      <c r="X176" s="65"/>
      <c r="Y176" s="65"/>
      <c r="Z176" s="65"/>
      <c r="AA176" s="65"/>
      <c r="AB176" s="65"/>
      <c r="AC176" s="65"/>
      <c r="AD176" s="65"/>
      <c r="AE176" s="65"/>
      <c r="AF176" s="65"/>
      <c r="AG176" s="65"/>
      <c r="AH176" s="65"/>
      <c r="AI176" s="65"/>
      <c r="AJ176" s="65"/>
      <c r="AK176" s="65"/>
      <c r="AL176" s="65"/>
      <c r="AM176" s="65"/>
      <c r="AN176" s="65"/>
      <c r="AO176" s="65"/>
      <c r="AP176" s="65"/>
      <c r="AQ176" s="65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</row>
    <row r="177" spans="1:78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  <c r="N177" s="65"/>
      <c r="O177" s="65"/>
      <c r="P177" s="65"/>
      <c r="Q177" s="65"/>
      <c r="R177" s="65"/>
      <c r="S177" s="65"/>
      <c r="T177" s="65"/>
      <c r="U177" s="65"/>
      <c r="V177" s="65"/>
      <c r="W177" s="65"/>
      <c r="X177" s="65"/>
      <c r="Y177" s="65"/>
      <c r="Z177" s="65"/>
      <c r="AA177" s="65"/>
      <c r="AB177" s="65"/>
      <c r="AC177" s="65"/>
      <c r="AD177" s="65"/>
      <c r="AE177" s="65"/>
      <c r="AF177" s="65"/>
      <c r="AG177" s="65"/>
      <c r="AH177" s="65"/>
      <c r="AI177" s="65"/>
      <c r="AJ177" s="65"/>
      <c r="AK177" s="65"/>
      <c r="AL177" s="65"/>
      <c r="AM177" s="65"/>
      <c r="AN177" s="65"/>
      <c r="AO177" s="65"/>
      <c r="AP177" s="65"/>
      <c r="AQ177" s="65"/>
      <c r="AR177" s="65"/>
      <c r="AS177" s="65"/>
      <c r="AT177" s="65"/>
      <c r="AU177" s="65"/>
      <c r="AV177" s="65"/>
      <c r="AW177" s="65"/>
      <c r="AX177" s="65"/>
      <c r="AY177" s="65"/>
      <c r="AZ177" s="65"/>
      <c r="BA177" s="65"/>
      <c r="BB177" s="65"/>
      <c r="BC177" s="65"/>
      <c r="BD177" s="65"/>
      <c r="BE177" s="65"/>
      <c r="BF177" s="65"/>
      <c r="BG177" s="65"/>
      <c r="BH177" s="65"/>
      <c r="BI177" s="65"/>
      <c r="BJ177" s="65"/>
      <c r="BK177" s="65"/>
      <c r="BL177" s="65"/>
      <c r="BM177" s="65"/>
      <c r="BN177" s="65"/>
      <c r="BO177" s="65"/>
      <c r="BP177" s="65"/>
      <c r="BQ177" s="65"/>
      <c r="BR177" s="65"/>
      <c r="BS177" s="65"/>
      <c r="BT177" s="65"/>
      <c r="BU177" s="65"/>
      <c r="BV177" s="65"/>
      <c r="BW177" s="65"/>
      <c r="BX177" s="65"/>
      <c r="BY177" s="65"/>
      <c r="BZ177" s="65"/>
    </row>
    <row r="178" spans="1:78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  <c r="N178" s="65"/>
      <c r="O178" s="65"/>
      <c r="P178" s="65"/>
      <c r="Q178" s="65"/>
      <c r="R178" s="65"/>
      <c r="S178" s="65"/>
      <c r="T178" s="65"/>
      <c r="U178" s="65"/>
      <c r="V178" s="65"/>
      <c r="W178" s="65"/>
      <c r="X178" s="65"/>
      <c r="Y178" s="65"/>
      <c r="Z178" s="65"/>
      <c r="AA178" s="65"/>
      <c r="AB178" s="65"/>
      <c r="AC178" s="65"/>
      <c r="AD178" s="65"/>
      <c r="AE178" s="65"/>
      <c r="AF178" s="65"/>
      <c r="AG178" s="65"/>
      <c r="AH178" s="65"/>
      <c r="AI178" s="65"/>
      <c r="AJ178" s="65"/>
      <c r="AK178" s="65"/>
      <c r="AL178" s="65"/>
      <c r="AM178" s="65"/>
      <c r="AN178" s="65"/>
      <c r="AO178" s="65"/>
      <c r="AP178" s="65"/>
      <c r="AQ178" s="65"/>
      <c r="AR178" s="65"/>
      <c r="AS178" s="65"/>
      <c r="AT178" s="65"/>
      <c r="AU178" s="65"/>
      <c r="AV178" s="65"/>
      <c r="AW178" s="65"/>
      <c r="AX178" s="65"/>
      <c r="AY178" s="65"/>
      <c r="AZ178" s="65"/>
      <c r="BA178" s="65"/>
      <c r="BB178" s="65"/>
      <c r="BC178" s="65"/>
      <c r="BD178" s="65"/>
      <c r="BE178" s="65"/>
      <c r="BF178" s="65"/>
      <c r="BG178" s="65"/>
      <c r="BH178" s="65"/>
      <c r="BI178" s="65"/>
      <c r="BJ178" s="65"/>
      <c r="BK178" s="65"/>
      <c r="BL178" s="65"/>
      <c r="BM178" s="65"/>
      <c r="BN178" s="65"/>
      <c r="BO178" s="65"/>
      <c r="BP178" s="65"/>
      <c r="BQ178" s="65"/>
      <c r="BR178" s="65"/>
      <c r="BS178" s="65"/>
      <c r="BT178" s="65"/>
      <c r="BU178" s="65"/>
      <c r="BV178" s="65"/>
      <c r="BW178" s="65"/>
      <c r="BX178" s="65"/>
      <c r="BY178" s="65"/>
      <c r="BZ178" s="65"/>
    </row>
    <row r="179" spans="1:78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65"/>
      <c r="W179" s="65"/>
      <c r="X179" s="65"/>
      <c r="Y179" s="65"/>
      <c r="Z179" s="65"/>
      <c r="AA179" s="65"/>
      <c r="AB179" s="65"/>
      <c r="AC179" s="65"/>
      <c r="AD179" s="65"/>
      <c r="AE179" s="65"/>
      <c r="AF179" s="65"/>
      <c r="AG179" s="65"/>
      <c r="AH179" s="65"/>
      <c r="AI179" s="65"/>
      <c r="AJ179" s="65"/>
      <c r="AK179" s="65"/>
      <c r="AL179" s="65"/>
      <c r="AM179" s="65"/>
      <c r="AN179" s="65"/>
      <c r="AO179" s="65"/>
      <c r="AP179" s="65"/>
      <c r="AQ179" s="65"/>
      <c r="AR179" s="65"/>
      <c r="AS179" s="65"/>
      <c r="AT179" s="65"/>
      <c r="AU179" s="65"/>
      <c r="AV179" s="65"/>
      <c r="AW179" s="65"/>
      <c r="AX179" s="65"/>
      <c r="AY179" s="65"/>
      <c r="AZ179" s="65"/>
      <c r="BA179" s="65"/>
      <c r="BB179" s="65"/>
      <c r="BC179" s="65"/>
      <c r="BD179" s="65"/>
      <c r="BE179" s="65"/>
      <c r="BF179" s="65"/>
      <c r="BG179" s="65"/>
      <c r="BH179" s="65"/>
      <c r="BI179" s="65"/>
      <c r="BJ179" s="65"/>
      <c r="BK179" s="65"/>
      <c r="BL179" s="65"/>
      <c r="BM179" s="65"/>
      <c r="BN179" s="65"/>
      <c r="BO179" s="65"/>
      <c r="BP179" s="65"/>
      <c r="BQ179" s="65"/>
      <c r="BR179" s="65"/>
      <c r="BS179" s="65"/>
      <c r="BT179" s="65"/>
      <c r="BU179" s="65"/>
      <c r="BV179" s="65"/>
      <c r="BW179" s="65"/>
      <c r="BX179" s="65"/>
      <c r="BY179" s="65"/>
      <c r="BZ179" s="65"/>
    </row>
    <row r="180" spans="1:78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  <c r="N180" s="65"/>
      <c r="O180" s="65"/>
      <c r="P180" s="65"/>
      <c r="Q180" s="65"/>
      <c r="R180" s="65"/>
      <c r="S180" s="65"/>
      <c r="T180" s="65"/>
      <c r="U180" s="65"/>
      <c r="V180" s="65"/>
      <c r="W180" s="65"/>
      <c r="X180" s="65"/>
      <c r="Y180" s="65"/>
      <c r="Z180" s="65"/>
      <c r="AA180" s="65"/>
      <c r="AB180" s="65"/>
      <c r="AC180" s="65"/>
      <c r="AD180" s="65"/>
      <c r="AE180" s="65"/>
      <c r="AF180" s="65"/>
      <c r="AG180" s="65"/>
      <c r="AH180" s="65"/>
      <c r="AI180" s="65"/>
      <c r="AJ180" s="65"/>
      <c r="AK180" s="65"/>
      <c r="AL180" s="65"/>
      <c r="AM180" s="65"/>
      <c r="AN180" s="65"/>
      <c r="AO180" s="65"/>
      <c r="AP180" s="65"/>
      <c r="AQ180" s="65"/>
      <c r="AR180" s="65"/>
      <c r="AS180" s="65"/>
      <c r="AT180" s="65"/>
      <c r="AU180" s="65"/>
      <c r="AV180" s="65"/>
      <c r="AW180" s="65"/>
      <c r="AX180" s="65"/>
      <c r="AY180" s="65"/>
      <c r="AZ180" s="65"/>
      <c r="BA180" s="65"/>
      <c r="BB180" s="65"/>
      <c r="BC180" s="65"/>
      <c r="BD180" s="65"/>
      <c r="BE180" s="65"/>
      <c r="BF180" s="65"/>
      <c r="BG180" s="65"/>
      <c r="BH180" s="65"/>
      <c r="BI180" s="65"/>
      <c r="BJ180" s="65"/>
      <c r="BK180" s="65"/>
      <c r="BL180" s="65"/>
      <c r="BM180" s="65"/>
      <c r="BN180" s="65"/>
      <c r="BO180" s="65"/>
      <c r="BP180" s="65"/>
      <c r="BQ180" s="65"/>
      <c r="BR180" s="65"/>
      <c r="BS180" s="65"/>
      <c r="BT180" s="65"/>
      <c r="BU180" s="65"/>
      <c r="BV180" s="65"/>
      <c r="BW180" s="65"/>
      <c r="BX180" s="65"/>
      <c r="BY180" s="65"/>
      <c r="BZ180" s="65"/>
    </row>
    <row r="181" spans="1:78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5"/>
      <c r="U181" s="65"/>
      <c r="V181" s="65"/>
      <c r="W181" s="65"/>
      <c r="X181" s="65"/>
      <c r="Y181" s="65"/>
      <c r="Z181" s="65"/>
      <c r="AA181" s="65"/>
      <c r="AB181" s="65"/>
      <c r="AC181" s="65"/>
      <c r="AD181" s="65"/>
      <c r="AE181" s="65"/>
      <c r="AF181" s="65"/>
      <c r="AG181" s="65"/>
      <c r="AH181" s="65"/>
      <c r="AI181" s="65"/>
      <c r="AJ181" s="65"/>
      <c r="AK181" s="65"/>
      <c r="AL181" s="65"/>
      <c r="AM181" s="65"/>
      <c r="AN181" s="65"/>
      <c r="AO181" s="65"/>
      <c r="AP181" s="65"/>
      <c r="AQ181" s="65"/>
      <c r="AR181" s="65"/>
      <c r="AS181" s="65"/>
      <c r="AT181" s="65"/>
      <c r="AU181" s="65"/>
      <c r="AV181" s="65"/>
      <c r="AW181" s="65"/>
      <c r="AX181" s="65"/>
      <c r="AY181" s="65"/>
      <c r="AZ181" s="65"/>
      <c r="BA181" s="65"/>
      <c r="BB181" s="65"/>
      <c r="BC181" s="65"/>
      <c r="BD181" s="65"/>
      <c r="BE181" s="65"/>
      <c r="BF181" s="65"/>
      <c r="BG181" s="65"/>
      <c r="BH181" s="65"/>
      <c r="BI181" s="65"/>
      <c r="BJ181" s="65"/>
      <c r="BK181" s="65"/>
      <c r="BL181" s="65"/>
      <c r="BM181" s="65"/>
      <c r="BN181" s="65"/>
      <c r="BO181" s="65"/>
      <c r="BP181" s="65"/>
      <c r="BQ181" s="65"/>
      <c r="BR181" s="65"/>
      <c r="BS181" s="65"/>
      <c r="BT181" s="65"/>
      <c r="BU181" s="65"/>
      <c r="BV181" s="65"/>
      <c r="BW181" s="65"/>
      <c r="BX181" s="65"/>
      <c r="BY181" s="65"/>
      <c r="BZ181" s="65"/>
    </row>
    <row r="182" spans="1:78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  <c r="V182" s="65"/>
      <c r="W182" s="65"/>
      <c r="X182" s="65"/>
      <c r="Y182" s="65"/>
      <c r="Z182" s="65"/>
      <c r="AA182" s="65"/>
      <c r="AB182" s="65"/>
      <c r="AC182" s="65"/>
      <c r="AD182" s="65"/>
      <c r="AE182" s="65"/>
      <c r="AF182" s="65"/>
      <c r="AG182" s="65"/>
      <c r="AH182" s="65"/>
      <c r="AI182" s="65"/>
      <c r="AJ182" s="65"/>
      <c r="AK182" s="65"/>
      <c r="AL182" s="65"/>
      <c r="AM182" s="65"/>
      <c r="AN182" s="65"/>
      <c r="AO182" s="65"/>
      <c r="AP182" s="65"/>
      <c r="AQ182" s="65"/>
      <c r="AR182" s="65"/>
      <c r="AS182" s="65"/>
      <c r="AT182" s="65"/>
      <c r="AU182" s="65"/>
      <c r="AV182" s="65"/>
      <c r="AW182" s="65"/>
      <c r="AX182" s="65"/>
      <c r="AY182" s="65"/>
      <c r="AZ182" s="65"/>
      <c r="BA182" s="65"/>
      <c r="BB182" s="65"/>
      <c r="BC182" s="65"/>
      <c r="BD182" s="65"/>
      <c r="BE182" s="65"/>
      <c r="BF182" s="65"/>
      <c r="BG182" s="65"/>
      <c r="BH182" s="65"/>
      <c r="BI182" s="65"/>
      <c r="BJ182" s="65"/>
      <c r="BK182" s="65"/>
      <c r="BL182" s="65"/>
      <c r="BM182" s="65"/>
      <c r="BN182" s="65"/>
      <c r="BO182" s="65"/>
      <c r="BP182" s="65"/>
      <c r="BQ182" s="65"/>
      <c r="BR182" s="65"/>
      <c r="BS182" s="65"/>
      <c r="BT182" s="65"/>
      <c r="BU182" s="65"/>
      <c r="BV182" s="65"/>
      <c r="BW182" s="65"/>
      <c r="BX182" s="65"/>
      <c r="BY182" s="65"/>
      <c r="BZ182" s="65"/>
    </row>
    <row r="183" spans="1:78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  <c r="N183" s="65"/>
      <c r="O183" s="65"/>
      <c r="P183" s="65"/>
      <c r="Q183" s="65"/>
      <c r="R183" s="65"/>
      <c r="S183" s="65"/>
      <c r="T183" s="65"/>
      <c r="U183" s="65"/>
      <c r="V183" s="65"/>
      <c r="W183" s="65"/>
      <c r="X183" s="65"/>
      <c r="Y183" s="65"/>
      <c r="Z183" s="65"/>
      <c r="AA183" s="65"/>
      <c r="AB183" s="65"/>
      <c r="AC183" s="65"/>
      <c r="AD183" s="65"/>
      <c r="AE183" s="65"/>
      <c r="AF183" s="65"/>
      <c r="AG183" s="65"/>
      <c r="AH183" s="65"/>
      <c r="AI183" s="65"/>
      <c r="AJ183" s="65"/>
      <c r="AK183" s="65"/>
      <c r="AL183" s="65"/>
      <c r="AM183" s="65"/>
      <c r="AN183" s="65"/>
      <c r="AO183" s="65"/>
      <c r="AP183" s="65"/>
      <c r="AQ183" s="65"/>
      <c r="AR183" s="65"/>
      <c r="AS183" s="65"/>
      <c r="AT183" s="65"/>
      <c r="AU183" s="65"/>
      <c r="AV183" s="65"/>
      <c r="AW183" s="65"/>
      <c r="AX183" s="65"/>
      <c r="AY183" s="65"/>
      <c r="AZ183" s="65"/>
      <c r="BA183" s="65"/>
      <c r="BB183" s="65"/>
      <c r="BC183" s="65"/>
      <c r="BD183" s="65"/>
      <c r="BE183" s="65"/>
      <c r="BF183" s="65"/>
      <c r="BG183" s="65"/>
      <c r="BH183" s="65"/>
      <c r="BI183" s="65"/>
      <c r="BJ183" s="65"/>
      <c r="BK183" s="65"/>
      <c r="BL183" s="65"/>
      <c r="BM183" s="65"/>
      <c r="BN183" s="65"/>
      <c r="BO183" s="65"/>
      <c r="BP183" s="65"/>
      <c r="BQ183" s="65"/>
      <c r="BR183" s="65"/>
      <c r="BS183" s="65"/>
      <c r="BT183" s="65"/>
      <c r="BU183" s="65"/>
      <c r="BV183" s="65"/>
      <c r="BW183" s="65"/>
      <c r="BX183" s="65"/>
      <c r="BY183" s="65"/>
      <c r="BZ183" s="65"/>
    </row>
    <row r="184" spans="1:78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  <c r="N184" s="65"/>
      <c r="O184" s="65"/>
      <c r="P184" s="65"/>
      <c r="Q184" s="65"/>
      <c r="R184" s="65"/>
      <c r="S184" s="65"/>
      <c r="T184" s="65"/>
      <c r="U184" s="65"/>
      <c r="V184" s="65"/>
      <c r="W184" s="65"/>
      <c r="X184" s="65"/>
      <c r="Y184" s="65"/>
      <c r="Z184" s="65"/>
      <c r="AA184" s="65"/>
      <c r="AB184" s="65"/>
      <c r="AC184" s="65"/>
      <c r="AD184" s="65"/>
      <c r="AE184" s="65"/>
      <c r="AF184" s="65"/>
      <c r="AG184" s="65"/>
      <c r="AH184" s="65"/>
      <c r="AI184" s="65"/>
      <c r="AJ184" s="65"/>
      <c r="AK184" s="65"/>
      <c r="AL184" s="65"/>
      <c r="AM184" s="65"/>
      <c r="AN184" s="65"/>
      <c r="AO184" s="65"/>
      <c r="AP184" s="65"/>
      <c r="AQ184" s="65"/>
      <c r="AR184" s="65"/>
      <c r="AS184" s="65"/>
      <c r="AT184" s="65"/>
      <c r="AU184" s="65"/>
      <c r="AV184" s="65"/>
      <c r="AW184" s="65"/>
      <c r="AX184" s="65"/>
      <c r="AY184" s="65"/>
      <c r="AZ184" s="65"/>
      <c r="BA184" s="65"/>
      <c r="BB184" s="65"/>
      <c r="BC184" s="65"/>
      <c r="BD184" s="65"/>
      <c r="BE184" s="65"/>
      <c r="BF184" s="65"/>
      <c r="BG184" s="65"/>
      <c r="BH184" s="65"/>
      <c r="BI184" s="65"/>
      <c r="BJ184" s="65"/>
      <c r="BK184" s="65"/>
      <c r="BL184" s="65"/>
      <c r="BM184" s="65"/>
      <c r="BN184" s="65"/>
      <c r="BO184" s="65"/>
      <c r="BP184" s="65"/>
      <c r="BQ184" s="65"/>
      <c r="BR184" s="65"/>
      <c r="BS184" s="65"/>
      <c r="BT184" s="65"/>
      <c r="BU184" s="65"/>
      <c r="BV184" s="65"/>
      <c r="BW184" s="65"/>
      <c r="BX184" s="65"/>
      <c r="BY184" s="65"/>
      <c r="BZ184" s="65"/>
    </row>
    <row r="185" spans="1:78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  <c r="V185" s="65"/>
      <c r="W185" s="65"/>
      <c r="X185" s="65"/>
      <c r="Y185" s="65"/>
      <c r="Z185" s="65"/>
      <c r="AA185" s="65"/>
      <c r="AB185" s="65"/>
      <c r="AC185" s="65"/>
      <c r="AD185" s="65"/>
      <c r="AE185" s="65"/>
      <c r="AF185" s="65"/>
      <c r="AG185" s="65"/>
      <c r="AH185" s="65"/>
      <c r="AI185" s="65"/>
      <c r="AJ185" s="65"/>
      <c r="AK185" s="65"/>
      <c r="AL185" s="65"/>
      <c r="AM185" s="65"/>
      <c r="AN185" s="65"/>
      <c r="AO185" s="65"/>
      <c r="AP185" s="65"/>
      <c r="AQ185" s="65"/>
      <c r="AR185" s="65"/>
      <c r="AS185" s="65"/>
      <c r="AT185" s="65"/>
      <c r="AU185" s="65"/>
      <c r="AV185" s="65"/>
      <c r="AW185" s="65"/>
      <c r="AX185" s="65"/>
      <c r="AY185" s="65"/>
      <c r="AZ185" s="65"/>
      <c r="BA185" s="65"/>
      <c r="BB185" s="65"/>
      <c r="BC185" s="65"/>
      <c r="BD185" s="65"/>
      <c r="BE185" s="65"/>
      <c r="BF185" s="65"/>
      <c r="BG185" s="65"/>
      <c r="BH185" s="65"/>
      <c r="BI185" s="65"/>
      <c r="BJ185" s="65"/>
      <c r="BK185" s="65"/>
      <c r="BL185" s="65"/>
      <c r="BM185" s="65"/>
      <c r="BN185" s="65"/>
      <c r="BO185" s="65"/>
      <c r="BP185" s="65"/>
      <c r="BQ185" s="65"/>
      <c r="BR185" s="65"/>
      <c r="BS185" s="65"/>
      <c r="BT185" s="65"/>
      <c r="BU185" s="65"/>
      <c r="BV185" s="65"/>
      <c r="BW185" s="65"/>
      <c r="BX185" s="65"/>
      <c r="BY185" s="65"/>
      <c r="BZ185" s="65"/>
    </row>
    <row r="186" spans="1:78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  <c r="N186" s="65"/>
      <c r="O186" s="65"/>
      <c r="P186" s="65"/>
      <c r="Q186" s="65"/>
      <c r="R186" s="65"/>
      <c r="S186" s="65"/>
      <c r="T186" s="65"/>
      <c r="U186" s="65"/>
      <c r="V186" s="65"/>
      <c r="W186" s="65"/>
      <c r="X186" s="65"/>
      <c r="Y186" s="65"/>
      <c r="Z186" s="65"/>
      <c r="AA186" s="65"/>
      <c r="AB186" s="65"/>
      <c r="AC186" s="65"/>
      <c r="AD186" s="65"/>
      <c r="AE186" s="65"/>
      <c r="AF186" s="65"/>
      <c r="AG186" s="65"/>
      <c r="AH186" s="65"/>
      <c r="AI186" s="65"/>
      <c r="AJ186" s="65"/>
      <c r="AK186" s="65"/>
      <c r="AL186" s="65"/>
      <c r="AM186" s="65"/>
      <c r="AN186" s="65"/>
      <c r="AO186" s="65"/>
      <c r="AP186" s="65"/>
      <c r="AQ186" s="65"/>
      <c r="AR186" s="65"/>
      <c r="AS186" s="65"/>
      <c r="AT186" s="65"/>
      <c r="AU186" s="65"/>
      <c r="AV186" s="65"/>
      <c r="AW186" s="65"/>
      <c r="AX186" s="65"/>
      <c r="AY186" s="65"/>
      <c r="AZ186" s="65"/>
      <c r="BA186" s="65"/>
      <c r="BB186" s="65"/>
      <c r="BC186" s="65"/>
      <c r="BD186" s="65"/>
      <c r="BE186" s="65"/>
      <c r="BF186" s="65"/>
      <c r="BG186" s="65"/>
      <c r="BH186" s="65"/>
      <c r="BI186" s="65"/>
      <c r="BJ186" s="65"/>
      <c r="BK186" s="65"/>
      <c r="BL186" s="65"/>
      <c r="BM186" s="65"/>
      <c r="BN186" s="65"/>
      <c r="BO186" s="65"/>
      <c r="BP186" s="65"/>
      <c r="BQ186" s="65"/>
      <c r="BR186" s="65"/>
      <c r="BS186" s="65"/>
      <c r="BT186" s="65"/>
      <c r="BU186" s="65"/>
      <c r="BV186" s="65"/>
      <c r="BW186" s="65"/>
      <c r="BX186" s="65"/>
      <c r="BY186" s="65"/>
      <c r="BZ186" s="65"/>
    </row>
    <row r="187" spans="1:78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  <c r="N187" s="65"/>
      <c r="O187" s="65"/>
      <c r="P187" s="65"/>
      <c r="Q187" s="65"/>
      <c r="R187" s="65"/>
      <c r="S187" s="65"/>
      <c r="T187" s="65"/>
      <c r="U187" s="65"/>
      <c r="V187" s="65"/>
      <c r="W187" s="65"/>
      <c r="X187" s="65"/>
      <c r="Y187" s="65"/>
      <c r="Z187" s="65"/>
      <c r="AA187" s="65"/>
      <c r="AB187" s="65"/>
      <c r="AC187" s="65"/>
      <c r="AD187" s="65"/>
      <c r="AE187" s="65"/>
      <c r="AF187" s="65"/>
      <c r="AG187" s="65"/>
      <c r="AH187" s="65"/>
      <c r="AI187" s="65"/>
      <c r="AJ187" s="65"/>
      <c r="AK187" s="65"/>
      <c r="AL187" s="65"/>
      <c r="AM187" s="65"/>
      <c r="AN187" s="65"/>
      <c r="AO187" s="65"/>
      <c r="AP187" s="65"/>
      <c r="AQ187" s="65"/>
      <c r="AR187" s="65"/>
      <c r="AS187" s="65"/>
      <c r="AT187" s="65"/>
      <c r="AU187" s="65"/>
      <c r="AV187" s="65"/>
      <c r="AW187" s="65"/>
      <c r="AX187" s="65"/>
      <c r="AY187" s="65"/>
      <c r="AZ187" s="65"/>
      <c r="BA187" s="65"/>
      <c r="BB187" s="65"/>
      <c r="BC187" s="65"/>
      <c r="BD187" s="65"/>
      <c r="BE187" s="65"/>
      <c r="BF187" s="65"/>
      <c r="BG187" s="65"/>
      <c r="BH187" s="65"/>
      <c r="BI187" s="65"/>
      <c r="BJ187" s="65"/>
      <c r="BK187" s="65"/>
      <c r="BL187" s="65"/>
      <c r="BM187" s="65"/>
      <c r="BN187" s="65"/>
      <c r="BO187" s="65"/>
      <c r="BP187" s="65"/>
      <c r="BQ187" s="65"/>
      <c r="BR187" s="65"/>
      <c r="BS187" s="65"/>
      <c r="BT187" s="65"/>
      <c r="BU187" s="65"/>
      <c r="BV187" s="65"/>
      <c r="BW187" s="65"/>
      <c r="BX187" s="65"/>
      <c r="BY187" s="65"/>
      <c r="BZ187" s="65"/>
    </row>
    <row r="188" spans="1:78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  <c r="V188" s="65"/>
      <c r="W188" s="65"/>
      <c r="X188" s="65"/>
      <c r="Y188" s="65"/>
      <c r="Z188" s="65"/>
      <c r="AA188" s="65"/>
      <c r="AB188" s="65"/>
      <c r="AC188" s="65"/>
      <c r="AD188" s="65"/>
      <c r="AE188" s="65"/>
      <c r="AF188" s="65"/>
      <c r="AG188" s="65"/>
      <c r="AH188" s="65"/>
      <c r="AI188" s="65"/>
      <c r="AJ188" s="65"/>
      <c r="AK188" s="65"/>
      <c r="AL188" s="65"/>
      <c r="AM188" s="65"/>
      <c r="AN188" s="65"/>
      <c r="AO188" s="65"/>
      <c r="AP188" s="65"/>
      <c r="AQ188" s="65"/>
      <c r="AR188" s="65"/>
      <c r="AS188" s="65"/>
      <c r="AT188" s="65"/>
      <c r="AU188" s="65"/>
      <c r="AV188" s="65"/>
      <c r="AW188" s="65"/>
      <c r="AX188" s="65"/>
      <c r="AY188" s="65"/>
      <c r="AZ188" s="65"/>
      <c r="BA188" s="65"/>
      <c r="BB188" s="65"/>
      <c r="BC188" s="65"/>
      <c r="BD188" s="65"/>
      <c r="BE188" s="65"/>
      <c r="BF188" s="65"/>
      <c r="BG188" s="65"/>
      <c r="BH188" s="65"/>
      <c r="BI188" s="65"/>
      <c r="BJ188" s="65"/>
      <c r="BK188" s="65"/>
      <c r="BL188" s="65"/>
      <c r="BM188" s="65"/>
      <c r="BN188" s="65"/>
      <c r="BO188" s="65"/>
      <c r="BP188" s="65"/>
      <c r="BQ188" s="65"/>
      <c r="BR188" s="65"/>
      <c r="BS188" s="65"/>
      <c r="BT188" s="65"/>
      <c r="BU188" s="65"/>
      <c r="BV188" s="65"/>
      <c r="BW188" s="65"/>
      <c r="BX188" s="65"/>
      <c r="BY188" s="65"/>
      <c r="BZ188" s="65"/>
    </row>
    <row r="189" spans="1:78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  <c r="N189" s="65"/>
      <c r="O189" s="65"/>
      <c r="P189" s="65"/>
      <c r="Q189" s="65"/>
      <c r="R189" s="65"/>
      <c r="S189" s="65"/>
      <c r="T189" s="65"/>
      <c r="U189" s="65"/>
      <c r="V189" s="65"/>
      <c r="W189" s="65"/>
      <c r="X189" s="65"/>
      <c r="Y189" s="65"/>
      <c r="Z189" s="65"/>
      <c r="AA189" s="65"/>
      <c r="AB189" s="65"/>
      <c r="AC189" s="65"/>
      <c r="AD189" s="65"/>
      <c r="AE189" s="65"/>
      <c r="AF189" s="65"/>
      <c r="AG189" s="65"/>
      <c r="AH189" s="65"/>
      <c r="AI189" s="65"/>
      <c r="AJ189" s="65"/>
      <c r="AK189" s="65"/>
      <c r="AL189" s="65"/>
      <c r="AM189" s="65"/>
      <c r="AN189" s="65"/>
      <c r="AO189" s="65"/>
      <c r="AP189" s="65"/>
      <c r="AQ189" s="65"/>
      <c r="AR189" s="65"/>
      <c r="AS189" s="65"/>
      <c r="AT189" s="65"/>
      <c r="AU189" s="65"/>
      <c r="AV189" s="65"/>
      <c r="AW189" s="65"/>
      <c r="AX189" s="65"/>
      <c r="AY189" s="65"/>
      <c r="AZ189" s="65"/>
      <c r="BA189" s="65"/>
      <c r="BB189" s="65"/>
      <c r="BC189" s="65"/>
      <c r="BD189" s="65"/>
      <c r="BE189" s="65"/>
      <c r="BF189" s="65"/>
      <c r="BG189" s="65"/>
      <c r="BH189" s="65"/>
      <c r="BI189" s="65"/>
      <c r="BJ189" s="65"/>
      <c r="BK189" s="65"/>
      <c r="BL189" s="65"/>
      <c r="BM189" s="65"/>
      <c r="BN189" s="65"/>
      <c r="BO189" s="65"/>
      <c r="BP189" s="65"/>
      <c r="BQ189" s="65"/>
      <c r="BR189" s="65"/>
      <c r="BS189" s="65"/>
      <c r="BT189" s="65"/>
      <c r="BU189" s="65"/>
      <c r="BV189" s="65"/>
      <c r="BW189" s="65"/>
      <c r="BX189" s="65"/>
      <c r="BY189" s="65"/>
      <c r="BZ189" s="65"/>
    </row>
    <row r="190" spans="1:78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  <c r="N190" s="65"/>
      <c r="O190" s="65"/>
      <c r="P190" s="65"/>
      <c r="Q190" s="65"/>
      <c r="R190" s="65"/>
      <c r="S190" s="65"/>
      <c r="T190" s="65"/>
      <c r="U190" s="65"/>
      <c r="V190" s="65"/>
      <c r="W190" s="65"/>
      <c r="X190" s="65"/>
      <c r="Y190" s="65"/>
      <c r="Z190" s="65"/>
      <c r="AA190" s="65"/>
      <c r="AB190" s="65"/>
      <c r="AC190" s="65"/>
      <c r="AD190" s="65"/>
      <c r="AE190" s="65"/>
      <c r="AF190" s="65"/>
      <c r="AG190" s="65"/>
      <c r="AH190" s="65"/>
      <c r="AI190" s="65"/>
      <c r="AJ190" s="65"/>
      <c r="AK190" s="65"/>
      <c r="AL190" s="65"/>
      <c r="AM190" s="65"/>
      <c r="AN190" s="65"/>
      <c r="AO190" s="65"/>
      <c r="AP190" s="65"/>
      <c r="AQ190" s="65"/>
      <c r="AR190" s="65"/>
      <c r="AS190" s="65"/>
      <c r="AT190" s="65"/>
      <c r="AU190" s="65"/>
      <c r="AV190" s="65"/>
      <c r="AW190" s="65"/>
      <c r="AX190" s="65"/>
      <c r="AY190" s="65"/>
      <c r="AZ190" s="65"/>
      <c r="BA190" s="65"/>
      <c r="BB190" s="65"/>
      <c r="BC190" s="65"/>
      <c r="BD190" s="65"/>
      <c r="BE190" s="65"/>
      <c r="BF190" s="65"/>
      <c r="BG190" s="65"/>
      <c r="BH190" s="65"/>
      <c r="BI190" s="65"/>
      <c r="BJ190" s="65"/>
      <c r="BK190" s="65"/>
      <c r="BL190" s="65"/>
      <c r="BM190" s="65"/>
      <c r="BN190" s="65"/>
      <c r="BO190" s="65"/>
      <c r="BP190" s="65"/>
      <c r="BQ190" s="65"/>
      <c r="BR190" s="65"/>
      <c r="BS190" s="65"/>
      <c r="BT190" s="65"/>
      <c r="BU190" s="65"/>
      <c r="BV190" s="65"/>
      <c r="BW190" s="65"/>
      <c r="BX190" s="65"/>
      <c r="BY190" s="65"/>
      <c r="BZ190" s="65"/>
    </row>
    <row r="191" spans="1:78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  <c r="V191" s="65"/>
      <c r="W191" s="65"/>
      <c r="X191" s="65"/>
      <c r="Y191" s="65"/>
      <c r="Z191" s="65"/>
      <c r="AA191" s="65"/>
      <c r="AB191" s="65"/>
      <c r="AC191" s="65"/>
      <c r="AD191" s="65"/>
      <c r="AE191" s="65"/>
      <c r="AF191" s="65"/>
      <c r="AG191" s="65"/>
      <c r="AH191" s="65"/>
      <c r="AI191" s="65"/>
      <c r="AJ191" s="65"/>
      <c r="AK191" s="65"/>
      <c r="AL191" s="65"/>
      <c r="AM191" s="65"/>
      <c r="AN191" s="65"/>
      <c r="AO191" s="65"/>
      <c r="AP191" s="65"/>
      <c r="AQ191" s="65"/>
      <c r="AR191" s="65"/>
      <c r="AS191" s="65"/>
      <c r="AT191" s="65"/>
      <c r="AU191" s="65"/>
      <c r="AV191" s="65"/>
      <c r="AW191" s="65"/>
      <c r="AX191" s="65"/>
      <c r="AY191" s="65"/>
      <c r="AZ191" s="65"/>
      <c r="BA191" s="65"/>
      <c r="BB191" s="65"/>
      <c r="BC191" s="65"/>
      <c r="BD191" s="65"/>
      <c r="BE191" s="65"/>
      <c r="BF191" s="65"/>
      <c r="BG191" s="65"/>
      <c r="BH191" s="65"/>
      <c r="BI191" s="65"/>
      <c r="BJ191" s="65"/>
      <c r="BK191" s="65"/>
      <c r="BL191" s="65"/>
      <c r="BM191" s="65"/>
      <c r="BN191" s="65"/>
      <c r="BO191" s="65"/>
      <c r="BP191" s="65"/>
      <c r="BQ191" s="65"/>
      <c r="BR191" s="65"/>
      <c r="BS191" s="65"/>
      <c r="BT191" s="65"/>
      <c r="BU191" s="65"/>
      <c r="BV191" s="65"/>
      <c r="BW191" s="65"/>
      <c r="BX191" s="65"/>
      <c r="BY191" s="65"/>
      <c r="BZ191" s="65"/>
    </row>
    <row r="192" spans="1:78">
      <c r="A192" s="65" t="s">
        <v>197</v>
      </c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  <c r="N192" s="65"/>
      <c r="O192" s="65"/>
      <c r="P192" s="65"/>
      <c r="Q192" s="65"/>
      <c r="R192" s="65"/>
      <c r="S192" s="65"/>
      <c r="T192" s="65"/>
      <c r="U192" s="65"/>
      <c r="V192" s="65"/>
      <c r="W192" s="65"/>
      <c r="X192" s="65"/>
      <c r="Y192" s="65"/>
      <c r="Z192" s="65"/>
      <c r="AA192" s="65"/>
      <c r="AB192" s="65"/>
      <c r="AC192" s="65"/>
      <c r="AD192" s="65"/>
      <c r="AE192" s="65"/>
      <c r="AF192" s="65"/>
      <c r="AG192" s="65"/>
      <c r="AH192" s="65"/>
      <c r="AI192" s="65"/>
      <c r="AJ192" s="65"/>
      <c r="AK192" s="65"/>
      <c r="AL192" s="65"/>
      <c r="AM192" s="65"/>
      <c r="AN192" s="65"/>
      <c r="AO192" s="65"/>
      <c r="AP192" s="65"/>
      <c r="AQ192" s="65"/>
      <c r="AR192" s="65"/>
      <c r="AS192" s="65"/>
      <c r="AT192" s="65"/>
      <c r="AU192" s="65"/>
      <c r="AV192" s="65"/>
      <c r="AW192" s="65"/>
      <c r="AX192" s="65"/>
      <c r="AY192" s="65"/>
      <c r="AZ192" s="65"/>
      <c r="BA192" s="65"/>
      <c r="BB192" s="65"/>
      <c r="BC192" s="65"/>
      <c r="BD192" s="65"/>
      <c r="BE192" s="65"/>
      <c r="BF192" s="65"/>
      <c r="BG192" s="65"/>
      <c r="BH192" s="65"/>
      <c r="BI192" s="65"/>
      <c r="BJ192" s="65"/>
      <c r="BK192" s="65"/>
      <c r="BL192" s="65"/>
      <c r="BM192" s="65"/>
      <c r="BN192" s="65"/>
      <c r="BO192" s="65"/>
      <c r="BP192" s="65"/>
      <c r="BQ192" s="65"/>
      <c r="BR192" s="65"/>
      <c r="BS192" s="65"/>
      <c r="BT192" s="65"/>
      <c r="BU192" s="65"/>
      <c r="BV192" s="65"/>
      <c r="BW192" s="65"/>
      <c r="BX192" s="65"/>
      <c r="BY192" s="65"/>
      <c r="BZ192" s="65"/>
    </row>
    <row r="193" spans="1:78">
      <c r="A193" s="65" t="s">
        <v>192</v>
      </c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5"/>
      <c r="W193" s="65"/>
      <c r="X193" s="65"/>
      <c r="Y193" s="65"/>
      <c r="Z193" s="65"/>
      <c r="AA193" s="65"/>
      <c r="AB193" s="65"/>
      <c r="AC193" s="65"/>
      <c r="AD193" s="65"/>
      <c r="AE193" s="65"/>
      <c r="AF193" s="65"/>
      <c r="AG193" s="65"/>
      <c r="AH193" s="65"/>
      <c r="AI193" s="65"/>
      <c r="AJ193" s="65"/>
      <c r="AK193" s="65"/>
      <c r="AL193" s="65"/>
      <c r="AM193" s="65"/>
      <c r="AN193" s="65"/>
      <c r="AO193" s="65"/>
      <c r="AP193" s="65"/>
      <c r="AQ193" s="65"/>
      <c r="AR193" s="65"/>
      <c r="AS193" s="65"/>
      <c r="AT193" s="65"/>
      <c r="AU193" s="65"/>
      <c r="AV193" s="65"/>
      <c r="AW193" s="65"/>
      <c r="AX193" s="65"/>
      <c r="AY193" s="65"/>
      <c r="AZ193" s="65"/>
      <c r="BA193" s="65"/>
      <c r="BB193" s="65"/>
      <c r="BC193" s="65"/>
      <c r="BD193" s="65"/>
      <c r="BE193" s="65"/>
      <c r="BF193" s="65"/>
      <c r="BG193" s="65"/>
      <c r="BH193" s="65"/>
      <c r="BI193" s="65"/>
      <c r="BJ193" s="65"/>
      <c r="BK193" s="65"/>
      <c r="BL193" s="65"/>
      <c r="BM193" s="65"/>
      <c r="BN193" s="65"/>
      <c r="BO193" s="65"/>
      <c r="BP193" s="65"/>
      <c r="BQ193" s="65"/>
      <c r="BR193" s="65"/>
      <c r="BS193" s="65"/>
      <c r="BT193" s="65"/>
      <c r="BU193" s="65"/>
      <c r="BV193" s="65"/>
      <c r="BW193" s="65"/>
      <c r="BX193" s="65"/>
      <c r="BY193" s="65"/>
      <c r="BZ193" s="65"/>
    </row>
    <row r="194" spans="1:78">
      <c r="A194" s="66" t="s">
        <v>193</v>
      </c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  <c r="V194" s="65"/>
      <c r="W194" s="65"/>
      <c r="X194" s="65"/>
      <c r="Y194" s="65"/>
      <c r="Z194" s="65"/>
      <c r="AA194" s="65"/>
      <c r="AB194" s="65"/>
      <c r="AC194" s="65"/>
      <c r="AD194" s="65"/>
      <c r="AE194" s="65"/>
      <c r="AF194" s="65"/>
      <c r="AG194" s="65"/>
      <c r="AH194" s="65"/>
      <c r="AI194" s="65"/>
      <c r="AJ194" s="65"/>
      <c r="AK194" s="65"/>
      <c r="AL194" s="65"/>
      <c r="AM194" s="65"/>
      <c r="AN194" s="65"/>
      <c r="AO194" s="65"/>
      <c r="AP194" s="65"/>
      <c r="AQ194" s="65"/>
      <c r="AR194" s="65"/>
      <c r="AS194" s="65"/>
      <c r="AT194" s="65"/>
      <c r="AU194" s="65"/>
      <c r="AV194" s="65"/>
      <c r="AW194" s="65"/>
      <c r="AX194" s="65"/>
      <c r="AY194" s="65"/>
      <c r="AZ194" s="65"/>
      <c r="BA194" s="65"/>
      <c r="BB194" s="65"/>
      <c r="BC194" s="65"/>
      <c r="BD194" s="65"/>
      <c r="BE194" s="65"/>
      <c r="BF194" s="65"/>
      <c r="BG194" s="65"/>
      <c r="BH194" s="65"/>
      <c r="BI194" s="65"/>
      <c r="BJ194" s="65"/>
      <c r="BK194" s="65"/>
      <c r="BL194" s="65"/>
      <c r="BM194" s="65"/>
      <c r="BN194" s="65"/>
      <c r="BO194" s="65"/>
      <c r="BP194" s="65"/>
      <c r="BQ194" s="65"/>
      <c r="BR194" s="65"/>
      <c r="BS194" s="65"/>
      <c r="BT194" s="65"/>
      <c r="BU194" s="65"/>
      <c r="BV194" s="65"/>
      <c r="BW194" s="65"/>
      <c r="BX194" s="65"/>
      <c r="BY194" s="65"/>
      <c r="BZ194" s="65"/>
    </row>
    <row r="195" spans="1:78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  <c r="N195" s="65"/>
      <c r="O195" s="65"/>
      <c r="P195" s="65"/>
      <c r="Q195" s="65"/>
      <c r="R195" s="65"/>
      <c r="S195" s="65"/>
      <c r="T195" s="65"/>
      <c r="U195" s="65"/>
      <c r="V195" s="65"/>
      <c r="W195" s="65"/>
      <c r="X195" s="65"/>
      <c r="Y195" s="65"/>
      <c r="Z195" s="65"/>
      <c r="AA195" s="65"/>
      <c r="AB195" s="65"/>
      <c r="AC195" s="65"/>
      <c r="AD195" s="65"/>
      <c r="AE195" s="65"/>
      <c r="AF195" s="65"/>
      <c r="AG195" s="65"/>
      <c r="AH195" s="65"/>
      <c r="AI195" s="65"/>
      <c r="AJ195" s="65"/>
      <c r="AK195" s="65"/>
      <c r="AL195" s="65"/>
      <c r="AM195" s="65"/>
      <c r="AN195" s="65"/>
      <c r="AO195" s="65"/>
      <c r="AP195" s="65"/>
      <c r="AQ195" s="65"/>
      <c r="AR195" s="65"/>
      <c r="AS195" s="65"/>
      <c r="AT195" s="65"/>
      <c r="AU195" s="65"/>
      <c r="AV195" s="65"/>
      <c r="AW195" s="65"/>
      <c r="AX195" s="65"/>
      <c r="AY195" s="65"/>
      <c r="AZ195" s="65"/>
      <c r="BA195" s="65"/>
      <c r="BB195" s="65"/>
      <c r="BC195" s="65"/>
      <c r="BD195" s="65"/>
      <c r="BE195" s="65"/>
      <c r="BF195" s="65"/>
      <c r="BG195" s="65"/>
      <c r="BH195" s="65"/>
      <c r="BI195" s="65"/>
      <c r="BJ195" s="65"/>
      <c r="BK195" s="65"/>
      <c r="BL195" s="65"/>
      <c r="BM195" s="65"/>
      <c r="BN195" s="65"/>
      <c r="BO195" s="65"/>
      <c r="BP195" s="65"/>
      <c r="BQ195" s="65"/>
      <c r="BR195" s="65"/>
      <c r="BS195" s="65"/>
      <c r="BT195" s="65"/>
      <c r="BU195" s="65"/>
      <c r="BV195" s="65"/>
      <c r="BW195" s="65"/>
      <c r="BX195" s="65"/>
      <c r="BY195" s="65"/>
      <c r="BZ195" s="65"/>
    </row>
    <row r="196" spans="1:78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  <c r="N196" s="65"/>
      <c r="O196" s="65"/>
      <c r="P196" s="65"/>
      <c r="Q196" s="65"/>
      <c r="R196" s="65"/>
      <c r="S196" s="65"/>
      <c r="T196" s="65"/>
      <c r="U196" s="65"/>
      <c r="V196" s="65"/>
      <c r="W196" s="65"/>
      <c r="X196" s="65"/>
      <c r="Y196" s="65"/>
      <c r="Z196" s="65"/>
      <c r="AA196" s="65"/>
      <c r="AB196" s="65"/>
      <c r="AC196" s="65"/>
      <c r="AD196" s="65"/>
      <c r="AE196" s="65"/>
      <c r="AF196" s="65"/>
      <c r="AG196" s="65"/>
      <c r="AH196" s="65"/>
      <c r="AI196" s="65"/>
      <c r="AJ196" s="65"/>
      <c r="AK196" s="65"/>
      <c r="AL196" s="65"/>
      <c r="AM196" s="65"/>
      <c r="AN196" s="65"/>
      <c r="AO196" s="65"/>
      <c r="AP196" s="65"/>
      <c r="AQ196" s="65"/>
      <c r="AR196" s="65"/>
      <c r="AS196" s="65"/>
      <c r="AT196" s="65"/>
      <c r="AU196" s="65"/>
      <c r="AV196" s="65"/>
      <c r="AW196" s="65"/>
      <c r="AX196" s="65"/>
      <c r="AY196" s="65"/>
      <c r="AZ196" s="65"/>
      <c r="BA196" s="65"/>
      <c r="BB196" s="65"/>
      <c r="BC196" s="65"/>
      <c r="BD196" s="65"/>
      <c r="BE196" s="65"/>
      <c r="BF196" s="65"/>
      <c r="BG196" s="65"/>
      <c r="BH196" s="65"/>
      <c r="BI196" s="65"/>
      <c r="BJ196" s="65"/>
      <c r="BK196" s="65"/>
      <c r="BL196" s="65"/>
      <c r="BM196" s="65"/>
      <c r="BN196" s="65"/>
      <c r="BO196" s="65"/>
      <c r="BP196" s="65"/>
      <c r="BQ196" s="65"/>
      <c r="BR196" s="65"/>
      <c r="BS196" s="65"/>
      <c r="BT196" s="65"/>
      <c r="BU196" s="65"/>
      <c r="BV196" s="65"/>
      <c r="BW196" s="65"/>
      <c r="BX196" s="65"/>
      <c r="BY196" s="65"/>
      <c r="BZ196" s="65"/>
    </row>
    <row r="197" spans="1:78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  <c r="V197" s="65"/>
      <c r="W197" s="65"/>
      <c r="X197" s="65"/>
      <c r="Y197" s="65"/>
      <c r="Z197" s="65"/>
      <c r="AA197" s="65"/>
      <c r="AB197" s="65"/>
      <c r="AC197" s="65"/>
      <c r="AD197" s="65"/>
      <c r="AE197" s="65"/>
      <c r="AF197" s="65"/>
      <c r="AG197" s="65"/>
      <c r="AH197" s="65"/>
      <c r="AI197" s="65"/>
      <c r="AJ197" s="65"/>
      <c r="AK197" s="65"/>
      <c r="AL197" s="65"/>
      <c r="AM197" s="65"/>
      <c r="AN197" s="65"/>
      <c r="AO197" s="65"/>
      <c r="AP197" s="65"/>
      <c r="AQ197" s="65"/>
      <c r="AR197" s="65"/>
      <c r="AS197" s="65"/>
      <c r="AT197" s="65"/>
      <c r="AU197" s="65"/>
      <c r="AV197" s="65"/>
      <c r="AW197" s="65"/>
      <c r="AX197" s="65"/>
      <c r="AY197" s="65"/>
      <c r="AZ197" s="65"/>
      <c r="BA197" s="65"/>
      <c r="BB197" s="65"/>
      <c r="BC197" s="65"/>
      <c r="BD197" s="65"/>
      <c r="BE197" s="65"/>
      <c r="BF197" s="65"/>
      <c r="BG197" s="65"/>
      <c r="BH197" s="65"/>
      <c r="BI197" s="65"/>
      <c r="BJ197" s="65"/>
      <c r="BK197" s="65"/>
      <c r="BL197" s="65"/>
      <c r="BM197" s="65"/>
      <c r="BN197" s="65"/>
      <c r="BO197" s="65"/>
      <c r="BP197" s="65"/>
      <c r="BQ197" s="65"/>
      <c r="BR197" s="65"/>
      <c r="BS197" s="65"/>
      <c r="BT197" s="65"/>
      <c r="BU197" s="65"/>
      <c r="BV197" s="65"/>
      <c r="BW197" s="65"/>
      <c r="BX197" s="65"/>
      <c r="BY197" s="65"/>
      <c r="BZ197" s="65"/>
    </row>
    <row r="198" spans="1:78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5"/>
      <c r="W198" s="65"/>
      <c r="X198" s="65"/>
      <c r="Y198" s="65"/>
      <c r="Z198" s="65"/>
      <c r="AA198" s="65"/>
      <c r="AB198" s="65"/>
      <c r="AC198" s="65"/>
      <c r="AD198" s="65"/>
      <c r="AE198" s="65"/>
      <c r="AF198" s="65"/>
      <c r="AG198" s="65"/>
      <c r="AH198" s="65"/>
      <c r="AI198" s="65"/>
      <c r="AJ198" s="65"/>
      <c r="AK198" s="65"/>
      <c r="AL198" s="65"/>
      <c r="AM198" s="65"/>
      <c r="AN198" s="65"/>
      <c r="AO198" s="65"/>
      <c r="AP198" s="65"/>
      <c r="AQ198" s="65"/>
      <c r="AR198" s="65"/>
      <c r="AS198" s="65"/>
      <c r="AT198" s="65"/>
      <c r="AU198" s="65"/>
      <c r="AV198" s="65"/>
      <c r="AW198" s="65"/>
      <c r="AX198" s="65"/>
      <c r="AY198" s="65"/>
      <c r="AZ198" s="65"/>
      <c r="BA198" s="65"/>
      <c r="BB198" s="65"/>
      <c r="BC198" s="65"/>
      <c r="BD198" s="65"/>
      <c r="BE198" s="65"/>
      <c r="BF198" s="65"/>
      <c r="BG198" s="65"/>
      <c r="BH198" s="65"/>
      <c r="BI198" s="65"/>
      <c r="BJ198" s="65"/>
      <c r="BK198" s="65"/>
      <c r="BL198" s="65"/>
      <c r="BM198" s="65"/>
      <c r="BN198" s="65"/>
      <c r="BO198" s="65"/>
      <c r="BP198" s="65"/>
      <c r="BQ198" s="65"/>
      <c r="BR198" s="65"/>
      <c r="BS198" s="65"/>
      <c r="BT198" s="65"/>
      <c r="BU198" s="65"/>
      <c r="BV198" s="65"/>
      <c r="BW198" s="65"/>
      <c r="BX198" s="65"/>
      <c r="BY198" s="65"/>
      <c r="BZ198" s="65"/>
    </row>
    <row r="199" spans="1:78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  <c r="N199" s="65"/>
      <c r="O199" s="65"/>
      <c r="P199" s="65"/>
      <c r="Q199" s="65"/>
      <c r="R199" s="65"/>
      <c r="S199" s="65"/>
      <c r="T199" s="65"/>
      <c r="U199" s="65"/>
      <c r="V199" s="65"/>
      <c r="W199" s="65"/>
      <c r="X199" s="65"/>
      <c r="Y199" s="65"/>
      <c r="Z199" s="65"/>
      <c r="AA199" s="65"/>
      <c r="AB199" s="65"/>
      <c r="AC199" s="65"/>
      <c r="AD199" s="65"/>
      <c r="AE199" s="65"/>
      <c r="AF199" s="65"/>
      <c r="AG199" s="65"/>
      <c r="AH199" s="65"/>
      <c r="AI199" s="65"/>
      <c r="AJ199" s="65"/>
      <c r="AK199" s="65"/>
      <c r="AL199" s="65"/>
      <c r="AM199" s="65"/>
      <c r="AN199" s="65"/>
      <c r="AO199" s="65"/>
      <c r="AP199" s="65"/>
      <c r="AQ199" s="65"/>
      <c r="AR199" s="65"/>
      <c r="AS199" s="65"/>
      <c r="AT199" s="65"/>
      <c r="AU199" s="65"/>
      <c r="AV199" s="65"/>
      <c r="AW199" s="65"/>
      <c r="AX199" s="65"/>
      <c r="AY199" s="65"/>
      <c r="AZ199" s="65"/>
      <c r="BA199" s="65"/>
      <c r="BB199" s="65"/>
      <c r="BC199" s="65"/>
      <c r="BD199" s="65"/>
      <c r="BE199" s="65"/>
      <c r="BF199" s="65"/>
      <c r="BG199" s="65"/>
      <c r="BH199" s="65"/>
      <c r="BI199" s="65"/>
      <c r="BJ199" s="65"/>
      <c r="BK199" s="65"/>
      <c r="BL199" s="65"/>
      <c r="BM199" s="65"/>
      <c r="BN199" s="65"/>
      <c r="BO199" s="65"/>
      <c r="BP199" s="65"/>
      <c r="BQ199" s="65"/>
      <c r="BR199" s="65"/>
      <c r="BS199" s="65"/>
      <c r="BT199" s="65"/>
      <c r="BU199" s="65"/>
      <c r="BV199" s="65"/>
      <c r="BW199" s="65"/>
      <c r="BX199" s="65"/>
      <c r="BY199" s="65"/>
      <c r="BZ199" s="65"/>
    </row>
    <row r="200" spans="1:78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  <c r="V200" s="65"/>
      <c r="W200" s="65"/>
      <c r="X200" s="65"/>
      <c r="Y200" s="65"/>
      <c r="Z200" s="65"/>
      <c r="AA200" s="65"/>
      <c r="AB200" s="65"/>
      <c r="AC200" s="65"/>
      <c r="AD200" s="65"/>
      <c r="AE200" s="65"/>
      <c r="AF200" s="65"/>
      <c r="AG200" s="65"/>
      <c r="AH200" s="65"/>
      <c r="AI200" s="65"/>
      <c r="AJ200" s="65"/>
      <c r="AK200" s="65"/>
      <c r="AL200" s="65"/>
      <c r="AM200" s="65"/>
      <c r="AN200" s="65"/>
      <c r="AO200" s="65"/>
      <c r="AP200" s="65"/>
      <c r="AQ200" s="65"/>
      <c r="AR200" s="65"/>
      <c r="AS200" s="65"/>
      <c r="AT200" s="65"/>
      <c r="AU200" s="65"/>
      <c r="AV200" s="65"/>
      <c r="AW200" s="65"/>
      <c r="AX200" s="65"/>
      <c r="AY200" s="65"/>
      <c r="AZ200" s="65"/>
      <c r="BA200" s="65"/>
      <c r="BB200" s="65"/>
      <c r="BC200" s="65"/>
      <c r="BD200" s="65"/>
      <c r="BE200" s="65"/>
      <c r="BF200" s="65"/>
      <c r="BG200" s="65"/>
      <c r="BH200" s="65"/>
      <c r="BI200" s="65"/>
      <c r="BJ200" s="65"/>
      <c r="BK200" s="65"/>
      <c r="BL200" s="65"/>
      <c r="BM200" s="65"/>
      <c r="BN200" s="65"/>
      <c r="BO200" s="65"/>
      <c r="BP200" s="65"/>
      <c r="BQ200" s="65"/>
      <c r="BR200" s="65"/>
      <c r="BS200" s="65"/>
      <c r="BT200" s="65"/>
      <c r="BU200" s="65"/>
      <c r="BV200" s="65"/>
      <c r="BW200" s="65"/>
      <c r="BX200" s="65"/>
      <c r="BY200" s="65"/>
      <c r="BZ200" s="65"/>
    </row>
    <row r="201" spans="1:78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  <c r="N201" s="65"/>
      <c r="O201" s="65"/>
      <c r="P201" s="65"/>
      <c r="Q201" s="65"/>
      <c r="R201" s="65"/>
      <c r="S201" s="65"/>
      <c r="T201" s="65"/>
      <c r="U201" s="65"/>
      <c r="V201" s="65"/>
      <c r="W201" s="65"/>
      <c r="X201" s="65"/>
      <c r="Y201" s="65"/>
      <c r="Z201" s="65"/>
      <c r="AA201" s="65"/>
      <c r="AB201" s="65"/>
      <c r="AC201" s="65"/>
      <c r="AD201" s="65"/>
      <c r="AE201" s="65"/>
      <c r="AF201" s="65"/>
      <c r="AG201" s="65"/>
      <c r="AH201" s="65"/>
      <c r="AI201" s="65"/>
      <c r="AJ201" s="65"/>
      <c r="AK201" s="65"/>
      <c r="AL201" s="65"/>
      <c r="AM201" s="65"/>
      <c r="AN201" s="65"/>
      <c r="AO201" s="65"/>
      <c r="AP201" s="65"/>
      <c r="AQ201" s="65"/>
      <c r="AR201" s="65"/>
      <c r="AS201" s="65"/>
      <c r="AT201" s="65"/>
      <c r="AU201" s="65"/>
      <c r="AV201" s="65"/>
      <c r="AW201" s="65"/>
      <c r="AX201" s="65"/>
      <c r="AY201" s="65"/>
      <c r="AZ201" s="65"/>
      <c r="BA201" s="65"/>
      <c r="BB201" s="65"/>
      <c r="BC201" s="65"/>
      <c r="BD201" s="65"/>
      <c r="BE201" s="65"/>
      <c r="BF201" s="65"/>
      <c r="BG201" s="65"/>
      <c r="BH201" s="65"/>
      <c r="BI201" s="65"/>
      <c r="BJ201" s="65"/>
      <c r="BK201" s="65"/>
      <c r="BL201" s="65"/>
      <c r="BM201" s="65"/>
      <c r="BN201" s="65"/>
      <c r="BO201" s="65"/>
      <c r="BP201" s="65"/>
      <c r="BQ201" s="65"/>
      <c r="BR201" s="65"/>
      <c r="BS201" s="65"/>
      <c r="BT201" s="65"/>
      <c r="BU201" s="65"/>
      <c r="BV201" s="65"/>
      <c r="BW201" s="65"/>
      <c r="BX201" s="65"/>
      <c r="BY201" s="65"/>
      <c r="BZ201" s="65"/>
    </row>
    <row r="202" spans="1:78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65"/>
      <c r="AH202" s="65"/>
      <c r="AI202" s="65"/>
      <c r="AJ202" s="65"/>
      <c r="AK202" s="65"/>
      <c r="AL202" s="65"/>
      <c r="AM202" s="65"/>
      <c r="AN202" s="65"/>
      <c r="AO202" s="65"/>
      <c r="AP202" s="65"/>
      <c r="AQ202" s="65"/>
      <c r="AR202" s="65"/>
      <c r="AS202" s="65"/>
      <c r="AT202" s="65"/>
      <c r="AU202" s="65"/>
      <c r="AV202" s="65"/>
      <c r="AW202" s="65"/>
      <c r="AX202" s="65"/>
      <c r="AY202" s="65"/>
      <c r="AZ202" s="65"/>
      <c r="BA202" s="65"/>
      <c r="BB202" s="65"/>
      <c r="BC202" s="65"/>
      <c r="BD202" s="65"/>
      <c r="BE202" s="65"/>
      <c r="BF202" s="65"/>
      <c r="BG202" s="65"/>
      <c r="BH202" s="65"/>
      <c r="BI202" s="65"/>
      <c r="BJ202" s="65"/>
      <c r="BK202" s="65"/>
      <c r="BL202" s="65"/>
      <c r="BM202" s="65"/>
      <c r="BN202" s="65"/>
      <c r="BO202" s="65"/>
      <c r="BP202" s="65"/>
      <c r="BQ202" s="65"/>
      <c r="BR202" s="65"/>
      <c r="BS202" s="65"/>
      <c r="BT202" s="65"/>
      <c r="BU202" s="65"/>
      <c r="BV202" s="65"/>
      <c r="BW202" s="65"/>
      <c r="BX202" s="65"/>
      <c r="BY202" s="65"/>
      <c r="BZ202" s="65"/>
    </row>
  </sheetData>
  <hyperlinks>
    <hyperlink ref="A4" r:id="rId1" xr:uid="{11B18CBE-282D-4C1A-A314-B0070B7BD33A}"/>
    <hyperlink ref="A38" r:id="rId2" xr:uid="{08E9CB43-9528-4B18-A862-AAB85D75AA76}"/>
  </hyperlinks>
  <pageMargins left="0.7" right="0.7" top="0.78740157499999996" bottom="0.78740157499999996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56</vt:i4>
      </vt:variant>
    </vt:vector>
  </HeadingPairs>
  <TitlesOfParts>
    <vt:vector size="59" baseType="lpstr">
      <vt:lpstr>SAC</vt:lpstr>
      <vt:lpstr>SAD</vt:lpstr>
      <vt:lpstr>RH</vt:lpstr>
      <vt:lpstr>a_H</vt:lpstr>
      <vt:lpstr>a_i</vt:lpstr>
      <vt:lpstr>a_lat</vt:lpstr>
      <vt:lpstr>a_t</vt:lpstr>
      <vt:lpstr>a_tot</vt:lpstr>
      <vt:lpstr>a_w</vt:lpstr>
      <vt:lpstr>B</vt:lpstr>
      <vt:lpstr>b_H</vt:lpstr>
      <vt:lpstr>b_i</vt:lpstr>
      <vt:lpstr>b_lat</vt:lpstr>
      <vt:lpstr>b_t</vt:lpstr>
      <vt:lpstr>b_tot</vt:lpstr>
      <vt:lpstr>b_w</vt:lpstr>
      <vt:lpstr>c_i</vt:lpstr>
      <vt:lpstr>c_p</vt:lpstr>
      <vt:lpstr>c_w</vt:lpstr>
      <vt:lpstr>Dt_tot_40k</vt:lpstr>
      <vt:lpstr>E_w</vt:lpstr>
      <vt:lpstr>E_w_strich</vt:lpstr>
      <vt:lpstr>EI_H2O</vt:lpstr>
      <vt:lpstr>eps</vt:lpstr>
      <vt:lpstr>eta</vt:lpstr>
      <vt:lpstr>f_of_t</vt:lpstr>
      <vt:lpstr>G</vt:lpstr>
      <vt:lpstr>G0</vt:lpstr>
      <vt:lpstr>H</vt:lpstr>
      <vt:lpstr>H_SAC_0</vt:lpstr>
      <vt:lpstr>H_SAC_100</vt:lpstr>
      <vt:lpstr>H_SAC_lat_0</vt:lpstr>
      <vt:lpstr>H_SAC_lat_100</vt:lpstr>
      <vt:lpstr>H_T</vt:lpstr>
      <vt:lpstr>H_T_equator</vt:lpstr>
      <vt:lpstr>H_T_lat</vt:lpstr>
      <vt:lpstr>H_T_pole</vt:lpstr>
      <vt:lpstr>k_a</vt:lpstr>
      <vt:lpstr>k_b</vt:lpstr>
      <vt:lpstr>k_exp</vt:lpstr>
      <vt:lpstr>L</vt:lpstr>
      <vt:lpstr>L_SAC_0</vt:lpstr>
      <vt:lpstr>L_SAC_100</vt:lpstr>
      <vt:lpstr>m_ft</vt:lpstr>
      <vt:lpstr>p</vt:lpstr>
      <vt:lpstr>p_0</vt:lpstr>
      <vt:lpstr>p_T</vt:lpstr>
      <vt:lpstr>Q</vt:lpstr>
      <vt:lpstr>RH_a</vt:lpstr>
      <vt:lpstr>RH_b</vt:lpstr>
      <vt:lpstr>t</vt:lpstr>
      <vt:lpstr>t_0</vt:lpstr>
      <vt:lpstr>t_0_lat</vt:lpstr>
      <vt:lpstr>t_SAC_0_0</vt:lpstr>
      <vt:lpstr>t_SAC_0_100</vt:lpstr>
      <vt:lpstr>t_T</vt:lpstr>
      <vt:lpstr>t_T_equator</vt:lpstr>
      <vt:lpstr>t_T_lat</vt:lpstr>
      <vt:lpstr>t_T_pole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Scholz, Dieter</dc:creator>
  <cp:lastModifiedBy>Scholz, Dieter</cp:lastModifiedBy>
  <dcterms:created xsi:type="dcterms:W3CDTF">2023-10-20T03:28:38Z</dcterms:created>
  <dcterms:modified xsi:type="dcterms:W3CDTF">2024-06-22T22:42:49Z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2023-10-23T04:59:53Z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2c6cac8d-ab61-47b3-8209-4df2e46aefbc</vt:lpwstr>
  </property>
  <property fmtid="{D5CDD505-2E9C-101B-9397-08002B2CF9AE}" pid="7" name="MSIP_Label_defa4170-0d19-0005-0004-bc88714345d2_ActionId">
    <vt:lpwstr>9bbf925e-ff39-446c-a1be-3dae04d47282</vt:lpwstr>
  </property>
  <property fmtid="{D5CDD505-2E9C-101B-9397-08002B2CF9AE}" pid="8" name="MSIP_Label_defa4170-0d19-0005-0004-bc88714345d2_ContentBits">
    <vt:lpwstr>0</vt:lpwstr>
  </property>
</Properties>
</file>