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540" windowHeight="8235" activeTab="0"/>
  </bookViews>
  <sheets>
    <sheet name="Berechnung" sheetId="1" r:id="rId1"/>
    <sheet name="Boeing 787" sheetId="2" r:id="rId2"/>
    <sheet name="Airbus A320" sheetId="3" r:id="rId3"/>
    <sheet name="Conductivity" sheetId="4" r:id="rId4"/>
    <sheet name="Vapor Pressure" sheetId="5" r:id="rId5"/>
  </sheets>
  <definedNames>
    <definedName name="a">'Vapor Pressure'!$B$13</definedName>
    <definedName name="b">'Vapor Pressure'!$E$13</definedName>
    <definedName name="c">'Vapor Pressure'!$H$13</definedName>
    <definedName name="d">'Vapor Pressure'!$B$14</definedName>
    <definedName name="e_s_1">'Vapor Pressure'!$B$25</definedName>
    <definedName name="e_s_2">'Vapor Pressure'!$B$31</definedName>
    <definedName name="e_st">'Vapor Pressure'!$B$15</definedName>
    <definedName name="f">'Vapor Pressure'!$E$14</definedName>
    <definedName name="h">'Vapor Pressure'!$H$14</definedName>
    <definedName name="T_1">'Vapor Pressure'!$B$23</definedName>
    <definedName name="T_2">'Vapor Pressure'!$B$29</definedName>
    <definedName name="T_s">'Vapor Pressure'!$E$15</definedName>
    <definedName name="Z_1">'Vapor Pressure'!$B$24</definedName>
    <definedName name="Z_2">'Vapor Pressure'!$B$30</definedName>
  </definedNames>
  <calcPr fullCalcOnLoad="1"/>
</workbook>
</file>

<file path=xl/sharedStrings.xml><?xml version="1.0" encoding="utf-8"?>
<sst xmlns="http://schemas.openxmlformats.org/spreadsheetml/2006/main" count="476" uniqueCount="278">
  <si>
    <t>http://www.lissys.demon.co.uk/samp1/index.html</t>
  </si>
  <si>
    <t>m</t>
  </si>
  <si>
    <t>s</t>
  </si>
  <si>
    <t>m²</t>
  </si>
  <si>
    <t>kg</t>
  </si>
  <si>
    <t>k_cycl</t>
  </si>
  <si>
    <t>%</t>
  </si>
  <si>
    <t>Wirkungsgrad</t>
  </si>
  <si>
    <t>Re</t>
  </si>
  <si>
    <t>Dichte</t>
  </si>
  <si>
    <t>Geschwindigkeit</t>
  </si>
  <si>
    <t>Viskosität</t>
  </si>
  <si>
    <t>m/s</t>
  </si>
  <si>
    <t>kg/m³</t>
  </si>
  <si>
    <t>kg/ms</t>
  </si>
  <si>
    <t>Pr</t>
  </si>
  <si>
    <t>J/kgK</t>
  </si>
  <si>
    <t>W/mK</t>
  </si>
  <si>
    <t>Nu</t>
  </si>
  <si>
    <t>kJ/kg</t>
  </si>
  <si>
    <t>K</t>
  </si>
  <si>
    <t>m_lokal</t>
  </si>
  <si>
    <t>h_0</t>
  </si>
  <si>
    <t>x</t>
  </si>
  <si>
    <t>thermal conductivity of air k_0</t>
  </si>
  <si>
    <t>Convection</t>
  </si>
  <si>
    <t>T_sk</t>
  </si>
  <si>
    <t>T_inf</t>
  </si>
  <si>
    <t>W/m²K</t>
  </si>
  <si>
    <t>kW/m²</t>
  </si>
  <si>
    <t>delta_t</t>
  </si>
  <si>
    <t>c_liq</t>
  </si>
  <si>
    <t>c_ice</t>
  </si>
  <si>
    <t>kg/m²s</t>
  </si>
  <si>
    <t>L_f</t>
  </si>
  <si>
    <t>kJ/kgK</t>
  </si>
  <si>
    <t>Evaporation</t>
  </si>
  <si>
    <t>L_e</t>
  </si>
  <si>
    <t>p_inf</t>
  </si>
  <si>
    <t>c_p_air</t>
  </si>
  <si>
    <t>hPa</t>
  </si>
  <si>
    <t>R_c</t>
  </si>
  <si>
    <t>q_cycl</t>
  </si>
  <si>
    <t>m_ice</t>
  </si>
  <si>
    <t>delta_T</t>
  </si>
  <si>
    <t>k_ps</t>
  </si>
  <si>
    <t>S_ps</t>
  </si>
  <si>
    <t>heat on time</t>
  </si>
  <si>
    <t>t_cycl</t>
  </si>
  <si>
    <t>A320</t>
  </si>
  <si>
    <t>S_ice</t>
  </si>
  <si>
    <t>km/h</t>
  </si>
  <si>
    <t>AIR 1168/4</t>
  </si>
  <si>
    <t>P_req_cycl</t>
  </si>
  <si>
    <t>P_req_simul</t>
  </si>
  <si>
    <t>kW</t>
  </si>
  <si>
    <t>Verhältnis Partingsstips zur Gesamtfläche</t>
  </si>
  <si>
    <t>Verhältnis heat on time zur Gesamtzeit</t>
  </si>
  <si>
    <t>Power Requirements for a Generic Heater Layout</t>
  </si>
  <si>
    <t>Absolute Power Requirements for De-Icing</t>
  </si>
  <si>
    <t>787 (maximal Slatanzahl = 8)</t>
  </si>
  <si>
    <t>Calculated</t>
  </si>
  <si>
    <t>http://www.lissys.demon.co.uk/pug/c03.html</t>
  </si>
  <si>
    <t>GEOMETRY REPORT</t>
  </si>
  <si>
    <t>Wing</t>
  </si>
  <si>
    <t>Stabiliser</t>
  </si>
  <si>
    <t>Fin</t>
  </si>
  <si>
    <t>Area, trapezoidal reference</t>
  </si>
  <si>
    <t>3501.39</t>
  </si>
  <si>
    <t>832.50</t>
  </si>
  <si>
    <t>427.50</t>
  </si>
  <si>
    <t>sq.feet</t>
  </si>
  <si>
    <t>Area, piano gross</t>
  </si>
  <si>
    <t>4028.47</t>
  </si>
  <si>
    <t>Area, airbus gross</t>
  </si>
  <si>
    <t>3971.42</t>
  </si>
  <si>
    <t>Area, boeing wimpress</t>
  </si>
  <si>
    <t>3870.00</t>
  </si>
  <si>
    <t>Area, esdu</t>
  </si>
  <si>
    <t>3862.65</t>
  </si>
  <si>
    <t>Area, exposed</t>
  </si>
  <si>
    <t>3238.14</t>
  </si>
  <si>
    <t>636.15</t>
  </si>
  <si>
    <t>Area, wetted</t>
  </si>
  <si>
    <t>6591.18</t>
  </si>
  <si>
    <t>1292.43</t>
  </si>
  <si>
    <t>868.52</t>
  </si>
  <si>
    <t>Aspect Ratio, trapezoidal</t>
  </si>
  <si>
    <t>5.00</t>
  </si>
  <si>
    <t>Aspect Ratio, piano gross</t>
  </si>
  <si>
    <t>Aspect Ratio, airbus gross</t>
  </si>
  <si>
    <t>Aspect Ratio, boeing wimpress</t>
  </si>
  <si>
    <t>Aspect Ratio, esdu</t>
  </si>
  <si>
    <t>Span (excluding winglets)</t>
  </si>
  <si>
    <t>192.50</t>
  </si>
  <si>
    <t>64.52</t>
  </si>
  <si>
    <t>26.96</t>
  </si>
  <si>
    <t>feet</t>
  </si>
  <si>
    <t>Sweepback at 1/4-chord</t>
  </si>
  <si>
    <t>32.20</t>
  </si>
  <si>
    <t>36.00</t>
  </si>
  <si>
    <t>40.00</t>
  </si>
  <si>
    <t>degrees</t>
  </si>
  <si>
    <t>Taper Ratio (trapezoidal)</t>
  </si>
  <si>
    <t>0.18</t>
  </si>
  <si>
    <t>0.22</t>
  </si>
  <si>
    <t>0.33</t>
  </si>
  <si>
    <t>t/c at root</t>
  </si>
  <si>
    <t>0.134</t>
  </si>
  <si>
    <t>0.100</t>
  </si>
  <si>
    <t>t/c at thickness break</t>
  </si>
  <si>
    <t>0.094</t>
  </si>
  <si>
    <t>t/c at tip</t>
  </si>
  <si>
    <t>0.088</t>
  </si>
  <si>
    <t>Volume Coefficient (V-bar)</t>
  </si>
  <si>
    <t>0.921</t>
  </si>
  <si>
    <t>0.049</t>
  </si>
  <si>
    <t>Mean Aero Chord (trap.wing)</t>
  </si>
  <si>
    <t>14.66</t>
  </si>
  <si>
    <t>17.18</t>
  </si>
  <si>
    <t>Arm between MAC 1/4 chords</t>
  </si>
  <si>
    <t>81.81</t>
  </si>
  <si>
    <t>77.04</t>
  </si>
  <si>
    <t>Wing chord at tip</t>
  </si>
  <si>
    <t>Wing chord at planform break</t>
  </si>
  <si>
    <t>Wing chord at root (gross)</t>
  </si>
  <si>
    <t>Wing chord at c/line (gross)</t>
  </si>
  <si>
    <t>38.94</t>
  </si>
  <si>
    <t>45.00</t>
  </si>
  <si>
    <t>30.83</t>
  </si>
  <si>
    <t>10.58</t>
  </si>
  <si>
    <t>1.70</t>
  </si>
  <si>
    <t>9.20</t>
  </si>
  <si>
    <t>9.33</t>
  </si>
  <si>
    <t>9.58</t>
  </si>
  <si>
    <t>9.59</t>
  </si>
  <si>
    <t>21.12</t>
  </si>
  <si>
    <t>5.55</t>
  </si>
  <si>
    <t>21.06</t>
  </si>
  <si>
    <t>Wing chord at c/line (notional trapezoidal)</t>
  </si>
  <si>
    <t>112.15</t>
  </si>
  <si>
    <t>31.00</t>
  </si>
  <si>
    <t>21.50</t>
  </si>
  <si>
    <t>sq.metres</t>
  </si>
  <si>
    <t>124.47</t>
  </si>
  <si>
    <t>122.40</t>
  </si>
  <si>
    <t>119.83</t>
  </si>
  <si>
    <t>119.58</t>
  </si>
  <si>
    <t>98.40</t>
  </si>
  <si>
    <t>23.54</t>
  </si>
  <si>
    <t>201.10</t>
  </si>
  <si>
    <t>47.93</t>
  </si>
  <si>
    <t>43.78</t>
  </si>
  <si>
    <t>10.25</t>
  </si>
  <si>
    <t>1.60</t>
  </si>
  <si>
    <t>9.24</t>
  </si>
  <si>
    <t>9.39</t>
  </si>
  <si>
    <t>9.60</t>
  </si>
  <si>
    <t>9.62</t>
  </si>
  <si>
    <t>33.91</t>
  </si>
  <si>
    <t>12.45</t>
  </si>
  <si>
    <t>5.87</t>
  </si>
  <si>
    <t>metres</t>
  </si>
  <si>
    <t>25.00</t>
  </si>
  <si>
    <t>28.50</t>
  </si>
  <si>
    <t>35.00</t>
  </si>
  <si>
    <t>0.29</t>
  </si>
  <si>
    <t>0.31</t>
  </si>
  <si>
    <t>0.35</t>
  </si>
  <si>
    <t>0.153</t>
  </si>
  <si>
    <t>0.110</t>
  </si>
  <si>
    <t>0.115</t>
  </si>
  <si>
    <t>0.108</t>
  </si>
  <si>
    <t>1.319</t>
  </si>
  <si>
    <t>0.093</t>
  </si>
  <si>
    <t>Mean Aerodynamic Chord</t>
  </si>
  <si>
    <t>3.63</t>
  </si>
  <si>
    <t>2.72</t>
  </si>
  <si>
    <t>3.95</t>
  </si>
  <si>
    <t>17.34</t>
  </si>
  <si>
    <t>16.39</t>
  </si>
  <si>
    <t>1.51</t>
  </si>
  <si>
    <t>3.76</t>
  </si>
  <si>
    <t>6.02</t>
  </si>
  <si>
    <t>7.05</t>
  </si>
  <si>
    <t>5.11</t>
  </si>
  <si>
    <t>Eingabe je nach Flugzeugtyp</t>
  </si>
  <si>
    <t xml:space="preserve">Design Parameter </t>
  </si>
  <si>
    <t>t (aufzuschmelzende Eisdicke)</t>
  </si>
  <si>
    <t>S_Ice (gesamte zu enteisende Fläche)</t>
  </si>
  <si>
    <t>R_h (rel. Humidity)</t>
  </si>
  <si>
    <t>R_c (boundary recovery factor)</t>
  </si>
  <si>
    <t>kt</t>
  </si>
  <si>
    <t>Handbuchmethode zur Berechnung der</t>
  </si>
  <si>
    <t>Enteisungsleistung</t>
  </si>
  <si>
    <t>n (laminar boundary layer)</t>
  </si>
  <si>
    <r>
      <t xml:space="preserve">c_slat </t>
    </r>
    <r>
      <rPr>
        <sz val="10"/>
        <rFont val="Arial"/>
        <family val="2"/>
      </rPr>
      <t>(Ref.-Länge: Sehne)</t>
    </r>
  </si>
  <si>
    <r>
      <t xml:space="preserve">t </t>
    </r>
    <r>
      <rPr>
        <sz val="10"/>
        <rFont val="Arial"/>
        <family val="2"/>
      </rPr>
      <t>(Flügeldicke)</t>
    </r>
  </si>
  <si>
    <r>
      <t xml:space="preserve">Wirkungsgrad </t>
    </r>
    <r>
      <rPr>
        <sz val="10"/>
        <rFont val="Arial"/>
        <family val="2"/>
      </rPr>
      <t>(elek. System)</t>
    </r>
  </si>
  <si>
    <r>
      <t xml:space="preserve">t </t>
    </r>
    <r>
      <rPr>
        <sz val="10"/>
        <rFont val="Arial"/>
        <family val="2"/>
      </rPr>
      <t>(aufzuschmelzende Eisdicke)</t>
    </r>
  </si>
  <si>
    <t>Parameter B787</t>
  </si>
  <si>
    <t>Parameter A320</t>
  </si>
  <si>
    <t>q_A/I</t>
  </si>
  <si>
    <t>q_A/I_Final</t>
  </si>
  <si>
    <t xml:space="preserve">Sensible &amp; Latent Heating </t>
  </si>
  <si>
    <t>Kinetic Heating</t>
  </si>
  <si>
    <t>Aerodynamic Heating</t>
  </si>
  <si>
    <t>latent heat of fusion, L_f</t>
  </si>
  <si>
    <t>frozen fraction, n_f</t>
  </si>
  <si>
    <t>surface temperature</t>
  </si>
  <si>
    <t>°C</t>
  </si>
  <si>
    <t>m_dot</t>
  </si>
  <si>
    <t>catch efficency, E</t>
  </si>
  <si>
    <t>Profildicke, t</t>
  </si>
  <si>
    <t>Fluggeschwindigkeit, V</t>
  </si>
  <si>
    <t>thermal conductivity of air, k_0</t>
  </si>
  <si>
    <t>Dichte von Eis</t>
  </si>
  <si>
    <t>Referenzelänge</t>
  </si>
  <si>
    <r>
      <t xml:space="preserve">Fluggeschwindigkeit in </t>
    </r>
    <r>
      <rPr>
        <b/>
        <sz val="10"/>
        <rFont val="Arial"/>
        <family val="2"/>
      </rPr>
      <t>km/h</t>
    </r>
  </si>
  <si>
    <r>
      <t xml:space="preserve">Fluggeschwindigkeit in </t>
    </r>
    <r>
      <rPr>
        <b/>
        <sz val="10"/>
        <rFont val="Arial"/>
        <family val="2"/>
      </rPr>
      <t>Knoten</t>
    </r>
  </si>
  <si>
    <t>Frozen Fraction, n_f</t>
  </si>
  <si>
    <t>Luftdichte in MSL, rho_MSL *</t>
  </si>
  <si>
    <t>***</t>
  </si>
  <si>
    <t>* Eine Luftdichte in Meereshöhe ergibt die höchsten Anforderungen</t>
  </si>
  <si>
    <t>** Supercoold water sub 0°-Temperature: See: TN "Deicing", AIR1168/4</t>
  </si>
  <si>
    <t>*** Im Paper: 0,5</t>
  </si>
  <si>
    <t>m_ice (pro m²)</t>
  </si>
  <si>
    <t>A</t>
  </si>
  <si>
    <t>kinematische Viskosität, nu</t>
  </si>
  <si>
    <t>Thermal Conductivity of Air</t>
  </si>
  <si>
    <t>T [K]</t>
  </si>
  <si>
    <t>k [W/(m K)]</t>
  </si>
  <si>
    <t>k =</t>
  </si>
  <si>
    <t xml:space="preserve">T = </t>
  </si>
  <si>
    <t>W/(m K)</t>
  </si>
  <si>
    <t>k = k_200 + (k_300 - k_200) *( T - 200)/100</t>
  </si>
  <si>
    <t>input</t>
  </si>
  <si>
    <t>output</t>
  </si>
  <si>
    <t>Air Temperature, T</t>
  </si>
  <si>
    <t>Calculation for Tab "Handbook Method"</t>
  </si>
  <si>
    <t>input value</t>
  </si>
  <si>
    <t>Basic Parameters</t>
  </si>
  <si>
    <t>Heat Transfer Components</t>
  </si>
  <si>
    <r>
      <t>Heat Transfer, total power per m</t>
    </r>
    <r>
      <rPr>
        <b/>
        <vertAlign val="superscript"/>
        <sz val="10"/>
        <rFont val="Arial"/>
        <family val="2"/>
      </rPr>
      <t>2</t>
    </r>
  </si>
  <si>
    <t>Deviation from AIR 1168/4</t>
  </si>
  <si>
    <t>dynamic viscosity, mu</t>
  </si>
  <si>
    <t>Air temperature, T</t>
  </si>
  <si>
    <t>parameter, S</t>
  </si>
  <si>
    <t>parameter, beta_S</t>
  </si>
  <si>
    <t>kg/(m*s*K^1/2)</t>
  </si>
  <si>
    <t>Goff-Gratch Equation</t>
  </si>
  <si>
    <t>where</t>
  </si>
  <si>
    <t>a</t>
  </si>
  <si>
    <t>d</t>
  </si>
  <si>
    <t>e_st</t>
  </si>
  <si>
    <t>b</t>
  </si>
  <si>
    <t>f</t>
  </si>
  <si>
    <t>T_s</t>
  </si>
  <si>
    <t>c</t>
  </si>
  <si>
    <t>h</t>
  </si>
  <si>
    <t>Using boiling point at 373,16 K and saturation vapor pressure at boiling point at 1013,246 hPa (compared with ITS-90 values of boiling point at 373,15 K with saturation vapor pressure 1013,25 hPa)</t>
  </si>
  <si>
    <t>(T : Temperature in Kelvin)</t>
  </si>
  <si>
    <t>Source: http://hurri.kean.edu/~yoh/calculations/satvap/satvap.html</t>
  </si>
  <si>
    <t>Saturation Vapor Pressure over Liquid Water (Similar Values over Ice)</t>
  </si>
  <si>
    <t>air temperature, t **</t>
  </si>
  <si>
    <t>t_1</t>
  </si>
  <si>
    <t>T_1</t>
  </si>
  <si>
    <t>Z_1</t>
  </si>
  <si>
    <t>e_s_1</t>
  </si>
  <si>
    <t>t_2</t>
  </si>
  <si>
    <t>T_2</t>
  </si>
  <si>
    <t>Z_2</t>
  </si>
  <si>
    <t>e_s_2</t>
  </si>
  <si>
    <t>e_inf  ****</t>
  </si>
  <si>
    <t>e_surf  ****</t>
  </si>
  <si>
    <t>**** See Tab "Vapor Pressure"</t>
  </si>
  <si>
    <t>time, t</t>
  </si>
  <si>
    <t>Autor: Oliver Meier, Dieter Scholz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</si>
</sst>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##"/>
    <numFmt numFmtId="165" formatCode="0.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000"/>
    <numFmt numFmtId="171" formatCode="0.00000"/>
    <numFmt numFmtId="172" formatCode="0.000"/>
    <numFmt numFmtId="173" formatCode="0.00000000"/>
    <numFmt numFmtId="174" formatCode="0.0000000"/>
    <numFmt numFmtId="175" formatCode="0.0"/>
    <numFmt numFmtId="176" formatCode="0.0%"/>
    <numFmt numFmtId="177" formatCode="0.0000E+00"/>
    <numFmt numFmtId="178" formatCode="0.000E+00"/>
    <numFmt numFmtId="179" formatCode="0.00000000E+00"/>
    <numFmt numFmtId="180" formatCode="0.E+00"/>
    <numFmt numFmtId="181" formatCode="0.0.E+00"/>
    <numFmt numFmtId="182" formatCode="0.00.E+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7.5"/>
      <name val="Arial Unicode MS"/>
      <family val="2"/>
    </font>
    <font>
      <b/>
      <sz val="10"/>
      <name val="Arial Unicode MS"/>
      <family val="2"/>
    </font>
    <font>
      <b/>
      <sz val="7.5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5" borderId="17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35" borderId="1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72" fontId="0" fillId="33" borderId="17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49" fontId="5" fillId="0" borderId="20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8" fillId="33" borderId="20" xfId="0" applyNumberFormat="1" applyFont="1" applyFill="1" applyBorder="1" applyAlignment="1">
      <alignment/>
    </xf>
    <xf numFmtId="49" fontId="6" fillId="33" borderId="21" xfId="0" applyNumberFormat="1" applyFont="1" applyFill="1" applyBorder="1" applyAlignment="1">
      <alignment/>
    </xf>
    <xf numFmtId="49" fontId="8" fillId="33" borderId="22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49" fontId="8" fillId="33" borderId="23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49" fontId="9" fillId="33" borderId="24" xfId="0" applyNumberFormat="1" applyFon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2" fillId="0" borderId="0" xfId="0" applyFont="1" applyAlignment="1">
      <alignment/>
    </xf>
    <xf numFmtId="2" fontId="0" fillId="33" borderId="17" xfId="0" applyNumberFormat="1" applyFill="1" applyBorder="1" applyAlignment="1">
      <alignment/>
    </xf>
    <xf numFmtId="175" fontId="0" fillId="33" borderId="17" xfId="0" applyNumberFormat="1" applyFill="1" applyBorder="1" applyAlignment="1">
      <alignment/>
    </xf>
    <xf numFmtId="171" fontId="0" fillId="33" borderId="17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72" fontId="0" fillId="33" borderId="25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0" fontId="13" fillId="0" borderId="0" xfId="0" applyFont="1" applyAlignment="1">
      <alignment/>
    </xf>
    <xf numFmtId="175" fontId="0" fillId="34" borderId="0" xfId="0" applyNumberFormat="1" applyFill="1" applyBorder="1" applyAlignment="1">
      <alignment/>
    </xf>
    <xf numFmtId="175" fontId="0" fillId="34" borderId="19" xfId="0" applyNumberForma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1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65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6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1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0" fillId="34" borderId="0" xfId="0" applyFill="1" applyAlignment="1">
      <alignment/>
    </xf>
    <xf numFmtId="173" fontId="0" fillId="0" borderId="0" xfId="0" applyNumberFormat="1" applyFill="1" applyBorder="1" applyAlignment="1">
      <alignment/>
    </xf>
    <xf numFmtId="176" fontId="0" fillId="0" borderId="19" xfId="54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2" fontId="0" fillId="34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5" fillId="0" borderId="29" xfId="0" applyFont="1" applyBorder="1" applyAlignment="1">
      <alignment horizontal="right"/>
    </xf>
    <xf numFmtId="165" fontId="1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77" fontId="0" fillId="33" borderId="17" xfId="0" applyNumberFormat="1" applyFill="1" applyBorder="1" applyAlignment="1">
      <alignment/>
    </xf>
    <xf numFmtId="178" fontId="0" fillId="34" borderId="19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6" fillId="0" borderId="0" xfId="0" applyFont="1" applyAlignment="1">
      <alignment horizontal="left" indent="1"/>
    </xf>
    <xf numFmtId="0" fontId="12" fillId="0" borderId="0" xfId="0" applyFont="1" applyAlignment="1">
      <alignment/>
    </xf>
    <xf numFmtId="172" fontId="14" fillId="0" borderId="0" xfId="0" applyNumberFormat="1" applyFont="1" applyAlignment="1">
      <alignment/>
    </xf>
    <xf numFmtId="178" fontId="0" fillId="0" borderId="19" xfId="0" applyNumberFormat="1" applyFill="1" applyBorder="1" applyAlignment="1">
      <alignment/>
    </xf>
    <xf numFmtId="178" fontId="0" fillId="33" borderId="17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71" fontId="0" fillId="0" borderId="0" xfId="0" applyNumberFormat="1" applyFill="1" applyBorder="1" applyAlignment="1">
      <alignment/>
    </xf>
    <xf numFmtId="9" fontId="0" fillId="34" borderId="0" xfId="54" applyFont="1" applyFill="1" applyBorder="1" applyAlignment="1">
      <alignment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fault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Heading" xfId="49"/>
    <cellStyle name="Heading1" xfId="50"/>
    <cellStyle name="Hyperlink" xfId="51"/>
    <cellStyle name="Neutral" xfId="52"/>
    <cellStyle name="Notiz" xfId="53"/>
    <cellStyle name="Percent" xfId="54"/>
    <cellStyle name="Result" xfId="55"/>
    <cellStyle name="Result2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65"/>
          <c:w val="0.92775"/>
          <c:h val="0.8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Conductivity!$B$3</c:f>
              <c:strCache>
                <c:ptCount val="1"/>
                <c:pt idx="0">
                  <c:v>k [W/(m K)]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Conductivity!$A$4:$A$14</c:f>
              <c:numCache/>
            </c:numRef>
          </c:xVal>
          <c:yVal>
            <c:numRef>
              <c:f>Conductivity!$B$4:$B$14</c:f>
              <c:numCache/>
            </c:numRef>
          </c:yVal>
          <c:smooth val="1"/>
        </c:ser>
        <c:axId val="38539516"/>
        <c:axId val="11311325"/>
      </c:scatterChart>
      <c:val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[K]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 val="autoZero"/>
        <c:crossBetween val="midCat"/>
        <c:dispUnits/>
      </c:valAx>
      <c:valAx>
        <c:axId val="1131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Thermal Conductivity of Air [W/(mK)]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95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18</xdr:row>
      <xdr:rowOff>0</xdr:rowOff>
    </xdr:from>
    <xdr:to>
      <xdr:col>13</xdr:col>
      <xdr:colOff>476250</xdr:colOff>
      <xdr:row>22</xdr:row>
      <xdr:rowOff>114300</xdr:rowOff>
    </xdr:to>
    <xdr:sp>
      <xdr:nvSpPr>
        <xdr:cNvPr id="1" name="Gerade Verbindung mit Pfeil 2"/>
        <xdr:cNvSpPr>
          <a:spLocks/>
        </xdr:cNvSpPr>
      </xdr:nvSpPr>
      <xdr:spPr>
        <a:xfrm rot="5400000">
          <a:off x="13315950" y="3114675"/>
          <a:ext cx="419100" cy="76200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723900</xdr:colOff>
      <xdr:row>18</xdr:row>
      <xdr:rowOff>0</xdr:rowOff>
    </xdr:from>
    <xdr:to>
      <xdr:col>17</xdr:col>
      <xdr:colOff>657225</xdr:colOff>
      <xdr:row>22</xdr:row>
      <xdr:rowOff>152400</xdr:rowOff>
    </xdr:to>
    <xdr:sp>
      <xdr:nvSpPr>
        <xdr:cNvPr id="2" name="Gerade Verbindung mit Pfeil 4"/>
        <xdr:cNvSpPr>
          <a:spLocks/>
        </xdr:cNvSpPr>
      </xdr:nvSpPr>
      <xdr:spPr>
        <a:xfrm>
          <a:off x="17345025" y="3114675"/>
          <a:ext cx="704850" cy="80010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9525</xdr:rowOff>
    </xdr:from>
    <xdr:to>
      <xdr:col>17</xdr:col>
      <xdr:colOff>257175</xdr:colOff>
      <xdr:row>61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438150"/>
          <a:ext cx="9582150" cy="958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9525</xdr:colOff>
      <xdr:row>9</xdr:row>
      <xdr:rowOff>142875</xdr:rowOff>
    </xdr:from>
    <xdr:to>
      <xdr:col>15</xdr:col>
      <xdr:colOff>0</xdr:colOff>
      <xdr:row>11</xdr:row>
      <xdr:rowOff>38100</xdr:rowOff>
    </xdr:to>
    <xdr:sp>
      <xdr:nvSpPr>
        <xdr:cNvPr id="2" name="Gerade Verbindung 3"/>
        <xdr:cNvSpPr>
          <a:spLocks/>
        </xdr:cNvSpPr>
      </xdr:nvSpPr>
      <xdr:spPr>
        <a:xfrm flipV="1">
          <a:off x="12725400" y="1704975"/>
          <a:ext cx="1685925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76200</xdr:rowOff>
    </xdr:from>
    <xdr:to>
      <xdr:col>13</xdr:col>
      <xdr:colOff>28575</xdr:colOff>
      <xdr:row>11</xdr:row>
      <xdr:rowOff>38100</xdr:rowOff>
    </xdr:to>
    <xdr:sp>
      <xdr:nvSpPr>
        <xdr:cNvPr id="3" name="Gerade Verbindung 5"/>
        <xdr:cNvSpPr>
          <a:spLocks/>
        </xdr:cNvSpPr>
      </xdr:nvSpPr>
      <xdr:spPr>
        <a:xfrm rot="5400000" flipH="1" flipV="1">
          <a:off x="12734925" y="1638300"/>
          <a:ext cx="9525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847725</xdr:colOff>
      <xdr:row>8</xdr:row>
      <xdr:rowOff>142875</xdr:rowOff>
    </xdr:from>
    <xdr:to>
      <xdr:col>14</xdr:col>
      <xdr:colOff>0</xdr:colOff>
      <xdr:row>10</xdr:row>
      <xdr:rowOff>104775</xdr:rowOff>
    </xdr:to>
    <xdr:sp>
      <xdr:nvSpPr>
        <xdr:cNvPr id="4" name="Gerade Verbindung 7"/>
        <xdr:cNvSpPr>
          <a:spLocks/>
        </xdr:cNvSpPr>
      </xdr:nvSpPr>
      <xdr:spPr>
        <a:xfrm rot="5400000" flipH="1" flipV="1">
          <a:off x="13563600" y="1543050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828675</xdr:colOff>
      <xdr:row>8</xdr:row>
      <xdr:rowOff>19050</xdr:rowOff>
    </xdr:from>
    <xdr:to>
      <xdr:col>14</xdr:col>
      <xdr:colOff>838200</xdr:colOff>
      <xdr:row>9</xdr:row>
      <xdr:rowOff>152400</xdr:rowOff>
    </xdr:to>
    <xdr:sp>
      <xdr:nvSpPr>
        <xdr:cNvPr id="5" name="Gerade Verbindung 8"/>
        <xdr:cNvSpPr>
          <a:spLocks/>
        </xdr:cNvSpPr>
      </xdr:nvSpPr>
      <xdr:spPr>
        <a:xfrm rot="5400000" flipH="1" flipV="1">
          <a:off x="14392275" y="1419225"/>
          <a:ext cx="9525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10</xdr:row>
      <xdr:rowOff>133350</xdr:rowOff>
    </xdr:from>
    <xdr:to>
      <xdr:col>14</xdr:col>
      <xdr:colOff>647700</xdr:colOff>
      <xdr:row>13</xdr:row>
      <xdr:rowOff>19050</xdr:rowOff>
    </xdr:to>
    <xdr:sp>
      <xdr:nvSpPr>
        <xdr:cNvPr id="6" name="Textfeld 9"/>
        <xdr:cNvSpPr txBox="1">
          <a:spLocks noChangeArrowheads="1"/>
        </xdr:cNvSpPr>
      </xdr:nvSpPr>
      <xdr:spPr>
        <a:xfrm>
          <a:off x="13201650" y="1857375"/>
          <a:ext cx="1009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l=18,32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m</a:t>
          </a:r>
        </a:p>
      </xdr:txBody>
    </xdr:sp>
    <xdr:clientData/>
  </xdr:twoCellAnchor>
  <xdr:twoCellAnchor>
    <xdr:from>
      <xdr:col>12</xdr:col>
      <xdr:colOff>381000</xdr:colOff>
      <xdr:row>7</xdr:row>
      <xdr:rowOff>85725</xdr:rowOff>
    </xdr:from>
    <xdr:to>
      <xdr:col>13</xdr:col>
      <xdr:colOff>542925</xdr:colOff>
      <xdr:row>9</xdr:row>
      <xdr:rowOff>133350</xdr:rowOff>
    </xdr:to>
    <xdr:sp>
      <xdr:nvSpPr>
        <xdr:cNvPr id="7" name="Textfeld 10"/>
        <xdr:cNvSpPr txBox="1">
          <a:spLocks noChangeArrowheads="1"/>
        </xdr:cNvSpPr>
      </xdr:nvSpPr>
      <xdr:spPr>
        <a:xfrm>
          <a:off x="12249150" y="1323975"/>
          <a:ext cx="1009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t=0,814m</a:t>
          </a:r>
        </a:p>
      </xdr:txBody>
    </xdr:sp>
    <xdr:clientData/>
  </xdr:twoCellAnchor>
  <xdr:twoCellAnchor>
    <xdr:from>
      <xdr:col>14</xdr:col>
      <xdr:colOff>447675</xdr:colOff>
      <xdr:row>6</xdr:row>
      <xdr:rowOff>28575</xdr:rowOff>
    </xdr:from>
    <xdr:to>
      <xdr:col>15</xdr:col>
      <xdr:colOff>600075</xdr:colOff>
      <xdr:row>8</xdr:row>
      <xdr:rowOff>85725</xdr:rowOff>
    </xdr:to>
    <xdr:sp>
      <xdr:nvSpPr>
        <xdr:cNvPr id="8" name="Textfeld 11"/>
        <xdr:cNvSpPr txBox="1">
          <a:spLocks noChangeArrowheads="1"/>
        </xdr:cNvSpPr>
      </xdr:nvSpPr>
      <xdr:spPr>
        <a:xfrm>
          <a:off x="14011275" y="1104900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t=0,331 m</a:t>
          </a:r>
        </a:p>
      </xdr:txBody>
    </xdr:sp>
    <xdr:clientData/>
  </xdr:twoCellAnchor>
  <xdr:twoCellAnchor>
    <xdr:from>
      <xdr:col>13</xdr:col>
      <xdr:colOff>400050</xdr:colOff>
      <xdr:row>6</xdr:row>
      <xdr:rowOff>152400</xdr:rowOff>
    </xdr:from>
    <xdr:to>
      <xdr:col>14</xdr:col>
      <xdr:colOff>552450</xdr:colOff>
      <xdr:row>9</xdr:row>
      <xdr:rowOff>38100</xdr:rowOff>
    </xdr:to>
    <xdr:sp>
      <xdr:nvSpPr>
        <xdr:cNvPr id="9" name="Textfeld 12"/>
        <xdr:cNvSpPr txBox="1">
          <a:spLocks noChangeArrowheads="1"/>
        </xdr:cNvSpPr>
      </xdr:nvSpPr>
      <xdr:spPr>
        <a:xfrm>
          <a:off x="13115925" y="122872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t=0,647 m</a:t>
          </a:r>
        </a:p>
      </xdr:txBody>
    </xdr:sp>
    <xdr:clientData/>
  </xdr:twoCellAnchor>
  <xdr:twoCellAnchor>
    <xdr:from>
      <xdr:col>10</xdr:col>
      <xdr:colOff>514350</xdr:colOff>
      <xdr:row>33</xdr:row>
      <xdr:rowOff>47625</xdr:rowOff>
    </xdr:from>
    <xdr:to>
      <xdr:col>11</xdr:col>
      <xdr:colOff>790575</xdr:colOff>
      <xdr:row>33</xdr:row>
      <xdr:rowOff>57150</xdr:rowOff>
    </xdr:to>
    <xdr:sp>
      <xdr:nvSpPr>
        <xdr:cNvPr id="10" name="Gerade Verbindung 13"/>
        <xdr:cNvSpPr>
          <a:spLocks/>
        </xdr:cNvSpPr>
      </xdr:nvSpPr>
      <xdr:spPr>
        <a:xfrm rot="10800000" flipV="1">
          <a:off x="10687050" y="5495925"/>
          <a:ext cx="11239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38</xdr:row>
      <xdr:rowOff>95250</xdr:rowOff>
    </xdr:from>
    <xdr:to>
      <xdr:col>12</xdr:col>
      <xdr:colOff>19050</xdr:colOff>
      <xdr:row>38</xdr:row>
      <xdr:rowOff>104775</xdr:rowOff>
    </xdr:to>
    <xdr:sp>
      <xdr:nvSpPr>
        <xdr:cNvPr id="11" name="Gerade Verbindung 15"/>
        <xdr:cNvSpPr>
          <a:spLocks/>
        </xdr:cNvSpPr>
      </xdr:nvSpPr>
      <xdr:spPr>
        <a:xfrm rot="10800000" flipV="1">
          <a:off x="11277600" y="6362700"/>
          <a:ext cx="6096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48</xdr:row>
      <xdr:rowOff>66675</xdr:rowOff>
    </xdr:from>
    <xdr:to>
      <xdr:col>12</xdr:col>
      <xdr:colOff>723900</xdr:colOff>
      <xdr:row>48</xdr:row>
      <xdr:rowOff>66675</xdr:rowOff>
    </xdr:to>
    <xdr:sp>
      <xdr:nvSpPr>
        <xdr:cNvPr id="12" name="Gerade Verbindung 17"/>
        <xdr:cNvSpPr>
          <a:spLocks/>
        </xdr:cNvSpPr>
      </xdr:nvSpPr>
      <xdr:spPr>
        <a:xfrm rot="10800000" flipV="1">
          <a:off x="12392025" y="7953375"/>
          <a:ext cx="200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47625</xdr:rowOff>
    </xdr:from>
    <xdr:to>
      <xdr:col>11</xdr:col>
      <xdr:colOff>352425</xdr:colOff>
      <xdr:row>38</xdr:row>
      <xdr:rowOff>85725</xdr:rowOff>
    </xdr:to>
    <xdr:sp>
      <xdr:nvSpPr>
        <xdr:cNvPr id="13" name="Gerade Verbindung 21"/>
        <xdr:cNvSpPr>
          <a:spLocks/>
        </xdr:cNvSpPr>
      </xdr:nvSpPr>
      <xdr:spPr>
        <a:xfrm rot="10800000" flipV="1">
          <a:off x="11287125" y="6315075"/>
          <a:ext cx="85725" cy="38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19050</xdr:rowOff>
    </xdr:from>
    <xdr:to>
      <xdr:col>12</xdr:col>
      <xdr:colOff>552450</xdr:colOff>
      <xdr:row>48</xdr:row>
      <xdr:rowOff>57150</xdr:rowOff>
    </xdr:to>
    <xdr:sp>
      <xdr:nvSpPr>
        <xdr:cNvPr id="14" name="Gerade Verbindung 24"/>
        <xdr:cNvSpPr>
          <a:spLocks/>
        </xdr:cNvSpPr>
      </xdr:nvSpPr>
      <xdr:spPr>
        <a:xfrm rot="10800000" flipV="1">
          <a:off x="12382500" y="7905750"/>
          <a:ext cx="38100" cy="38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31</xdr:row>
      <xdr:rowOff>95250</xdr:rowOff>
    </xdr:from>
    <xdr:to>
      <xdr:col>13</xdr:col>
      <xdr:colOff>180975</xdr:colOff>
      <xdr:row>33</xdr:row>
      <xdr:rowOff>142875</xdr:rowOff>
    </xdr:to>
    <xdr:sp>
      <xdr:nvSpPr>
        <xdr:cNvPr id="15" name="Textfeld 26"/>
        <xdr:cNvSpPr txBox="1">
          <a:spLocks noChangeArrowheads="1"/>
        </xdr:cNvSpPr>
      </xdr:nvSpPr>
      <xdr:spPr>
        <a:xfrm>
          <a:off x="11896725" y="5219700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c=12 m</a:t>
          </a:r>
        </a:p>
      </xdr:txBody>
    </xdr:sp>
    <xdr:clientData/>
  </xdr:twoCellAnchor>
  <xdr:twoCellAnchor>
    <xdr:from>
      <xdr:col>12</xdr:col>
      <xdr:colOff>95250</xdr:colOff>
      <xdr:row>37</xdr:row>
      <xdr:rowOff>114300</xdr:rowOff>
    </xdr:from>
    <xdr:to>
      <xdr:col>13</xdr:col>
      <xdr:colOff>247650</xdr:colOff>
      <xdr:row>39</xdr:row>
      <xdr:rowOff>161925</xdr:rowOff>
    </xdr:to>
    <xdr:sp>
      <xdr:nvSpPr>
        <xdr:cNvPr id="16" name="Textfeld 27"/>
        <xdr:cNvSpPr txBox="1">
          <a:spLocks noChangeArrowheads="1"/>
        </xdr:cNvSpPr>
      </xdr:nvSpPr>
      <xdr:spPr>
        <a:xfrm>
          <a:off x="11963400" y="621982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c=6,3 m</a:t>
          </a:r>
        </a:p>
      </xdr:txBody>
    </xdr:sp>
    <xdr:clientData/>
  </xdr:twoCellAnchor>
  <xdr:twoCellAnchor>
    <xdr:from>
      <xdr:col>12</xdr:col>
      <xdr:colOff>733425</xdr:colOff>
      <xdr:row>47</xdr:row>
      <xdr:rowOff>9525</xdr:rowOff>
    </xdr:from>
    <xdr:to>
      <xdr:col>14</xdr:col>
      <xdr:colOff>47625</xdr:colOff>
      <xdr:row>49</xdr:row>
      <xdr:rowOff>66675</xdr:rowOff>
    </xdr:to>
    <xdr:sp>
      <xdr:nvSpPr>
        <xdr:cNvPr id="17" name="Textfeld 28"/>
        <xdr:cNvSpPr txBox="1">
          <a:spLocks noChangeArrowheads="1"/>
        </xdr:cNvSpPr>
      </xdr:nvSpPr>
      <xdr:spPr>
        <a:xfrm>
          <a:off x="12601575" y="7734300"/>
          <a:ext cx="1009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c=1,73 m</a:t>
          </a:r>
        </a:p>
      </xdr:txBody>
    </xdr:sp>
    <xdr:clientData/>
  </xdr:twoCellAnchor>
  <xdr:twoCellAnchor>
    <xdr:from>
      <xdr:col>11</xdr:col>
      <xdr:colOff>304800</xdr:colOff>
      <xdr:row>47</xdr:row>
      <xdr:rowOff>19050</xdr:rowOff>
    </xdr:from>
    <xdr:to>
      <xdr:col>12</xdr:col>
      <xdr:colOff>457200</xdr:colOff>
      <xdr:row>49</xdr:row>
      <xdr:rowOff>66675</xdr:rowOff>
    </xdr:to>
    <xdr:sp>
      <xdr:nvSpPr>
        <xdr:cNvPr id="18" name="Textfeld 29"/>
        <xdr:cNvSpPr txBox="1">
          <a:spLocks noChangeArrowheads="1"/>
        </xdr:cNvSpPr>
      </xdr:nvSpPr>
      <xdr:spPr>
        <a:xfrm>
          <a:off x="11325225" y="774382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c_slat=0,34 m</a:t>
          </a:r>
        </a:p>
      </xdr:txBody>
    </xdr:sp>
    <xdr:clientData/>
  </xdr:twoCellAnchor>
  <xdr:twoCellAnchor>
    <xdr:from>
      <xdr:col>10</xdr:col>
      <xdr:colOff>171450</xdr:colOff>
      <xdr:row>38</xdr:row>
      <xdr:rowOff>95250</xdr:rowOff>
    </xdr:from>
    <xdr:to>
      <xdr:col>11</xdr:col>
      <xdr:colOff>323850</xdr:colOff>
      <xdr:row>40</xdr:row>
      <xdr:rowOff>142875</xdr:rowOff>
    </xdr:to>
    <xdr:sp>
      <xdr:nvSpPr>
        <xdr:cNvPr id="19" name="Textfeld 30"/>
        <xdr:cNvSpPr txBox="1">
          <a:spLocks noChangeArrowheads="1"/>
        </xdr:cNvSpPr>
      </xdr:nvSpPr>
      <xdr:spPr>
        <a:xfrm>
          <a:off x="10344150" y="6362700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c_slat=1,02 m</a:t>
          </a:r>
        </a:p>
      </xdr:txBody>
    </xdr:sp>
    <xdr:clientData/>
  </xdr:twoCellAnchor>
  <xdr:twoCellAnchor>
    <xdr:from>
      <xdr:col>12</xdr:col>
      <xdr:colOff>838200</xdr:colOff>
      <xdr:row>9</xdr:row>
      <xdr:rowOff>142875</xdr:rowOff>
    </xdr:from>
    <xdr:to>
      <xdr:col>14</xdr:col>
      <xdr:colOff>838200</xdr:colOff>
      <xdr:row>11</xdr:row>
      <xdr:rowOff>38100</xdr:rowOff>
    </xdr:to>
    <xdr:sp>
      <xdr:nvSpPr>
        <xdr:cNvPr id="20" name="Gerade Verbindung 32"/>
        <xdr:cNvSpPr>
          <a:spLocks/>
        </xdr:cNvSpPr>
      </xdr:nvSpPr>
      <xdr:spPr>
        <a:xfrm flipV="1">
          <a:off x="12706350" y="1704975"/>
          <a:ext cx="1695450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76200</xdr:rowOff>
    </xdr:from>
    <xdr:to>
      <xdr:col>13</xdr:col>
      <xdr:colOff>9525</xdr:colOff>
      <xdr:row>11</xdr:row>
      <xdr:rowOff>38100</xdr:rowOff>
    </xdr:to>
    <xdr:sp>
      <xdr:nvSpPr>
        <xdr:cNvPr id="21" name="Gerade Verbindung 33"/>
        <xdr:cNvSpPr>
          <a:spLocks/>
        </xdr:cNvSpPr>
      </xdr:nvSpPr>
      <xdr:spPr>
        <a:xfrm rot="5400000" flipH="1" flipV="1">
          <a:off x="12725400" y="1638300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819150</xdr:colOff>
      <xdr:row>8</xdr:row>
      <xdr:rowOff>19050</xdr:rowOff>
    </xdr:from>
    <xdr:to>
      <xdr:col>14</xdr:col>
      <xdr:colOff>819150</xdr:colOff>
      <xdr:row>9</xdr:row>
      <xdr:rowOff>152400</xdr:rowOff>
    </xdr:to>
    <xdr:sp>
      <xdr:nvSpPr>
        <xdr:cNvPr id="22" name="Gerade Verbindung 34"/>
        <xdr:cNvSpPr>
          <a:spLocks/>
        </xdr:cNvSpPr>
      </xdr:nvSpPr>
      <xdr:spPr>
        <a:xfrm rot="5400000" flipH="1" flipV="1">
          <a:off x="14382750" y="1419225"/>
          <a:ext cx="0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18</xdr:row>
      <xdr:rowOff>161925</xdr:rowOff>
    </xdr:from>
    <xdr:to>
      <xdr:col>15</xdr:col>
      <xdr:colOff>180975</xdr:colOff>
      <xdr:row>20</xdr:row>
      <xdr:rowOff>66675</xdr:rowOff>
    </xdr:to>
    <xdr:sp>
      <xdr:nvSpPr>
        <xdr:cNvPr id="23" name="Gerade Verbindung 35"/>
        <xdr:cNvSpPr>
          <a:spLocks/>
        </xdr:cNvSpPr>
      </xdr:nvSpPr>
      <xdr:spPr>
        <a:xfrm flipV="1">
          <a:off x="12896850" y="3181350"/>
          <a:ext cx="1695450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95250</xdr:rowOff>
    </xdr:from>
    <xdr:to>
      <xdr:col>13</xdr:col>
      <xdr:colOff>200025</xdr:colOff>
      <xdr:row>20</xdr:row>
      <xdr:rowOff>57150</xdr:rowOff>
    </xdr:to>
    <xdr:sp>
      <xdr:nvSpPr>
        <xdr:cNvPr id="24" name="Gerade Verbindung 36"/>
        <xdr:cNvSpPr>
          <a:spLocks/>
        </xdr:cNvSpPr>
      </xdr:nvSpPr>
      <xdr:spPr>
        <a:xfrm rot="5400000" flipH="1" flipV="1">
          <a:off x="12915900" y="3114675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17</xdr:row>
      <xdr:rowOff>47625</xdr:rowOff>
    </xdr:from>
    <xdr:to>
      <xdr:col>15</xdr:col>
      <xdr:colOff>161925</xdr:colOff>
      <xdr:row>19</xdr:row>
      <xdr:rowOff>9525</xdr:rowOff>
    </xdr:to>
    <xdr:sp>
      <xdr:nvSpPr>
        <xdr:cNvPr id="25" name="Gerade Verbindung 37"/>
        <xdr:cNvSpPr>
          <a:spLocks/>
        </xdr:cNvSpPr>
      </xdr:nvSpPr>
      <xdr:spPr>
        <a:xfrm rot="5400000" flipH="1" flipV="1">
          <a:off x="14573250" y="2905125"/>
          <a:ext cx="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17</xdr:row>
      <xdr:rowOff>38100</xdr:rowOff>
    </xdr:from>
    <xdr:to>
      <xdr:col>15</xdr:col>
      <xdr:colOff>200025</xdr:colOff>
      <xdr:row>18</xdr:row>
      <xdr:rowOff>104775</xdr:rowOff>
    </xdr:to>
    <xdr:sp>
      <xdr:nvSpPr>
        <xdr:cNvPr id="26" name="Gerade Verbindung 41"/>
        <xdr:cNvSpPr>
          <a:spLocks/>
        </xdr:cNvSpPr>
      </xdr:nvSpPr>
      <xdr:spPr>
        <a:xfrm flipV="1">
          <a:off x="12925425" y="2895600"/>
          <a:ext cx="1685925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95250</xdr:rowOff>
    </xdr:from>
    <xdr:to>
      <xdr:col>14</xdr:col>
      <xdr:colOff>95250</xdr:colOff>
      <xdr:row>16</xdr:row>
      <xdr:rowOff>142875</xdr:rowOff>
    </xdr:to>
    <xdr:sp>
      <xdr:nvSpPr>
        <xdr:cNvPr id="27" name="Gerade Verbindung mit Pfeil 45"/>
        <xdr:cNvSpPr>
          <a:spLocks/>
        </xdr:cNvSpPr>
      </xdr:nvSpPr>
      <xdr:spPr>
        <a:xfrm rot="5400000">
          <a:off x="13658850" y="2305050"/>
          <a:ext cx="0" cy="5334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20</xdr:row>
      <xdr:rowOff>28575</xdr:rowOff>
    </xdr:from>
    <xdr:to>
      <xdr:col>15</xdr:col>
      <xdr:colOff>476250</xdr:colOff>
      <xdr:row>22</xdr:row>
      <xdr:rowOff>76200</xdr:rowOff>
    </xdr:to>
    <xdr:sp>
      <xdr:nvSpPr>
        <xdr:cNvPr id="28" name="Textfeld 46"/>
        <xdr:cNvSpPr txBox="1">
          <a:spLocks noChangeArrowheads="1"/>
        </xdr:cNvSpPr>
      </xdr:nvSpPr>
      <xdr:spPr>
        <a:xfrm>
          <a:off x="13392150" y="3371850"/>
          <a:ext cx="1495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S_0_ice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=10,47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66675</xdr:rowOff>
    </xdr:from>
    <xdr:to>
      <xdr:col>12</xdr:col>
      <xdr:colOff>504825</xdr:colOff>
      <xdr:row>33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23850"/>
          <a:ext cx="5124450" cy="512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104775</xdr:rowOff>
    </xdr:from>
    <xdr:to>
      <xdr:col>12</xdr:col>
      <xdr:colOff>514350</xdr:colOff>
      <xdr:row>66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5705475"/>
          <a:ext cx="5143500" cy="517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438150</xdr:colOff>
      <xdr:row>45</xdr:row>
      <xdr:rowOff>142875</xdr:rowOff>
    </xdr:from>
    <xdr:to>
      <xdr:col>12</xdr:col>
      <xdr:colOff>238125</xdr:colOff>
      <xdr:row>46</xdr:row>
      <xdr:rowOff>114300</xdr:rowOff>
    </xdr:to>
    <xdr:sp>
      <xdr:nvSpPr>
        <xdr:cNvPr id="3" name="Gerade Verbindung 4"/>
        <xdr:cNvSpPr>
          <a:spLocks/>
        </xdr:cNvSpPr>
      </xdr:nvSpPr>
      <xdr:spPr>
        <a:xfrm flipV="1">
          <a:off x="9810750" y="7524750"/>
          <a:ext cx="1343025" cy="133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44</xdr:row>
      <xdr:rowOff>142875</xdr:rowOff>
    </xdr:from>
    <xdr:to>
      <xdr:col>10</xdr:col>
      <xdr:colOff>457200</xdr:colOff>
      <xdr:row>46</xdr:row>
      <xdr:rowOff>114300</xdr:rowOff>
    </xdr:to>
    <xdr:sp>
      <xdr:nvSpPr>
        <xdr:cNvPr id="4" name="Gerade Verbindung 8"/>
        <xdr:cNvSpPr>
          <a:spLocks/>
        </xdr:cNvSpPr>
      </xdr:nvSpPr>
      <xdr:spPr>
        <a:xfrm rot="5400000" flipH="1" flipV="1">
          <a:off x="9829800" y="7362825"/>
          <a:ext cx="0" cy="2952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44</xdr:row>
      <xdr:rowOff>95250</xdr:rowOff>
    </xdr:from>
    <xdr:to>
      <xdr:col>11</xdr:col>
      <xdr:colOff>342900</xdr:colOff>
      <xdr:row>46</xdr:row>
      <xdr:rowOff>66675</xdr:rowOff>
    </xdr:to>
    <xdr:sp>
      <xdr:nvSpPr>
        <xdr:cNvPr id="5" name="Gerade Verbindung 13"/>
        <xdr:cNvSpPr>
          <a:spLocks/>
        </xdr:cNvSpPr>
      </xdr:nvSpPr>
      <xdr:spPr>
        <a:xfrm rot="5400000" flipH="1" flipV="1">
          <a:off x="10487025" y="7315200"/>
          <a:ext cx="0" cy="2952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44</xdr:row>
      <xdr:rowOff>28575</xdr:rowOff>
    </xdr:from>
    <xdr:to>
      <xdr:col>12</xdr:col>
      <xdr:colOff>228600</xdr:colOff>
      <xdr:row>46</xdr:row>
      <xdr:rowOff>0</xdr:rowOff>
    </xdr:to>
    <xdr:sp>
      <xdr:nvSpPr>
        <xdr:cNvPr id="6" name="Gerade Verbindung 14"/>
        <xdr:cNvSpPr>
          <a:spLocks/>
        </xdr:cNvSpPr>
      </xdr:nvSpPr>
      <xdr:spPr>
        <a:xfrm rot="5400000" flipH="1" flipV="1">
          <a:off x="11144250" y="7248525"/>
          <a:ext cx="0" cy="2952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46</xdr:row>
      <xdr:rowOff>95250</xdr:rowOff>
    </xdr:from>
    <xdr:to>
      <xdr:col>12</xdr:col>
      <xdr:colOff>228600</xdr:colOff>
      <xdr:row>48</xdr:row>
      <xdr:rowOff>0</xdr:rowOff>
    </xdr:to>
    <xdr:sp>
      <xdr:nvSpPr>
        <xdr:cNvPr id="7" name="Textfeld 15"/>
        <xdr:cNvSpPr txBox="1">
          <a:spLocks noChangeArrowheads="1"/>
        </xdr:cNvSpPr>
      </xdr:nvSpPr>
      <xdr:spPr>
        <a:xfrm>
          <a:off x="10163175" y="7639050"/>
          <a:ext cx="981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l=9,868 m</a:t>
          </a:r>
        </a:p>
      </xdr:txBody>
    </xdr:sp>
    <xdr:clientData/>
  </xdr:twoCellAnchor>
  <xdr:twoCellAnchor>
    <xdr:from>
      <xdr:col>9</xdr:col>
      <xdr:colOff>704850</xdr:colOff>
      <xdr:row>42</xdr:row>
      <xdr:rowOff>142875</xdr:rowOff>
    </xdr:from>
    <xdr:to>
      <xdr:col>10</xdr:col>
      <xdr:colOff>752475</xdr:colOff>
      <xdr:row>43</xdr:row>
      <xdr:rowOff>161925</xdr:rowOff>
    </xdr:to>
    <xdr:sp>
      <xdr:nvSpPr>
        <xdr:cNvPr id="8" name="Textfeld 16"/>
        <xdr:cNvSpPr txBox="1">
          <a:spLocks noChangeArrowheads="1"/>
        </xdr:cNvSpPr>
      </xdr:nvSpPr>
      <xdr:spPr>
        <a:xfrm>
          <a:off x="9305925" y="70389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t=0,423 m</a:t>
          </a:r>
        </a:p>
      </xdr:txBody>
    </xdr:sp>
    <xdr:clientData/>
  </xdr:twoCellAnchor>
  <xdr:twoCellAnchor>
    <xdr:from>
      <xdr:col>10</xdr:col>
      <xdr:colOff>619125</xdr:colOff>
      <xdr:row>42</xdr:row>
      <xdr:rowOff>133350</xdr:rowOff>
    </xdr:from>
    <xdr:to>
      <xdr:col>11</xdr:col>
      <xdr:colOff>676275</xdr:colOff>
      <xdr:row>44</xdr:row>
      <xdr:rowOff>9525</xdr:rowOff>
    </xdr:to>
    <xdr:sp>
      <xdr:nvSpPr>
        <xdr:cNvPr id="9" name="Textfeld 17"/>
        <xdr:cNvSpPr txBox="1">
          <a:spLocks noChangeArrowheads="1"/>
        </xdr:cNvSpPr>
      </xdr:nvSpPr>
      <xdr:spPr>
        <a:xfrm>
          <a:off x="9991725" y="702945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t=0,282 m</a:t>
          </a:r>
        </a:p>
      </xdr:txBody>
    </xdr:sp>
    <xdr:clientData/>
  </xdr:twoCellAnchor>
  <xdr:twoCellAnchor>
    <xdr:from>
      <xdr:col>11</xdr:col>
      <xdr:colOff>600075</xdr:colOff>
      <xdr:row>42</xdr:row>
      <xdr:rowOff>85725</xdr:rowOff>
    </xdr:from>
    <xdr:to>
      <xdr:col>12</xdr:col>
      <xdr:colOff>723900</xdr:colOff>
      <xdr:row>43</xdr:row>
      <xdr:rowOff>142875</xdr:rowOff>
    </xdr:to>
    <xdr:sp>
      <xdr:nvSpPr>
        <xdr:cNvPr id="10" name="Textfeld 18"/>
        <xdr:cNvSpPr txBox="1">
          <a:spLocks noChangeArrowheads="1"/>
        </xdr:cNvSpPr>
      </xdr:nvSpPr>
      <xdr:spPr>
        <a:xfrm>
          <a:off x="10744200" y="6981825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t=0,141 m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295275</xdr:colOff>
      <xdr:row>18</xdr:row>
      <xdr:rowOff>152400</xdr:rowOff>
    </xdr:to>
    <xdr:sp>
      <xdr:nvSpPr>
        <xdr:cNvPr id="11" name="Gerade Verbindung 19"/>
        <xdr:cNvSpPr>
          <a:spLocks/>
        </xdr:cNvSpPr>
      </xdr:nvSpPr>
      <xdr:spPr>
        <a:xfrm rot="10800000" flipV="1">
          <a:off x="8096250" y="3162300"/>
          <a:ext cx="8001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31</xdr:row>
      <xdr:rowOff>47625</xdr:rowOff>
    </xdr:from>
    <xdr:to>
      <xdr:col>9</xdr:col>
      <xdr:colOff>742950</xdr:colOff>
      <xdr:row>31</xdr:row>
      <xdr:rowOff>47625</xdr:rowOff>
    </xdr:to>
    <xdr:sp>
      <xdr:nvSpPr>
        <xdr:cNvPr id="12" name="Gerade Verbindung 21"/>
        <xdr:cNvSpPr>
          <a:spLocks/>
        </xdr:cNvSpPr>
      </xdr:nvSpPr>
      <xdr:spPr>
        <a:xfrm rot="10800000">
          <a:off x="9115425" y="5162550"/>
          <a:ext cx="2286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23</xdr:row>
      <xdr:rowOff>38100</xdr:rowOff>
    </xdr:from>
    <xdr:to>
      <xdr:col>9</xdr:col>
      <xdr:colOff>333375</xdr:colOff>
      <xdr:row>23</xdr:row>
      <xdr:rowOff>47625</xdr:rowOff>
    </xdr:to>
    <xdr:sp>
      <xdr:nvSpPr>
        <xdr:cNvPr id="13" name="Gerade Verbindung 24"/>
        <xdr:cNvSpPr>
          <a:spLocks/>
        </xdr:cNvSpPr>
      </xdr:nvSpPr>
      <xdr:spPr>
        <a:xfrm rot="10800000">
          <a:off x="8439150" y="3857625"/>
          <a:ext cx="4953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23</xdr:row>
      <xdr:rowOff>85725</xdr:rowOff>
    </xdr:from>
    <xdr:to>
      <xdr:col>8</xdr:col>
      <xdr:colOff>704850</xdr:colOff>
      <xdr:row>23</xdr:row>
      <xdr:rowOff>133350</xdr:rowOff>
    </xdr:to>
    <xdr:sp>
      <xdr:nvSpPr>
        <xdr:cNvPr id="14" name="Gerade Verbindung 26"/>
        <xdr:cNvSpPr>
          <a:spLocks/>
        </xdr:cNvSpPr>
      </xdr:nvSpPr>
      <xdr:spPr>
        <a:xfrm rot="10800000" flipV="1">
          <a:off x="8477250" y="3905250"/>
          <a:ext cx="57150" cy="476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30</xdr:row>
      <xdr:rowOff>142875</xdr:rowOff>
    </xdr:from>
    <xdr:to>
      <xdr:col>9</xdr:col>
      <xdr:colOff>552450</xdr:colOff>
      <xdr:row>31</xdr:row>
      <xdr:rowOff>19050</xdr:rowOff>
    </xdr:to>
    <xdr:sp>
      <xdr:nvSpPr>
        <xdr:cNvPr id="15" name="Gerade Verbindung 33"/>
        <xdr:cNvSpPr>
          <a:spLocks/>
        </xdr:cNvSpPr>
      </xdr:nvSpPr>
      <xdr:spPr>
        <a:xfrm rot="10800000" flipV="1">
          <a:off x="9096375" y="5095875"/>
          <a:ext cx="57150" cy="381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22</xdr:row>
      <xdr:rowOff>38100</xdr:rowOff>
    </xdr:from>
    <xdr:to>
      <xdr:col>10</xdr:col>
      <xdr:colOff>561975</xdr:colOff>
      <xdr:row>23</xdr:row>
      <xdr:rowOff>57150</xdr:rowOff>
    </xdr:to>
    <xdr:sp>
      <xdr:nvSpPr>
        <xdr:cNvPr id="16" name="Textfeld 34"/>
        <xdr:cNvSpPr txBox="1">
          <a:spLocks noChangeArrowheads="1"/>
        </xdr:cNvSpPr>
      </xdr:nvSpPr>
      <xdr:spPr>
        <a:xfrm>
          <a:off x="8982075" y="3695700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c=3,66522 m</a:t>
          </a:r>
        </a:p>
      </xdr:txBody>
    </xdr:sp>
    <xdr:clientData/>
  </xdr:twoCellAnchor>
  <xdr:twoCellAnchor>
    <xdr:from>
      <xdr:col>9</xdr:col>
      <xdr:colOff>257175</xdr:colOff>
      <xdr:row>17</xdr:row>
      <xdr:rowOff>123825</xdr:rowOff>
    </xdr:from>
    <xdr:to>
      <xdr:col>10</xdr:col>
      <xdr:colOff>304800</xdr:colOff>
      <xdr:row>18</xdr:row>
      <xdr:rowOff>161925</xdr:rowOff>
    </xdr:to>
    <xdr:sp>
      <xdr:nvSpPr>
        <xdr:cNvPr id="17" name="Textfeld 35"/>
        <xdr:cNvSpPr txBox="1">
          <a:spLocks noChangeArrowheads="1"/>
        </xdr:cNvSpPr>
      </xdr:nvSpPr>
      <xdr:spPr>
        <a:xfrm>
          <a:off x="8858250" y="2971800"/>
          <a:ext cx="819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c=6,033 m</a:t>
          </a:r>
        </a:p>
      </xdr:txBody>
    </xdr:sp>
    <xdr:clientData/>
  </xdr:twoCellAnchor>
  <xdr:twoCellAnchor>
    <xdr:from>
      <xdr:col>9</xdr:col>
      <xdr:colOff>752475</xdr:colOff>
      <xdr:row>30</xdr:row>
      <xdr:rowOff>76200</xdr:rowOff>
    </xdr:from>
    <xdr:to>
      <xdr:col>11</xdr:col>
      <xdr:colOff>161925</xdr:colOff>
      <xdr:row>31</xdr:row>
      <xdr:rowOff>95250</xdr:rowOff>
    </xdr:to>
    <xdr:sp>
      <xdr:nvSpPr>
        <xdr:cNvPr id="18" name="Textfeld 36"/>
        <xdr:cNvSpPr txBox="1">
          <a:spLocks noChangeArrowheads="1"/>
        </xdr:cNvSpPr>
      </xdr:nvSpPr>
      <xdr:spPr>
        <a:xfrm>
          <a:off x="9353550" y="5029200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c=1,5886 m</a:t>
          </a:r>
        </a:p>
      </xdr:txBody>
    </xdr:sp>
    <xdr:clientData/>
  </xdr:twoCellAnchor>
  <xdr:twoCellAnchor>
    <xdr:from>
      <xdr:col>8</xdr:col>
      <xdr:colOff>276225</xdr:colOff>
      <xdr:row>29</xdr:row>
      <xdr:rowOff>161925</xdr:rowOff>
    </xdr:from>
    <xdr:to>
      <xdr:col>9</xdr:col>
      <xdr:colOff>600075</xdr:colOff>
      <xdr:row>31</xdr:row>
      <xdr:rowOff>19050</xdr:rowOff>
    </xdr:to>
    <xdr:sp>
      <xdr:nvSpPr>
        <xdr:cNvPr id="19" name="Textfeld 37"/>
        <xdr:cNvSpPr txBox="1">
          <a:spLocks noChangeArrowheads="1"/>
        </xdr:cNvSpPr>
      </xdr:nvSpPr>
      <xdr:spPr>
        <a:xfrm>
          <a:off x="8105775" y="4953000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c_slat=0,247 m</a:t>
          </a:r>
        </a:p>
      </xdr:txBody>
    </xdr:sp>
    <xdr:clientData/>
  </xdr:twoCellAnchor>
  <xdr:twoCellAnchor>
    <xdr:from>
      <xdr:col>7</xdr:col>
      <xdr:colOff>428625</xdr:colOff>
      <xdr:row>23</xdr:row>
      <xdr:rowOff>57150</xdr:rowOff>
    </xdr:from>
    <xdr:to>
      <xdr:col>8</xdr:col>
      <xdr:colOff>752475</xdr:colOff>
      <xdr:row>24</xdr:row>
      <xdr:rowOff>76200</xdr:rowOff>
    </xdr:to>
    <xdr:sp>
      <xdr:nvSpPr>
        <xdr:cNvPr id="20" name="Textfeld 38"/>
        <xdr:cNvSpPr txBox="1">
          <a:spLocks noChangeArrowheads="1"/>
        </xdr:cNvSpPr>
      </xdr:nvSpPr>
      <xdr:spPr>
        <a:xfrm>
          <a:off x="7486650" y="3876675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c_slat=0,564 m</a:t>
          </a:r>
        </a:p>
      </xdr:txBody>
    </xdr:sp>
    <xdr:clientData/>
  </xdr:twoCellAnchor>
  <xdr:twoCellAnchor>
    <xdr:from>
      <xdr:col>9</xdr:col>
      <xdr:colOff>85725</xdr:colOff>
      <xdr:row>61</xdr:row>
      <xdr:rowOff>28575</xdr:rowOff>
    </xdr:from>
    <xdr:to>
      <xdr:col>11</xdr:col>
      <xdr:colOff>228600</xdr:colOff>
      <xdr:row>62</xdr:row>
      <xdr:rowOff>104775</xdr:rowOff>
    </xdr:to>
    <xdr:sp>
      <xdr:nvSpPr>
        <xdr:cNvPr id="21" name="Gerade Verbindung 46"/>
        <xdr:cNvSpPr>
          <a:spLocks/>
        </xdr:cNvSpPr>
      </xdr:nvSpPr>
      <xdr:spPr>
        <a:xfrm flipV="1">
          <a:off x="8686800" y="10001250"/>
          <a:ext cx="1685925" cy="238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59</xdr:row>
      <xdr:rowOff>57150</xdr:rowOff>
    </xdr:from>
    <xdr:to>
      <xdr:col>11</xdr:col>
      <xdr:colOff>219075</xdr:colOff>
      <xdr:row>61</xdr:row>
      <xdr:rowOff>38100</xdr:rowOff>
    </xdr:to>
    <xdr:sp>
      <xdr:nvSpPr>
        <xdr:cNvPr id="22" name="Gerade Verbindung 47"/>
        <xdr:cNvSpPr>
          <a:spLocks/>
        </xdr:cNvSpPr>
      </xdr:nvSpPr>
      <xdr:spPr>
        <a:xfrm rot="5400000" flipH="1" flipV="1">
          <a:off x="10353675" y="9705975"/>
          <a:ext cx="9525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59</xdr:row>
      <xdr:rowOff>47625</xdr:rowOff>
    </xdr:from>
    <xdr:to>
      <xdr:col>11</xdr:col>
      <xdr:colOff>247650</xdr:colOff>
      <xdr:row>60</xdr:row>
      <xdr:rowOff>123825</xdr:rowOff>
    </xdr:to>
    <xdr:sp>
      <xdr:nvSpPr>
        <xdr:cNvPr id="23" name="Gerade Verbindung 48"/>
        <xdr:cNvSpPr>
          <a:spLocks/>
        </xdr:cNvSpPr>
      </xdr:nvSpPr>
      <xdr:spPr>
        <a:xfrm flipV="1">
          <a:off x="8715375" y="9696450"/>
          <a:ext cx="1676400" cy="238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47625</xdr:rowOff>
    </xdr:from>
    <xdr:to>
      <xdr:col>11</xdr:col>
      <xdr:colOff>238125</xdr:colOff>
      <xdr:row>58</xdr:row>
      <xdr:rowOff>142875</xdr:rowOff>
    </xdr:to>
    <xdr:sp>
      <xdr:nvSpPr>
        <xdr:cNvPr id="24" name="Gerade Verbindung mit Pfeil 49"/>
        <xdr:cNvSpPr>
          <a:spLocks/>
        </xdr:cNvSpPr>
      </xdr:nvSpPr>
      <xdr:spPr>
        <a:xfrm rot="5400000">
          <a:off x="9439275" y="8077200"/>
          <a:ext cx="942975" cy="15525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62</xdr:row>
      <xdr:rowOff>66675</xdr:rowOff>
    </xdr:from>
    <xdr:to>
      <xdr:col>11</xdr:col>
      <xdr:colOff>523875</xdr:colOff>
      <xdr:row>64</xdr:row>
      <xdr:rowOff>133350</xdr:rowOff>
    </xdr:to>
    <xdr:sp>
      <xdr:nvSpPr>
        <xdr:cNvPr id="25" name="Textfeld 50"/>
        <xdr:cNvSpPr txBox="1">
          <a:spLocks noChangeArrowheads="1"/>
        </xdr:cNvSpPr>
      </xdr:nvSpPr>
      <xdr:spPr>
        <a:xfrm>
          <a:off x="9182100" y="10201275"/>
          <a:ext cx="1485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S_0_ice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=5,558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m²</a:t>
          </a:r>
        </a:p>
      </xdr:txBody>
    </xdr:sp>
    <xdr:clientData/>
  </xdr:twoCellAnchor>
  <xdr:twoCellAnchor>
    <xdr:from>
      <xdr:col>9</xdr:col>
      <xdr:colOff>114300</xdr:colOff>
      <xdr:row>60</xdr:row>
      <xdr:rowOff>104775</xdr:rowOff>
    </xdr:from>
    <xdr:to>
      <xdr:col>9</xdr:col>
      <xdr:colOff>123825</xdr:colOff>
      <xdr:row>62</xdr:row>
      <xdr:rowOff>85725</xdr:rowOff>
    </xdr:to>
    <xdr:sp>
      <xdr:nvSpPr>
        <xdr:cNvPr id="26" name="Gerade Verbindung 51"/>
        <xdr:cNvSpPr>
          <a:spLocks/>
        </xdr:cNvSpPr>
      </xdr:nvSpPr>
      <xdr:spPr>
        <a:xfrm rot="5400000" flipH="1" flipV="1">
          <a:off x="8715375" y="9915525"/>
          <a:ext cx="9525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9525</xdr:rowOff>
    </xdr:from>
    <xdr:to>
      <xdr:col>13</xdr:col>
      <xdr:colOff>152400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171950" y="590550"/>
        <a:ext cx="5886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5</xdr:row>
      <xdr:rowOff>38100</xdr:rowOff>
    </xdr:from>
    <xdr:to>
      <xdr:col>2</xdr:col>
      <xdr:colOff>228600</xdr:colOff>
      <xdr:row>6</xdr:row>
      <xdr:rowOff>142875</xdr:rowOff>
    </xdr:to>
    <xdr:pic>
      <xdr:nvPicPr>
        <xdr:cNvPr id="1" name="Picture 1" descr="satvap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942975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7</xdr:row>
      <xdr:rowOff>142875</xdr:rowOff>
    </xdr:from>
    <xdr:to>
      <xdr:col>7</xdr:col>
      <xdr:colOff>457200</xdr:colOff>
      <xdr:row>10</xdr:row>
      <xdr:rowOff>57150</xdr:rowOff>
    </xdr:to>
    <xdr:pic>
      <xdr:nvPicPr>
        <xdr:cNvPr id="2" name="Picture 2" descr="satvap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371600"/>
          <a:ext cx="509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SheetLayoutView="70" zoomScalePageLayoutView="0" workbookViewId="0" topLeftCell="A1">
      <selection activeCell="A3" sqref="A3"/>
    </sheetView>
  </sheetViews>
  <sheetFormatPr defaultColWidth="11.57421875" defaultRowHeight="12.75" customHeight="1"/>
  <cols>
    <col min="1" max="1" width="33.8515625" style="0" bestFit="1" customWidth="1"/>
    <col min="2" max="2" width="12.8515625" style="0" customWidth="1"/>
    <col min="3" max="3" width="13.28125" style="0" customWidth="1"/>
    <col min="4" max="4" width="12.8515625" style="0" customWidth="1"/>
    <col min="5" max="5" width="26.57421875" style="0" customWidth="1"/>
    <col min="6" max="8" width="11.57421875" style="0" customWidth="1"/>
    <col min="9" max="9" width="12.8515625" style="0" customWidth="1"/>
    <col min="10" max="10" width="12.00390625" style="0" bestFit="1" customWidth="1"/>
    <col min="11" max="12" width="11.57421875" style="0" customWidth="1"/>
    <col min="13" max="13" width="16.7109375" style="0" customWidth="1"/>
    <col min="14" max="14" width="8.140625" style="0" customWidth="1"/>
    <col min="15" max="15" width="28.7109375" style="0" customWidth="1"/>
    <col min="16" max="16" width="13.57421875" style="0" customWidth="1"/>
  </cols>
  <sheetData>
    <row r="1" ht="20.25">
      <c r="A1" s="89" t="s">
        <v>193</v>
      </c>
    </row>
    <row r="2" ht="20.25">
      <c r="A2" s="89" t="s">
        <v>194</v>
      </c>
    </row>
    <row r="3" ht="12.75">
      <c r="A3" s="42"/>
    </row>
    <row r="4" spans="1:3" ht="12.75">
      <c r="A4" s="96" t="s">
        <v>277</v>
      </c>
      <c r="B4" s="120"/>
      <c r="C4" t="s">
        <v>240</v>
      </c>
    </row>
    <row r="5" ht="12.75">
      <c r="A5" s="1"/>
    </row>
    <row r="6" spans="1:15" ht="12.75" customHeight="1">
      <c r="A6" s="42" t="s">
        <v>241</v>
      </c>
      <c r="E6" s="42" t="s">
        <v>242</v>
      </c>
      <c r="I6" s="42" t="s">
        <v>243</v>
      </c>
      <c r="O6" s="42" t="s">
        <v>187</v>
      </c>
    </row>
    <row r="7" spans="4:15" ht="12.75" customHeight="1" thickBot="1">
      <c r="D7" s="23"/>
      <c r="I7" s="41"/>
      <c r="O7" s="1" t="s">
        <v>186</v>
      </c>
    </row>
    <row r="8" spans="1:11" ht="12.75" customHeight="1" thickBot="1">
      <c r="A8" s="4" t="s">
        <v>8</v>
      </c>
      <c r="B8" s="145">
        <f>(B9*B10*B11)/B12</f>
        <v>9557134.02515273</v>
      </c>
      <c r="C8" s="19"/>
      <c r="D8" s="23"/>
      <c r="E8" s="9" t="s">
        <v>25</v>
      </c>
      <c r="F8" s="53">
        <f>F9*(F10-F11)/1000</f>
        <v>9.135048396272627</v>
      </c>
      <c r="G8" s="17" t="s">
        <v>29</v>
      </c>
      <c r="I8" s="4" t="s">
        <v>202</v>
      </c>
      <c r="J8" s="90">
        <f>F8+F13+F23-F35-F39</f>
        <v>10.80080431715653</v>
      </c>
      <c r="K8" s="17" t="s">
        <v>29</v>
      </c>
    </row>
    <row r="9" spans="1:17" ht="12.75" customHeight="1">
      <c r="A9" s="2" t="s">
        <v>221</v>
      </c>
      <c r="B9" s="14">
        <v>1.225</v>
      </c>
      <c r="C9" s="20" t="s">
        <v>13</v>
      </c>
      <c r="D9" s="23"/>
      <c r="E9" s="11" t="s">
        <v>22</v>
      </c>
      <c r="F9" s="107">
        <f>B37</f>
        <v>384.1483766304725</v>
      </c>
      <c r="G9" s="13" t="s">
        <v>28</v>
      </c>
      <c r="I9" s="2" t="s">
        <v>7</v>
      </c>
      <c r="J9" s="103">
        <f>P11</f>
        <v>70</v>
      </c>
      <c r="K9" s="13" t="s">
        <v>6</v>
      </c>
      <c r="O9" s="87" t="s">
        <v>196</v>
      </c>
      <c r="P9" s="109">
        <v>0.7</v>
      </c>
      <c r="Q9" s="17" t="s">
        <v>1</v>
      </c>
    </row>
    <row r="10" spans="1:17" ht="12.75" customHeight="1" thickBot="1">
      <c r="A10" s="10" t="s">
        <v>214</v>
      </c>
      <c r="B10" s="103">
        <f>P13</f>
        <v>148</v>
      </c>
      <c r="C10" s="20" t="s">
        <v>12</v>
      </c>
      <c r="D10" s="23"/>
      <c r="E10" s="11" t="s">
        <v>26</v>
      </c>
      <c r="F10" s="97">
        <v>279.15</v>
      </c>
      <c r="G10" s="13" t="s">
        <v>20</v>
      </c>
      <c r="I10" s="22" t="s">
        <v>203</v>
      </c>
      <c r="J10" s="54">
        <f>J8/(P11/100)</f>
        <v>15.429720453080758</v>
      </c>
      <c r="K10" s="24" t="s">
        <v>29</v>
      </c>
      <c r="O10" s="88" t="s">
        <v>197</v>
      </c>
      <c r="P10" s="110">
        <v>0.7</v>
      </c>
      <c r="Q10" s="24" t="s">
        <v>1</v>
      </c>
    </row>
    <row r="11" spans="1:17" ht="12.75" customHeight="1" thickBot="1">
      <c r="A11" s="2" t="s">
        <v>217</v>
      </c>
      <c r="B11" s="103">
        <f>P9</f>
        <v>0.7</v>
      </c>
      <c r="C11" s="20" t="s">
        <v>1</v>
      </c>
      <c r="D11" s="23"/>
      <c r="E11" s="5" t="s">
        <v>27</v>
      </c>
      <c r="F11" s="98">
        <v>255.37</v>
      </c>
      <c r="G11" s="15" t="s">
        <v>20</v>
      </c>
      <c r="O11" s="87" t="s">
        <v>198</v>
      </c>
      <c r="P11" s="111">
        <v>70</v>
      </c>
      <c r="Q11" s="17" t="s">
        <v>6</v>
      </c>
    </row>
    <row r="12" spans="1:17" ht="12.75" customHeight="1" thickBot="1">
      <c r="A12" s="3" t="s">
        <v>228</v>
      </c>
      <c r="B12" s="144">
        <f>B51/B9</f>
        <v>1.3279085515175862E-05</v>
      </c>
      <c r="C12" s="21" t="s">
        <v>14</v>
      </c>
      <c r="D12" s="136">
        <v>1.5636E-05</v>
      </c>
      <c r="I12" s="41"/>
      <c r="O12" s="74" t="s">
        <v>199</v>
      </c>
      <c r="P12" s="112">
        <v>0.0005</v>
      </c>
      <c r="Q12" s="39" t="s">
        <v>1</v>
      </c>
    </row>
    <row r="13" spans="5:18" ht="12.75" customHeight="1" thickBot="1">
      <c r="E13" s="4" t="s">
        <v>204</v>
      </c>
      <c r="F13" s="93">
        <f>F14*(F16*F17+F20*F19)</f>
        <v>0.07768062263811812</v>
      </c>
      <c r="G13" s="17" t="s">
        <v>29</v>
      </c>
      <c r="I13" s="9" t="s">
        <v>42</v>
      </c>
      <c r="J13" s="90">
        <f>(J14/J15)*(J16*J17+J18)/(J19/100)</f>
        <v>24.632857142857148</v>
      </c>
      <c r="K13" s="17" t="s">
        <v>29</v>
      </c>
      <c r="O13" s="88" t="s">
        <v>214</v>
      </c>
      <c r="P13" s="110">
        <v>148</v>
      </c>
      <c r="Q13" s="24" t="s">
        <v>12</v>
      </c>
      <c r="R13" s="86"/>
    </row>
    <row r="14" spans="1:18" ht="12.75" customHeight="1">
      <c r="A14" s="4" t="s">
        <v>15</v>
      </c>
      <c r="B14" s="93">
        <f>(B15*B16)/B17</f>
        <v>0.5844544874771481</v>
      </c>
      <c r="C14" s="19"/>
      <c r="E14" s="2" t="s">
        <v>211</v>
      </c>
      <c r="F14" s="108">
        <f>B27</f>
        <v>0.003089921345987196</v>
      </c>
      <c r="G14" s="20" t="s">
        <v>33</v>
      </c>
      <c r="I14" s="10" t="s">
        <v>43</v>
      </c>
      <c r="J14" s="103">
        <f>B41</f>
        <v>0.45</v>
      </c>
      <c r="K14" s="13" t="s">
        <v>4</v>
      </c>
      <c r="O14" s="23"/>
      <c r="P14" s="23"/>
      <c r="Q14" s="23"/>
      <c r="R14" s="1"/>
    </row>
    <row r="15" spans="1:18" ht="12.75" customHeight="1">
      <c r="A15" s="2" t="s">
        <v>39</v>
      </c>
      <c r="B15" s="14">
        <v>1003.5</v>
      </c>
      <c r="C15" s="13" t="s">
        <v>16</v>
      </c>
      <c r="D15" s="1"/>
      <c r="E15" s="124" t="s">
        <v>209</v>
      </c>
      <c r="F15" s="97">
        <v>6</v>
      </c>
      <c r="G15" s="20" t="s">
        <v>210</v>
      </c>
      <c r="I15" s="10" t="s">
        <v>276</v>
      </c>
      <c r="J15" s="14">
        <v>9</v>
      </c>
      <c r="K15" s="13" t="s">
        <v>2</v>
      </c>
      <c r="O15" s="115"/>
      <c r="P15" s="103"/>
      <c r="Q15" s="8"/>
      <c r="R15" s="8"/>
    </row>
    <row r="16" spans="1:18" ht="12.75" customHeight="1">
      <c r="A16" s="2" t="s">
        <v>11</v>
      </c>
      <c r="B16" s="121">
        <f>B12</f>
        <v>1.3279085515175862E-05</v>
      </c>
      <c r="C16" s="20" t="s">
        <v>14</v>
      </c>
      <c r="E16" s="2" t="s">
        <v>30</v>
      </c>
      <c r="F16" s="123">
        <f>B23+F15</f>
        <v>-11.780000000000001</v>
      </c>
      <c r="G16" s="20" t="s">
        <v>20</v>
      </c>
      <c r="I16" s="10" t="s">
        <v>44</v>
      </c>
      <c r="J16" s="107">
        <f>F15</f>
        <v>6</v>
      </c>
      <c r="K16" s="13" t="s">
        <v>20</v>
      </c>
      <c r="O16" s="113" t="s">
        <v>218</v>
      </c>
      <c r="P16" s="114">
        <f>P13*3.6</f>
        <v>532.8000000000001</v>
      </c>
      <c r="Q16" s="113" t="s">
        <v>51</v>
      </c>
      <c r="R16" s="1"/>
    </row>
    <row r="17" spans="1:17" ht="12.75" customHeight="1" thickBot="1">
      <c r="A17" s="5" t="s">
        <v>24</v>
      </c>
      <c r="B17" s="18">
        <v>0.0228</v>
      </c>
      <c r="C17" s="15" t="s">
        <v>17</v>
      </c>
      <c r="D17" s="1"/>
      <c r="E17" s="2" t="s">
        <v>31</v>
      </c>
      <c r="F17" s="103">
        <f>B25</f>
        <v>4.19</v>
      </c>
      <c r="G17" s="20" t="s">
        <v>35</v>
      </c>
      <c r="I17" s="10" t="s">
        <v>32</v>
      </c>
      <c r="J17" s="14">
        <v>2.06</v>
      </c>
      <c r="K17" s="13" t="s">
        <v>35</v>
      </c>
      <c r="O17" s="113" t="s">
        <v>219</v>
      </c>
      <c r="P17" s="114">
        <f>P13/0.51444</f>
        <v>287.6914703366768</v>
      </c>
      <c r="Q17" s="113" t="s">
        <v>192</v>
      </c>
    </row>
    <row r="18" spans="5:11" ht="13.5" customHeight="1" thickBot="1">
      <c r="E18" s="2" t="s">
        <v>32</v>
      </c>
      <c r="F18" s="14">
        <v>2.06</v>
      </c>
      <c r="G18" s="20" t="s">
        <v>35</v>
      </c>
      <c r="I18" s="10" t="s">
        <v>34</v>
      </c>
      <c r="J18" s="103">
        <f>B24</f>
        <v>332.5</v>
      </c>
      <c r="K18" s="13" t="s">
        <v>19</v>
      </c>
    </row>
    <row r="19" spans="1:11" ht="12.75" customHeight="1" thickBot="1">
      <c r="A19" s="6" t="s">
        <v>18</v>
      </c>
      <c r="B19" s="95">
        <f>0.037*(B8^(4/5))*(B14^(1/3))</f>
        <v>11877.200768245122</v>
      </c>
      <c r="C19" s="26"/>
      <c r="E19" s="2" t="s">
        <v>34</v>
      </c>
      <c r="F19" s="103">
        <f>B24</f>
        <v>332.5</v>
      </c>
      <c r="G19" s="20" t="s">
        <v>19</v>
      </c>
      <c r="I19" s="12" t="s">
        <v>7</v>
      </c>
      <c r="J19" s="105">
        <f>P11</f>
        <v>70</v>
      </c>
      <c r="K19" s="25" t="s">
        <v>6</v>
      </c>
    </row>
    <row r="20" spans="5:7" ht="12.75" customHeight="1" thickBot="1">
      <c r="E20" s="3" t="s">
        <v>208</v>
      </c>
      <c r="F20" s="122">
        <f>B21</f>
        <v>0.2240547368421053</v>
      </c>
      <c r="G20" s="21"/>
    </row>
    <row r="21" spans="1:3" ht="12.75" customHeight="1">
      <c r="A21" s="9" t="s">
        <v>220</v>
      </c>
      <c r="B21" s="53">
        <f>(B25*-B23)/B24</f>
        <v>0.2240547368421053</v>
      </c>
      <c r="C21" s="19"/>
    </row>
    <row r="22" spans="1:3" ht="12.75" customHeight="1" thickBot="1">
      <c r="A22" s="130" t="s">
        <v>238</v>
      </c>
      <c r="B22" s="107">
        <f>273.15+B23</f>
        <v>255.36999999999998</v>
      </c>
      <c r="C22" s="13" t="s">
        <v>20</v>
      </c>
    </row>
    <row r="23" spans="1:11" ht="12.75" customHeight="1">
      <c r="A23" s="10" t="s">
        <v>264</v>
      </c>
      <c r="B23" s="126">
        <v>-17.78</v>
      </c>
      <c r="C23" s="13" t="s">
        <v>210</v>
      </c>
      <c r="D23" s="1"/>
      <c r="E23" s="4" t="s">
        <v>36</v>
      </c>
      <c r="F23" s="53">
        <f>-0.7*F24*F25*1000*((F26*F27-F28)/(F29*F30))/1000</f>
        <v>4.671029959580588</v>
      </c>
      <c r="G23" s="17" t="s">
        <v>29</v>
      </c>
      <c r="I23" s="34" t="s">
        <v>52</v>
      </c>
      <c r="J23" s="35"/>
      <c r="K23" s="36"/>
    </row>
    <row r="24" spans="1:17" ht="12.75" customHeight="1">
      <c r="A24" s="11" t="s">
        <v>207</v>
      </c>
      <c r="B24" s="14">
        <v>332.5</v>
      </c>
      <c r="C24" s="13" t="s">
        <v>19</v>
      </c>
      <c r="D24" s="1"/>
      <c r="E24" s="2" t="s">
        <v>22</v>
      </c>
      <c r="F24" s="107">
        <f>B37</f>
        <v>384.1483766304725</v>
      </c>
      <c r="G24" s="20" t="s">
        <v>28</v>
      </c>
      <c r="I24" s="37" t="s">
        <v>202</v>
      </c>
      <c r="J24" s="38">
        <v>14.14</v>
      </c>
      <c r="K24" s="39" t="s">
        <v>29</v>
      </c>
      <c r="M24" s="43" t="s">
        <v>60</v>
      </c>
      <c r="Q24" s="42" t="s">
        <v>49</v>
      </c>
    </row>
    <row r="25" spans="1:17" ht="12.75" customHeight="1" thickBot="1">
      <c r="A25" s="12" t="s">
        <v>31</v>
      </c>
      <c r="B25" s="18">
        <v>4.19</v>
      </c>
      <c r="C25" s="15" t="s">
        <v>19</v>
      </c>
      <c r="D25" s="1"/>
      <c r="E25" s="2" t="s">
        <v>37</v>
      </c>
      <c r="F25" s="14">
        <v>2257</v>
      </c>
      <c r="G25" s="20" t="s">
        <v>19</v>
      </c>
      <c r="I25" s="40" t="s">
        <v>42</v>
      </c>
      <c r="J25" s="99">
        <v>34.1</v>
      </c>
      <c r="K25" s="24" t="s">
        <v>29</v>
      </c>
      <c r="M25" s="1" t="s">
        <v>56</v>
      </c>
      <c r="Q25" s="1" t="s">
        <v>56</v>
      </c>
    </row>
    <row r="26" spans="5:19" ht="12.75" customHeight="1" thickBot="1">
      <c r="E26" s="2" t="s">
        <v>190</v>
      </c>
      <c r="F26" s="148">
        <v>1</v>
      </c>
      <c r="G26" s="13"/>
      <c r="I26" s="44" t="s">
        <v>61</v>
      </c>
      <c r="J26" s="31"/>
      <c r="K26" s="45"/>
      <c r="M26" s="9" t="s">
        <v>45</v>
      </c>
      <c r="N26" s="91">
        <f>N27/N28*100</f>
        <v>19.10219675262655</v>
      </c>
      <c r="O26" s="17" t="s">
        <v>6</v>
      </c>
      <c r="Q26" s="9" t="s">
        <v>45</v>
      </c>
      <c r="R26" s="91">
        <f>R27/R28*100</f>
        <v>20.690896005757466</v>
      </c>
      <c r="S26" s="17" t="s">
        <v>6</v>
      </c>
    </row>
    <row r="27" spans="1:19" ht="12.75" customHeight="1">
      <c r="A27" s="9" t="s">
        <v>211</v>
      </c>
      <c r="B27" s="92">
        <f>B28*B29*B30</f>
        <v>0.003089921345987196</v>
      </c>
      <c r="C27" s="19" t="s">
        <v>33</v>
      </c>
      <c r="E27" s="2" t="s">
        <v>273</v>
      </c>
      <c r="F27" s="131">
        <f>e_s_2</f>
        <v>1.5143952761647101</v>
      </c>
      <c r="G27" s="20" t="s">
        <v>40</v>
      </c>
      <c r="I27" s="32" t="s">
        <v>202</v>
      </c>
      <c r="J27" s="100">
        <f>J10</f>
        <v>15.429720453080758</v>
      </c>
      <c r="K27" s="33" t="s">
        <v>29</v>
      </c>
      <c r="M27" s="11" t="s">
        <v>46</v>
      </c>
      <c r="N27" s="117">
        <v>4</v>
      </c>
      <c r="O27" s="13" t="s">
        <v>3</v>
      </c>
      <c r="Q27" s="11" t="s">
        <v>46</v>
      </c>
      <c r="R27" s="117">
        <v>2.3</v>
      </c>
      <c r="S27" s="13" t="s">
        <v>3</v>
      </c>
    </row>
    <row r="28" spans="1:19" ht="12.75" customHeight="1" thickBot="1">
      <c r="A28" s="10" t="s">
        <v>214</v>
      </c>
      <c r="B28" s="103">
        <f>P13</f>
        <v>148</v>
      </c>
      <c r="C28" s="13" t="s">
        <v>12</v>
      </c>
      <c r="D28" s="1"/>
      <c r="E28" s="2" t="s">
        <v>274</v>
      </c>
      <c r="F28" s="131">
        <f>e_s_1</f>
        <v>9.34000239813796</v>
      </c>
      <c r="G28" s="20" t="s">
        <v>40</v>
      </c>
      <c r="I28" s="32" t="s">
        <v>42</v>
      </c>
      <c r="J28" s="100">
        <f>J13</f>
        <v>24.632857142857148</v>
      </c>
      <c r="K28" s="33" t="s">
        <v>29</v>
      </c>
      <c r="M28" s="5" t="s">
        <v>50</v>
      </c>
      <c r="N28" s="116">
        <f>'Boeing 787'!B39</f>
        <v>20.94</v>
      </c>
      <c r="O28" s="15" t="s">
        <v>3</v>
      </c>
      <c r="Q28" s="5" t="s">
        <v>50</v>
      </c>
      <c r="R28" s="116">
        <f>'Airbus A320'!B39</f>
        <v>11.116</v>
      </c>
      <c r="S28" s="15" t="s">
        <v>3</v>
      </c>
    </row>
    <row r="29" spans="1:11" ht="12.75" customHeight="1">
      <c r="A29" s="10" t="s">
        <v>9</v>
      </c>
      <c r="B29" s="27">
        <v>0.000242</v>
      </c>
      <c r="C29" s="20" t="s">
        <v>13</v>
      </c>
      <c r="E29" s="2" t="s">
        <v>38</v>
      </c>
      <c r="F29" s="14">
        <v>1013.25</v>
      </c>
      <c r="G29" s="20" t="s">
        <v>40</v>
      </c>
      <c r="I29" s="46" t="s">
        <v>244</v>
      </c>
      <c r="J29" s="47"/>
      <c r="K29" s="48"/>
    </row>
    <row r="30" spans="1:17" ht="12.75" customHeight="1" thickBot="1">
      <c r="A30" s="12" t="s">
        <v>212</v>
      </c>
      <c r="B30" s="104">
        <f>B33</f>
        <v>0.08627209476176</v>
      </c>
      <c r="C30" s="21"/>
      <c r="E30" s="3" t="s">
        <v>39</v>
      </c>
      <c r="F30" s="105">
        <f>B15</f>
        <v>1003.5</v>
      </c>
      <c r="G30" s="21" t="s">
        <v>16</v>
      </c>
      <c r="I30" s="49" t="s">
        <v>202</v>
      </c>
      <c r="J30" s="101">
        <f>100-J27/J24*100</f>
        <v>-9.121078168887962</v>
      </c>
      <c r="K30" s="50" t="s">
        <v>6</v>
      </c>
      <c r="M30" s="1" t="s">
        <v>57</v>
      </c>
      <c r="Q30" s="1" t="s">
        <v>57</v>
      </c>
    </row>
    <row r="31" spans="4:19" ht="12.75" customHeight="1" thickBot="1">
      <c r="D31" s="1"/>
      <c r="I31" s="51" t="s">
        <v>42</v>
      </c>
      <c r="J31" s="102">
        <f>100-J28/J25*100</f>
        <v>27.762882279011308</v>
      </c>
      <c r="K31" s="52" t="s">
        <v>6</v>
      </c>
      <c r="M31" s="9" t="s">
        <v>5</v>
      </c>
      <c r="N31" s="16">
        <f>N33/N32</f>
        <v>0.05</v>
      </c>
      <c r="O31" s="17"/>
      <c r="Q31" s="9" t="s">
        <v>5</v>
      </c>
      <c r="R31" s="16">
        <f>R33/R32</f>
        <v>0.05</v>
      </c>
      <c r="S31" s="17"/>
    </row>
    <row r="32" spans="5:19" ht="12.75" customHeight="1" thickBot="1">
      <c r="E32" t="s">
        <v>275</v>
      </c>
      <c r="M32" s="11" t="s">
        <v>48</v>
      </c>
      <c r="N32" s="14">
        <v>180</v>
      </c>
      <c r="O32" s="13" t="s">
        <v>2</v>
      </c>
      <c r="Q32" s="11" t="s">
        <v>48</v>
      </c>
      <c r="R32" s="14">
        <v>180</v>
      </c>
      <c r="S32" s="13" t="s">
        <v>2</v>
      </c>
    </row>
    <row r="33" spans="1:19" ht="12.75" customHeight="1" thickBot="1">
      <c r="A33" s="9" t="s">
        <v>212</v>
      </c>
      <c r="B33" s="92">
        <f>0.00324*((B34/B35)^0.613)</f>
        <v>0.08627209476176</v>
      </c>
      <c r="C33" s="19"/>
      <c r="M33" s="5" t="s">
        <v>47</v>
      </c>
      <c r="N33" s="18">
        <v>9</v>
      </c>
      <c r="O33" s="15" t="s">
        <v>2</v>
      </c>
      <c r="Q33" s="5" t="s">
        <v>47</v>
      </c>
      <c r="R33" s="18">
        <v>9</v>
      </c>
      <c r="S33" s="15" t="s">
        <v>2</v>
      </c>
    </row>
    <row r="34" spans="1:3" ht="12.75" customHeight="1" thickBot="1">
      <c r="A34" s="10" t="s">
        <v>214</v>
      </c>
      <c r="B34" s="103">
        <f>P13</f>
        <v>148</v>
      </c>
      <c r="C34" s="13" t="s">
        <v>12</v>
      </c>
    </row>
    <row r="35" spans="1:17" ht="12.75" customHeight="1" thickBot="1">
      <c r="A35" s="12" t="s">
        <v>213</v>
      </c>
      <c r="B35" s="105">
        <f>P10</f>
        <v>0.7</v>
      </c>
      <c r="C35" s="15" t="s">
        <v>1</v>
      </c>
      <c r="D35" s="1"/>
      <c r="E35" s="4" t="s">
        <v>205</v>
      </c>
      <c r="F35" s="53">
        <f>F36*((F37^2)/2)/1000</f>
        <v>0.03384081858125178</v>
      </c>
      <c r="G35" s="17" t="s">
        <v>29</v>
      </c>
      <c r="M35" s="30" t="s">
        <v>58</v>
      </c>
      <c r="Q35" s="30" t="s">
        <v>58</v>
      </c>
    </row>
    <row r="36" spans="4:19" ht="12.75" customHeight="1" thickBot="1">
      <c r="D36" s="1"/>
      <c r="E36" s="2" t="s">
        <v>21</v>
      </c>
      <c r="F36" s="147">
        <f>B27</f>
        <v>0.003089921345987196</v>
      </c>
      <c r="G36" s="20" t="s">
        <v>33</v>
      </c>
      <c r="M36" s="6" t="s">
        <v>42</v>
      </c>
      <c r="N36" s="94">
        <f>J10*(N26/100)+J13*N31</f>
        <v>4.179058416470605</v>
      </c>
      <c r="O36" s="7" t="s">
        <v>29</v>
      </c>
      <c r="Q36" s="6" t="s">
        <v>42</v>
      </c>
      <c r="R36" s="94">
        <f>J10*(R26/100)+J13*R31</f>
        <v>4.4241902700688875</v>
      </c>
      <c r="S36" s="7" t="s">
        <v>29</v>
      </c>
    </row>
    <row r="37" spans="1:7" ht="12.75" customHeight="1" thickBot="1">
      <c r="A37" s="9" t="s">
        <v>22</v>
      </c>
      <c r="B37" s="91">
        <f>B19*(B38/B39)</f>
        <v>384.1483766304725</v>
      </c>
      <c r="C37" s="28" t="s">
        <v>28</v>
      </c>
      <c r="E37" s="3" t="s">
        <v>10</v>
      </c>
      <c r="F37" s="105">
        <f>P13</f>
        <v>148</v>
      </c>
      <c r="G37" s="21" t="s">
        <v>12</v>
      </c>
    </row>
    <row r="38" spans="1:17" ht="12.75" customHeight="1" thickBot="1">
      <c r="A38" s="11" t="s">
        <v>215</v>
      </c>
      <c r="B38" s="106">
        <f>Conductivity!B28</f>
        <v>0.02264034</v>
      </c>
      <c r="C38" s="13" t="s">
        <v>17</v>
      </c>
      <c r="M38" s="119" t="s">
        <v>59</v>
      </c>
      <c r="Q38" s="119" t="s">
        <v>59</v>
      </c>
    </row>
    <row r="39" spans="1:19" ht="12.75" customHeight="1" thickBot="1">
      <c r="A39" s="12" t="s">
        <v>23</v>
      </c>
      <c r="B39" s="105">
        <f>P9</f>
        <v>0.7</v>
      </c>
      <c r="C39" s="25" t="s">
        <v>1</v>
      </c>
      <c r="D39" s="1"/>
      <c r="E39" s="4" t="s">
        <v>206</v>
      </c>
      <c r="F39" s="53">
        <f>F40*F41*((F42^2)/(2*F43))/1000</f>
        <v>3.049113842753551</v>
      </c>
      <c r="G39" s="17" t="s">
        <v>29</v>
      </c>
      <c r="M39" s="9" t="s">
        <v>53</v>
      </c>
      <c r="N39" s="90">
        <f>N28*N36</f>
        <v>87.50948324089447</v>
      </c>
      <c r="O39" s="17" t="s">
        <v>55</v>
      </c>
      <c r="Q39" s="9" t="s">
        <v>53</v>
      </c>
      <c r="R39" s="90">
        <f>R36*R28</f>
        <v>49.17929904208575</v>
      </c>
      <c r="S39" s="17" t="s">
        <v>55</v>
      </c>
    </row>
    <row r="40" spans="4:19" ht="12.75" customHeight="1" thickBot="1">
      <c r="D40" s="8"/>
      <c r="E40" s="2" t="s">
        <v>191</v>
      </c>
      <c r="F40" s="106">
        <f>B46</f>
        <v>0.727274866171926</v>
      </c>
      <c r="G40" s="20"/>
      <c r="M40" s="22" t="s">
        <v>54</v>
      </c>
      <c r="N40" s="54">
        <f>N28*J10</f>
        <v>323.0983462875111</v>
      </c>
      <c r="O40" s="24" t="s">
        <v>55</v>
      </c>
      <c r="Q40" s="22" t="s">
        <v>54</v>
      </c>
      <c r="R40" s="54">
        <f>R28*J10</f>
        <v>171.51677255644572</v>
      </c>
      <c r="S40" s="24" t="s">
        <v>55</v>
      </c>
    </row>
    <row r="41" spans="1:7" ht="12.75" customHeight="1">
      <c r="A41" s="9" t="s">
        <v>226</v>
      </c>
      <c r="B41" s="93">
        <f>B42*P12*B44</f>
        <v>0.45</v>
      </c>
      <c r="C41" s="28" t="s">
        <v>4</v>
      </c>
      <c r="E41" s="2" t="s">
        <v>22</v>
      </c>
      <c r="F41" s="107">
        <f>B37</f>
        <v>384.1483766304725</v>
      </c>
      <c r="G41" s="20" t="s">
        <v>28</v>
      </c>
    </row>
    <row r="42" spans="1:7" ht="12.75" customHeight="1">
      <c r="A42" s="10" t="s">
        <v>227</v>
      </c>
      <c r="B42" s="103">
        <v>1</v>
      </c>
      <c r="C42" s="13" t="s">
        <v>3</v>
      </c>
      <c r="D42" s="1"/>
      <c r="E42" s="10" t="s">
        <v>214</v>
      </c>
      <c r="F42" s="103">
        <f>P13</f>
        <v>148</v>
      </c>
      <c r="G42" s="20" t="s">
        <v>12</v>
      </c>
    </row>
    <row r="43" spans="1:7" ht="12.75" customHeight="1" thickBot="1">
      <c r="A43" s="10" t="s">
        <v>188</v>
      </c>
      <c r="B43" s="103">
        <f>P12</f>
        <v>0.0005</v>
      </c>
      <c r="C43" s="29" t="s">
        <v>1</v>
      </c>
      <c r="D43" s="1"/>
      <c r="E43" s="3" t="s">
        <v>39</v>
      </c>
      <c r="F43" s="105">
        <f>B15</f>
        <v>1003.5</v>
      </c>
      <c r="G43" s="21" t="s">
        <v>16</v>
      </c>
    </row>
    <row r="44" spans="1:4" ht="12.75" customHeight="1" thickBot="1">
      <c r="A44" s="12" t="s">
        <v>216</v>
      </c>
      <c r="B44" s="18">
        <v>900</v>
      </c>
      <c r="C44" s="25" t="s">
        <v>13</v>
      </c>
      <c r="D44" s="8"/>
    </row>
    <row r="45" ht="12.75" customHeight="1" thickBot="1">
      <c r="D45" s="8"/>
    </row>
    <row r="46" spans="1:3" ht="12.75" customHeight="1">
      <c r="A46" s="4" t="s">
        <v>41</v>
      </c>
      <c r="B46" s="93">
        <f>1-((0.99*(B47^2))/(B47^2))*(1-(B48^B49))</f>
        <v>0.727274866171926</v>
      </c>
      <c r="C46" s="17"/>
    </row>
    <row r="47" spans="1:3" ht="12.75" customHeight="1">
      <c r="A47" s="10" t="s">
        <v>214</v>
      </c>
      <c r="B47" s="103">
        <f>P13</f>
        <v>148</v>
      </c>
      <c r="C47" s="20" t="s">
        <v>12</v>
      </c>
    </row>
    <row r="48" spans="1:4" ht="12.75" customHeight="1">
      <c r="A48" s="11" t="s">
        <v>15</v>
      </c>
      <c r="B48" s="106">
        <f>B14</f>
        <v>0.5844544874771481</v>
      </c>
      <c r="C48" s="20"/>
      <c r="D48" s="125"/>
    </row>
    <row r="49" spans="1:4" ht="12.75" customHeight="1" thickBot="1">
      <c r="A49" s="3" t="s">
        <v>195</v>
      </c>
      <c r="B49" s="18">
        <v>0.6</v>
      </c>
      <c r="C49" s="21" t="s">
        <v>222</v>
      </c>
      <c r="D49" s="125"/>
    </row>
    <row r="50" ht="12.75" customHeight="1" thickBot="1">
      <c r="D50" s="125"/>
    </row>
    <row r="51" spans="1:3" ht="12.75" customHeight="1">
      <c r="A51" s="4" t="s">
        <v>245</v>
      </c>
      <c r="B51" s="134">
        <f>(B54*B52^(3/2))/(B52+B53)</f>
        <v>1.6266879756090433E-05</v>
      </c>
      <c r="C51" s="17"/>
    </row>
    <row r="52" spans="1:3" ht="12.75" customHeight="1">
      <c r="A52" s="10" t="s">
        <v>246</v>
      </c>
      <c r="B52" s="107">
        <f>B22</f>
        <v>255.36999999999998</v>
      </c>
      <c r="C52" s="13" t="s">
        <v>20</v>
      </c>
    </row>
    <row r="53" spans="1:3" ht="12.75" customHeight="1">
      <c r="A53" s="11" t="s">
        <v>247</v>
      </c>
      <c r="B53" s="97">
        <v>110.4</v>
      </c>
      <c r="C53" s="20" t="s">
        <v>20</v>
      </c>
    </row>
    <row r="54" spans="1:3" ht="12.75" customHeight="1" thickBot="1">
      <c r="A54" s="3" t="s">
        <v>248</v>
      </c>
      <c r="B54" s="135">
        <f>0.000001458</f>
        <v>1.458E-06</v>
      </c>
      <c r="C54" s="21" t="s">
        <v>249</v>
      </c>
    </row>
    <row r="61" ht="12.75" customHeight="1">
      <c r="A61" t="s">
        <v>223</v>
      </c>
    </row>
    <row r="62" ht="12.75" customHeight="1">
      <c r="A62" t="s">
        <v>224</v>
      </c>
    </row>
    <row r="63" ht="12.75" customHeight="1">
      <c r="A63" t="s">
        <v>225</v>
      </c>
    </row>
  </sheetData>
  <sheetProtection/>
  <printOptions/>
  <pageMargins left="0.68" right="0.26" top="0.787401575" bottom="0.787401575" header="0.3" footer="0.3"/>
  <pageSetup horizontalDpi="600" verticalDpi="600" orientation="portrait" paperSize="9" scale="75" r:id="rId2"/>
  <headerFooter>
    <oddHeader>&amp;C&amp;A</oddHeader>
    <oddFooter>&amp;C&amp;"Arial"&amp;10Seite &amp;P</oddFooter>
  </headerFooter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38.140625" style="56" customWidth="1"/>
    <col min="2" max="16384" width="12.7109375" style="56" customWidth="1"/>
  </cols>
  <sheetData>
    <row r="1" spans="1:2" ht="20.25">
      <c r="A1" s="118" t="s">
        <v>200</v>
      </c>
      <c r="B1" t="s">
        <v>0</v>
      </c>
    </row>
    <row r="2" ht="13.5" thickBot="1"/>
    <row r="3" spans="1:5" ht="12.75">
      <c r="A3" s="72" t="s">
        <v>63</v>
      </c>
      <c r="B3" s="57" t="s">
        <v>64</v>
      </c>
      <c r="C3" s="57" t="s">
        <v>65</v>
      </c>
      <c r="D3" s="57" t="s">
        <v>66</v>
      </c>
      <c r="E3" s="80"/>
    </row>
    <row r="4" spans="1:5" ht="12.75">
      <c r="A4" s="73"/>
      <c r="B4" s="58"/>
      <c r="C4" s="58"/>
      <c r="D4" s="58"/>
      <c r="E4" s="76"/>
    </row>
    <row r="5" spans="1:5" ht="12.75">
      <c r="A5" s="77" t="s">
        <v>67</v>
      </c>
      <c r="B5" s="59" t="s">
        <v>68</v>
      </c>
      <c r="C5" s="59" t="s">
        <v>69</v>
      </c>
      <c r="D5" s="59" t="s">
        <v>70</v>
      </c>
      <c r="E5" s="65" t="s">
        <v>71</v>
      </c>
    </row>
    <row r="6" spans="1:5" ht="12.75">
      <c r="A6" s="77" t="s">
        <v>72</v>
      </c>
      <c r="B6" s="59" t="s">
        <v>73</v>
      </c>
      <c r="C6" s="59" t="s">
        <v>69</v>
      </c>
      <c r="D6" s="59" t="s">
        <v>70</v>
      </c>
      <c r="E6" s="65" t="s">
        <v>71</v>
      </c>
    </row>
    <row r="7" spans="1:5" ht="12.75">
      <c r="A7" s="77" t="s">
        <v>74</v>
      </c>
      <c r="B7" s="59" t="s">
        <v>75</v>
      </c>
      <c r="C7" s="78"/>
      <c r="D7" s="78"/>
      <c r="E7" s="65" t="s">
        <v>71</v>
      </c>
    </row>
    <row r="8" spans="1:5" ht="12.75">
      <c r="A8" s="77" t="s">
        <v>76</v>
      </c>
      <c r="B8" s="59" t="s">
        <v>77</v>
      </c>
      <c r="C8" s="78"/>
      <c r="D8" s="78"/>
      <c r="E8" s="65" t="s">
        <v>71</v>
      </c>
    </row>
    <row r="9" spans="1:5" ht="12.75">
      <c r="A9" s="77" t="s">
        <v>78</v>
      </c>
      <c r="B9" s="59" t="s">
        <v>79</v>
      </c>
      <c r="C9" s="78"/>
      <c r="D9" s="78"/>
      <c r="E9" s="65" t="s">
        <v>71</v>
      </c>
    </row>
    <row r="10" spans="1:5" ht="12.75">
      <c r="A10" s="77" t="s">
        <v>80</v>
      </c>
      <c r="B10" s="59" t="s">
        <v>81</v>
      </c>
      <c r="C10" s="59" t="s">
        <v>82</v>
      </c>
      <c r="D10" s="59" t="s">
        <v>70</v>
      </c>
      <c r="E10" s="65" t="s">
        <v>71</v>
      </c>
    </row>
    <row r="11" spans="1:5" ht="12.75">
      <c r="A11" s="77" t="s">
        <v>83</v>
      </c>
      <c r="B11" s="59" t="s">
        <v>84</v>
      </c>
      <c r="C11" s="59" t="s">
        <v>85</v>
      </c>
      <c r="D11" s="59" t="s">
        <v>86</v>
      </c>
      <c r="E11" s="65" t="s">
        <v>71</v>
      </c>
    </row>
    <row r="12" spans="1:5" ht="12.75">
      <c r="A12" s="74"/>
      <c r="B12" s="76"/>
      <c r="C12" s="76"/>
      <c r="D12" s="76"/>
      <c r="E12" s="76"/>
    </row>
    <row r="13" spans="1:5" ht="12.75">
      <c r="A13" s="77" t="s">
        <v>87</v>
      </c>
      <c r="B13" s="59" t="s">
        <v>130</v>
      </c>
      <c r="C13" s="59" t="s">
        <v>88</v>
      </c>
      <c r="D13" s="59" t="s">
        <v>131</v>
      </c>
      <c r="E13" s="76"/>
    </row>
    <row r="14" spans="1:5" ht="12.75">
      <c r="A14" s="77" t="s">
        <v>89</v>
      </c>
      <c r="B14" s="59" t="s">
        <v>132</v>
      </c>
      <c r="C14" s="59" t="s">
        <v>88</v>
      </c>
      <c r="D14" s="59" t="s">
        <v>131</v>
      </c>
      <c r="E14" s="76"/>
    </row>
    <row r="15" spans="1:5" ht="12.75">
      <c r="A15" s="77" t="s">
        <v>90</v>
      </c>
      <c r="B15" s="59" t="s">
        <v>133</v>
      </c>
      <c r="C15" s="78"/>
      <c r="D15" s="78"/>
      <c r="E15" s="76"/>
    </row>
    <row r="16" spans="1:5" ht="12.75">
      <c r="A16" s="77" t="s">
        <v>91</v>
      </c>
      <c r="B16" s="59" t="s">
        <v>134</v>
      </c>
      <c r="C16" s="78"/>
      <c r="D16" s="78"/>
      <c r="E16" s="76"/>
    </row>
    <row r="17" spans="1:5" ht="12.75">
      <c r="A17" s="77" t="s">
        <v>92</v>
      </c>
      <c r="B17" s="59" t="s">
        <v>135</v>
      </c>
      <c r="C17" s="78"/>
      <c r="D17" s="78"/>
      <c r="E17" s="76"/>
    </row>
    <row r="18" spans="1:5" ht="12.75">
      <c r="A18" s="75"/>
      <c r="B18" s="76"/>
      <c r="C18" s="76"/>
      <c r="D18" s="76"/>
      <c r="E18" s="76"/>
    </row>
    <row r="19" spans="1:5" ht="12.75">
      <c r="A19" s="77" t="s">
        <v>93</v>
      </c>
      <c r="B19" s="59" t="s">
        <v>94</v>
      </c>
      <c r="C19" s="59" t="s">
        <v>95</v>
      </c>
      <c r="D19" s="59" t="s">
        <v>96</v>
      </c>
      <c r="E19" s="65" t="s">
        <v>97</v>
      </c>
    </row>
    <row r="20" spans="1:5" ht="12.75">
      <c r="A20" s="74"/>
      <c r="B20" s="76"/>
      <c r="C20" s="76"/>
      <c r="D20" s="76"/>
      <c r="E20" s="81"/>
    </row>
    <row r="21" spans="1:5" ht="12.75">
      <c r="A21" s="77" t="s">
        <v>98</v>
      </c>
      <c r="B21" s="59" t="s">
        <v>99</v>
      </c>
      <c r="C21" s="59" t="s">
        <v>100</v>
      </c>
      <c r="D21" s="59" t="s">
        <v>101</v>
      </c>
      <c r="E21" s="65" t="s">
        <v>102</v>
      </c>
    </row>
    <row r="22" spans="1:5" ht="12.75">
      <c r="A22" s="74"/>
      <c r="B22" s="76"/>
      <c r="C22" s="76"/>
      <c r="D22" s="76"/>
      <c r="E22" s="81"/>
    </row>
    <row r="23" spans="1:5" ht="12.75">
      <c r="A23" s="77" t="s">
        <v>103</v>
      </c>
      <c r="B23" s="59" t="s">
        <v>104</v>
      </c>
      <c r="C23" s="59" t="s">
        <v>105</v>
      </c>
      <c r="D23" s="59" t="s">
        <v>106</v>
      </c>
      <c r="E23" s="76"/>
    </row>
    <row r="24" spans="1:5" ht="12.75">
      <c r="A24" s="74"/>
      <c r="B24" s="76"/>
      <c r="C24" s="76"/>
      <c r="D24" s="76"/>
      <c r="E24" s="76"/>
    </row>
    <row r="25" spans="1:5" ht="12.75">
      <c r="A25" s="77" t="s">
        <v>107</v>
      </c>
      <c r="B25" s="59" t="s">
        <v>108</v>
      </c>
      <c r="C25" s="59" t="s">
        <v>109</v>
      </c>
      <c r="D25" s="59" t="s">
        <v>109</v>
      </c>
      <c r="E25" s="76"/>
    </row>
    <row r="26" spans="1:5" ht="12.75">
      <c r="A26" s="77" t="s">
        <v>110</v>
      </c>
      <c r="B26" s="59" t="s">
        <v>111</v>
      </c>
      <c r="C26" s="78"/>
      <c r="D26" s="78"/>
      <c r="E26" s="76"/>
    </row>
    <row r="27" spans="1:5" ht="12.75">
      <c r="A27" s="77" t="s">
        <v>112</v>
      </c>
      <c r="B27" s="59" t="s">
        <v>113</v>
      </c>
      <c r="C27" s="59" t="s">
        <v>109</v>
      </c>
      <c r="D27" s="59" t="s">
        <v>109</v>
      </c>
      <c r="E27" s="76"/>
    </row>
    <row r="28" spans="1:5" ht="12.75">
      <c r="A28" s="75"/>
      <c r="B28" s="76"/>
      <c r="C28" s="76"/>
      <c r="D28" s="76"/>
      <c r="E28" s="76"/>
    </row>
    <row r="29" spans="1:5" ht="12.75">
      <c r="A29" s="77" t="s">
        <v>114</v>
      </c>
      <c r="B29" s="78"/>
      <c r="C29" s="59" t="s">
        <v>115</v>
      </c>
      <c r="D29" s="59" t="s">
        <v>116</v>
      </c>
      <c r="E29" s="78"/>
    </row>
    <row r="30" spans="1:5" ht="12.75">
      <c r="A30" s="77" t="s">
        <v>117</v>
      </c>
      <c r="B30" s="59" t="s">
        <v>136</v>
      </c>
      <c r="C30" s="59" t="s">
        <v>118</v>
      </c>
      <c r="D30" s="59" t="s">
        <v>119</v>
      </c>
      <c r="E30" s="65" t="s">
        <v>97</v>
      </c>
    </row>
    <row r="31" spans="1:5" ht="12.75">
      <c r="A31" s="77" t="s">
        <v>120</v>
      </c>
      <c r="B31" s="78"/>
      <c r="C31" s="59" t="s">
        <v>121</v>
      </c>
      <c r="D31" s="59" t="s">
        <v>122</v>
      </c>
      <c r="E31" s="65" t="s">
        <v>97</v>
      </c>
    </row>
    <row r="32" spans="1:5" ht="12.75">
      <c r="A32" s="75"/>
      <c r="B32" s="76"/>
      <c r="C32" s="76"/>
      <c r="D32" s="76"/>
      <c r="E32" s="81"/>
    </row>
    <row r="33" spans="1:5" ht="12.75">
      <c r="A33" s="77" t="s">
        <v>123</v>
      </c>
      <c r="B33" s="78"/>
      <c r="C33" s="78"/>
      <c r="D33" s="59" t="s">
        <v>137</v>
      </c>
      <c r="E33" s="65" t="s">
        <v>97</v>
      </c>
    </row>
    <row r="34" spans="1:5" ht="12.75">
      <c r="A34" s="77" t="s">
        <v>124</v>
      </c>
      <c r="B34" s="78"/>
      <c r="C34" s="78"/>
      <c r="D34" s="59" t="s">
        <v>138</v>
      </c>
      <c r="E34" s="65" t="s">
        <v>97</v>
      </c>
    </row>
    <row r="35" spans="1:5" ht="12.75">
      <c r="A35" s="77" t="s">
        <v>125</v>
      </c>
      <c r="B35" s="78"/>
      <c r="C35" s="78"/>
      <c r="D35" s="59" t="s">
        <v>127</v>
      </c>
      <c r="E35" s="65" t="s">
        <v>97</v>
      </c>
    </row>
    <row r="36" spans="1:5" ht="12.75">
      <c r="A36" s="77" t="s">
        <v>126</v>
      </c>
      <c r="B36" s="78"/>
      <c r="C36" s="78"/>
      <c r="D36" s="59" t="s">
        <v>128</v>
      </c>
      <c r="E36" s="65" t="s">
        <v>97</v>
      </c>
    </row>
    <row r="37" spans="1:5" ht="13.5" thickBot="1">
      <c r="A37" s="77" t="s">
        <v>139</v>
      </c>
      <c r="B37" s="79"/>
      <c r="C37" s="79"/>
      <c r="D37" s="62" t="s">
        <v>129</v>
      </c>
      <c r="E37" s="66" t="s">
        <v>97</v>
      </c>
    </row>
    <row r="38" ht="12.75"/>
    <row r="39" spans="1:5" ht="12.75">
      <c r="A39" s="83" t="s">
        <v>189</v>
      </c>
      <c r="B39" s="84">
        <v>20.94</v>
      </c>
      <c r="C39" s="82"/>
      <c r="E39" s="85" t="s">
        <v>143</v>
      </c>
    </row>
    <row r="40" ht="12.75">
      <c r="A40" s="55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2" sqref="C42"/>
    </sheetView>
  </sheetViews>
  <sheetFormatPr defaultColWidth="11.57421875" defaultRowHeight="12.75" customHeight="1"/>
  <cols>
    <col min="1" max="1" width="36.421875" style="0" customWidth="1"/>
  </cols>
  <sheetData>
    <row r="1" spans="1:2" ht="20.25">
      <c r="A1" s="89" t="s">
        <v>201</v>
      </c>
      <c r="B1" t="s">
        <v>62</v>
      </c>
    </row>
    <row r="2" ht="12.75" customHeight="1" thickBot="1"/>
    <row r="3" spans="1:5" ht="12.75" customHeight="1">
      <c r="A3" s="67" t="s">
        <v>63</v>
      </c>
      <c r="B3" s="57" t="s">
        <v>64</v>
      </c>
      <c r="C3" s="57" t="s">
        <v>65</v>
      </c>
      <c r="D3" s="57" t="s">
        <v>66</v>
      </c>
      <c r="E3" s="64"/>
    </row>
    <row r="4" spans="1:5" ht="12.75" customHeight="1">
      <c r="A4" s="68"/>
      <c r="B4" s="58"/>
      <c r="C4" s="58"/>
      <c r="D4" s="58"/>
      <c r="E4" s="60"/>
    </row>
    <row r="5" spans="1:5" ht="12.75" customHeight="1">
      <c r="A5" s="69" t="s">
        <v>67</v>
      </c>
      <c r="B5" s="59" t="s">
        <v>140</v>
      </c>
      <c r="C5" s="59" t="s">
        <v>141</v>
      </c>
      <c r="D5" s="59" t="s">
        <v>142</v>
      </c>
      <c r="E5" s="65" t="s">
        <v>143</v>
      </c>
    </row>
    <row r="6" spans="1:5" ht="12.75" customHeight="1">
      <c r="A6" s="69" t="s">
        <v>72</v>
      </c>
      <c r="B6" s="59" t="s">
        <v>144</v>
      </c>
      <c r="C6" s="59" t="s">
        <v>141</v>
      </c>
      <c r="D6" s="59" t="s">
        <v>142</v>
      </c>
      <c r="E6" s="65" t="s">
        <v>143</v>
      </c>
    </row>
    <row r="7" spans="1:5" ht="12.75" customHeight="1">
      <c r="A7" s="69" t="s">
        <v>74</v>
      </c>
      <c r="B7" s="59" t="s">
        <v>145</v>
      </c>
      <c r="C7" s="61"/>
      <c r="D7" s="61"/>
      <c r="E7" s="65" t="s">
        <v>143</v>
      </c>
    </row>
    <row r="8" spans="1:5" ht="12.75" customHeight="1">
      <c r="A8" s="69" t="s">
        <v>76</v>
      </c>
      <c r="B8" s="59" t="s">
        <v>146</v>
      </c>
      <c r="C8" s="61"/>
      <c r="D8" s="61"/>
      <c r="E8" s="65" t="s">
        <v>143</v>
      </c>
    </row>
    <row r="9" spans="1:5" ht="12.75" customHeight="1">
      <c r="A9" s="69" t="s">
        <v>78</v>
      </c>
      <c r="B9" s="59" t="s">
        <v>147</v>
      </c>
      <c r="C9" s="61"/>
      <c r="D9" s="61"/>
      <c r="E9" s="65" t="s">
        <v>143</v>
      </c>
    </row>
    <row r="10" spans="1:4" ht="12.75" customHeight="1">
      <c r="A10" s="69" t="s">
        <v>80</v>
      </c>
      <c r="B10" s="59" t="s">
        <v>148</v>
      </c>
      <c r="C10" s="59" t="s">
        <v>149</v>
      </c>
      <c r="D10" s="59" t="s">
        <v>142</v>
      </c>
    </row>
    <row r="11" spans="1:5" ht="12.75" customHeight="1">
      <c r="A11" s="69" t="s">
        <v>83</v>
      </c>
      <c r="B11" s="59" t="s">
        <v>150</v>
      </c>
      <c r="C11" s="59" t="s">
        <v>151</v>
      </c>
      <c r="D11" s="59" t="s">
        <v>152</v>
      </c>
      <c r="E11" s="65" t="s">
        <v>143</v>
      </c>
    </row>
    <row r="12" spans="1:5" ht="12.75" customHeight="1">
      <c r="A12" s="70"/>
      <c r="B12" s="60"/>
      <c r="C12" s="60"/>
      <c r="D12" s="60"/>
      <c r="E12" s="60"/>
    </row>
    <row r="13" spans="1:5" ht="12.75" customHeight="1">
      <c r="A13" s="69" t="s">
        <v>87</v>
      </c>
      <c r="B13" s="59" t="s">
        <v>153</v>
      </c>
      <c r="C13" s="59" t="s">
        <v>88</v>
      </c>
      <c r="D13" s="59" t="s">
        <v>154</v>
      </c>
      <c r="E13" s="60"/>
    </row>
    <row r="14" spans="1:5" ht="12.75" customHeight="1">
      <c r="A14" s="69" t="s">
        <v>89</v>
      </c>
      <c r="B14" s="59" t="s">
        <v>155</v>
      </c>
      <c r="C14" s="59" t="s">
        <v>88</v>
      </c>
      <c r="D14" s="59" t="s">
        <v>154</v>
      </c>
      <c r="E14" s="60"/>
    </row>
    <row r="15" spans="1:5" ht="12.75" customHeight="1">
      <c r="A15" s="69" t="s">
        <v>90</v>
      </c>
      <c r="B15" s="59" t="s">
        <v>156</v>
      </c>
      <c r="C15" s="61"/>
      <c r="D15" s="61"/>
      <c r="E15" s="60"/>
    </row>
    <row r="16" spans="1:5" ht="12.75" customHeight="1">
      <c r="A16" s="69" t="s">
        <v>91</v>
      </c>
      <c r="B16" s="59" t="s">
        <v>157</v>
      </c>
      <c r="C16" s="61"/>
      <c r="D16" s="61"/>
      <c r="E16" s="60"/>
    </row>
    <row r="17" spans="1:5" ht="12.75" customHeight="1">
      <c r="A17" s="69" t="s">
        <v>92</v>
      </c>
      <c r="B17" s="59" t="s">
        <v>158</v>
      </c>
      <c r="C17" s="61"/>
      <c r="D17" s="61"/>
      <c r="E17" s="60"/>
    </row>
    <row r="18" spans="1:5" ht="12.75" customHeight="1">
      <c r="A18" s="70"/>
      <c r="B18" s="60"/>
      <c r="C18" s="60"/>
      <c r="D18" s="60"/>
      <c r="E18" s="60"/>
    </row>
    <row r="19" spans="1:5" ht="12.75" customHeight="1">
      <c r="A19" s="69" t="s">
        <v>93</v>
      </c>
      <c r="B19" s="59" t="s">
        <v>159</v>
      </c>
      <c r="C19" s="59" t="s">
        <v>160</v>
      </c>
      <c r="D19" s="59" t="s">
        <v>161</v>
      </c>
      <c r="E19" s="65" t="s">
        <v>162</v>
      </c>
    </row>
    <row r="20" spans="1:5" ht="12.75" customHeight="1">
      <c r="A20" s="70"/>
      <c r="B20" s="60"/>
      <c r="C20" s="60"/>
      <c r="D20" s="60"/>
      <c r="E20" s="60"/>
    </row>
    <row r="21" spans="1:5" ht="12.75" customHeight="1">
      <c r="A21" s="69" t="s">
        <v>98</v>
      </c>
      <c r="B21" s="59" t="s">
        <v>163</v>
      </c>
      <c r="C21" s="59" t="s">
        <v>164</v>
      </c>
      <c r="D21" s="59" t="s">
        <v>165</v>
      </c>
      <c r="E21" s="65" t="s">
        <v>102</v>
      </c>
    </row>
    <row r="22" spans="1:5" ht="12.75" customHeight="1">
      <c r="A22" s="70"/>
      <c r="B22" s="60"/>
      <c r="C22" s="60"/>
      <c r="D22" s="60"/>
      <c r="E22" s="60"/>
    </row>
    <row r="23" spans="1:5" ht="12.75" customHeight="1">
      <c r="A23" s="69" t="s">
        <v>103</v>
      </c>
      <c r="B23" s="59" t="s">
        <v>166</v>
      </c>
      <c r="C23" s="59" t="s">
        <v>167</v>
      </c>
      <c r="D23" s="59" t="s">
        <v>168</v>
      </c>
      <c r="E23" s="60"/>
    </row>
    <row r="24" spans="1:5" ht="12.75" customHeight="1">
      <c r="A24" s="70"/>
      <c r="B24" s="60"/>
      <c r="C24" s="60"/>
      <c r="D24" s="60"/>
      <c r="E24" s="60"/>
    </row>
    <row r="25" spans="1:5" ht="12.75" customHeight="1">
      <c r="A25" s="69" t="s">
        <v>107</v>
      </c>
      <c r="B25" s="59" t="s">
        <v>169</v>
      </c>
      <c r="C25" s="59" t="s">
        <v>170</v>
      </c>
      <c r="D25" s="59" t="s">
        <v>170</v>
      </c>
      <c r="E25" s="60"/>
    </row>
    <row r="26" spans="1:5" ht="12.75" customHeight="1">
      <c r="A26" s="69" t="s">
        <v>110</v>
      </c>
      <c r="B26" s="59" t="s">
        <v>171</v>
      </c>
      <c r="C26" s="61"/>
      <c r="D26" s="61"/>
      <c r="E26" s="60"/>
    </row>
    <row r="27" spans="1:5" ht="12.75" customHeight="1">
      <c r="A27" s="69" t="s">
        <v>112</v>
      </c>
      <c r="B27" s="59" t="s">
        <v>172</v>
      </c>
      <c r="C27" s="59" t="s">
        <v>170</v>
      </c>
      <c r="D27" s="59" t="s">
        <v>170</v>
      </c>
      <c r="E27" s="60"/>
    </row>
    <row r="28" spans="1:5" ht="12.75" customHeight="1">
      <c r="A28" s="70"/>
      <c r="B28" s="60"/>
      <c r="C28" s="60"/>
      <c r="D28" s="60"/>
      <c r="E28" s="60"/>
    </row>
    <row r="29" spans="1:5" ht="12.75" customHeight="1">
      <c r="A29" s="69" t="s">
        <v>114</v>
      </c>
      <c r="B29" s="61"/>
      <c r="C29" s="59" t="s">
        <v>173</v>
      </c>
      <c r="D29" s="59" t="s">
        <v>174</v>
      </c>
      <c r="E29" s="61"/>
    </row>
    <row r="30" spans="1:5" ht="12.75" customHeight="1">
      <c r="A30" s="69" t="s">
        <v>175</v>
      </c>
      <c r="B30" s="59" t="s">
        <v>176</v>
      </c>
      <c r="C30" s="59" t="s">
        <v>177</v>
      </c>
      <c r="D30" s="59" t="s">
        <v>178</v>
      </c>
      <c r="E30" s="65" t="s">
        <v>162</v>
      </c>
    </row>
    <row r="31" spans="1:5" ht="12.75" customHeight="1">
      <c r="A31" s="69" t="s">
        <v>120</v>
      </c>
      <c r="B31" s="61"/>
      <c r="C31" s="59" t="s">
        <v>179</v>
      </c>
      <c r="D31" s="59" t="s">
        <v>180</v>
      </c>
      <c r="E31" s="65" t="s">
        <v>162</v>
      </c>
    </row>
    <row r="32" spans="1:5" ht="12.75" customHeight="1">
      <c r="A32" s="70"/>
      <c r="B32" s="60"/>
      <c r="C32" s="60"/>
      <c r="D32" s="60"/>
      <c r="E32" s="60"/>
    </row>
    <row r="33" spans="1:5" ht="12.75" customHeight="1">
      <c r="A33" s="69" t="s">
        <v>123</v>
      </c>
      <c r="B33" s="59" t="s">
        <v>181</v>
      </c>
      <c r="C33" s="61"/>
      <c r="D33" s="61"/>
      <c r="E33" s="65" t="s">
        <v>162</v>
      </c>
    </row>
    <row r="34" spans="1:5" ht="12.75" customHeight="1">
      <c r="A34" s="69" t="s">
        <v>124</v>
      </c>
      <c r="B34" s="59" t="s">
        <v>182</v>
      </c>
      <c r="C34" s="61"/>
      <c r="D34" s="61"/>
      <c r="E34" s="65" t="s">
        <v>162</v>
      </c>
    </row>
    <row r="35" spans="1:5" ht="12.75" customHeight="1">
      <c r="A35" s="69" t="s">
        <v>125</v>
      </c>
      <c r="B35" s="59" t="s">
        <v>183</v>
      </c>
      <c r="C35" s="61"/>
      <c r="D35" s="61"/>
      <c r="E35" s="65" t="s">
        <v>162</v>
      </c>
    </row>
    <row r="36" spans="1:5" ht="12.75" customHeight="1">
      <c r="A36" s="69" t="s">
        <v>126</v>
      </c>
      <c r="B36" s="59" t="s">
        <v>184</v>
      </c>
      <c r="C36" s="61"/>
      <c r="D36" s="61"/>
      <c r="E36" s="65" t="s">
        <v>162</v>
      </c>
    </row>
    <row r="37" spans="1:5" ht="12.75" customHeight="1" thickBot="1">
      <c r="A37" s="71" t="s">
        <v>139</v>
      </c>
      <c r="B37" s="62" t="s">
        <v>185</v>
      </c>
      <c r="C37" s="63"/>
      <c r="D37" s="63"/>
      <c r="E37" s="66" t="s">
        <v>162</v>
      </c>
    </row>
    <row r="39" spans="1:5" ht="12.75" customHeight="1">
      <c r="A39" s="83" t="s">
        <v>189</v>
      </c>
      <c r="B39" s="1">
        <v>11.116</v>
      </c>
      <c r="E39" s="85" t="s">
        <v>143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>
    <oddHeader>&amp;C&amp;A</oddHeader>
    <oddFooter>&amp;C&amp;"Arial"&amp;10Seite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0.25">
      <c r="A1" s="89" t="s">
        <v>229</v>
      </c>
    </row>
    <row r="3" spans="1:2" ht="12.75">
      <c r="A3" s="128" t="s">
        <v>230</v>
      </c>
      <c r="B3" s="128" t="s">
        <v>231</v>
      </c>
    </row>
    <row r="4" spans="1:2" ht="12.75">
      <c r="A4">
        <v>100</v>
      </c>
      <c r="B4" s="127">
        <v>0.00934</v>
      </c>
    </row>
    <row r="5" spans="1:2" ht="12.75">
      <c r="A5">
        <v>150</v>
      </c>
      <c r="B5" s="127">
        <v>0.0138</v>
      </c>
    </row>
    <row r="6" spans="1:2" ht="12.75">
      <c r="A6">
        <v>200</v>
      </c>
      <c r="B6" s="127">
        <v>0.0181</v>
      </c>
    </row>
    <row r="7" spans="1:2" ht="12.75">
      <c r="A7">
        <v>250</v>
      </c>
      <c r="B7" s="127">
        <v>0.0223</v>
      </c>
    </row>
    <row r="8" spans="1:2" ht="12.75">
      <c r="A8">
        <v>300</v>
      </c>
      <c r="B8" s="127">
        <v>0.0263</v>
      </c>
    </row>
    <row r="9" spans="1:2" ht="12.75">
      <c r="A9">
        <v>350</v>
      </c>
      <c r="B9" s="127">
        <v>0.03</v>
      </c>
    </row>
    <row r="10" spans="1:2" ht="12.75">
      <c r="A10">
        <v>400</v>
      </c>
      <c r="B10" s="127">
        <v>0.0338</v>
      </c>
    </row>
    <row r="11" spans="1:2" ht="12.75">
      <c r="A11">
        <v>450</v>
      </c>
      <c r="B11" s="127">
        <v>0.0373</v>
      </c>
    </row>
    <row r="12" spans="1:2" ht="12.75">
      <c r="A12">
        <v>500</v>
      </c>
      <c r="B12" s="127">
        <v>0.0407</v>
      </c>
    </row>
    <row r="13" spans="1:2" ht="12.75">
      <c r="A13">
        <v>550</v>
      </c>
      <c r="B13" s="127">
        <v>0.0439</v>
      </c>
    </row>
    <row r="14" spans="1:2" ht="12.75">
      <c r="A14">
        <v>600</v>
      </c>
      <c r="B14" s="127">
        <v>0.0469</v>
      </c>
    </row>
    <row r="19" ht="12.75">
      <c r="A19" t="s">
        <v>235</v>
      </c>
    </row>
    <row r="21" spans="1:4" ht="12.75">
      <c r="A21" t="s">
        <v>233</v>
      </c>
      <c r="B21" s="120">
        <v>255.3</v>
      </c>
      <c r="C21" t="s">
        <v>20</v>
      </c>
      <c r="D21" t="s">
        <v>236</v>
      </c>
    </row>
    <row r="22" spans="1:4" ht="12.75">
      <c r="A22" t="s">
        <v>232</v>
      </c>
      <c r="B22" s="129">
        <f>$B$6+($B$8-$B$6)*(B21-200)/100</f>
        <v>0.0226346</v>
      </c>
      <c r="C22" t="s">
        <v>234</v>
      </c>
      <c r="D22" t="s">
        <v>237</v>
      </c>
    </row>
    <row r="25" ht="12.75">
      <c r="A25" t="s">
        <v>239</v>
      </c>
    </row>
    <row r="27" spans="1:3" ht="12.75">
      <c r="A27" t="s">
        <v>233</v>
      </c>
      <c r="B27" s="132">
        <f>Berechnung!B22</f>
        <v>255.36999999999998</v>
      </c>
      <c r="C27" t="s">
        <v>20</v>
      </c>
    </row>
    <row r="28" spans="1:3" ht="12.75">
      <c r="A28" t="s">
        <v>232</v>
      </c>
      <c r="B28" s="133">
        <f>$B$6+($B$8-$B$6)*(B27-200)/100</f>
        <v>0.02264034</v>
      </c>
      <c r="C28" t="s">
        <v>234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16.28125" style="0" bestFit="1" customWidth="1"/>
    <col min="2" max="2" width="13.7109375" style="0" customWidth="1"/>
    <col min="3" max="3" width="15.421875" style="0" bestFit="1" customWidth="1"/>
  </cols>
  <sheetData>
    <row r="1" ht="20.25">
      <c r="A1" s="142" t="s">
        <v>263</v>
      </c>
    </row>
    <row r="3" ht="12.75">
      <c r="A3" s="137"/>
    </row>
    <row r="4" spans="1:3" ht="12.75">
      <c r="A4" s="141" t="s">
        <v>250</v>
      </c>
      <c r="C4" t="s">
        <v>261</v>
      </c>
    </row>
    <row r="5" ht="12.75">
      <c r="A5" s="138"/>
    </row>
    <row r="6" ht="12.75">
      <c r="A6" s="138"/>
    </row>
    <row r="7" ht="12.75">
      <c r="A7" s="137"/>
    </row>
    <row r="8" ht="12.75">
      <c r="A8" s="137"/>
    </row>
    <row r="9" ht="12.75">
      <c r="A9" s="137" t="s">
        <v>251</v>
      </c>
    </row>
    <row r="10" ht="12.75">
      <c r="A10" s="138"/>
    </row>
    <row r="11" ht="12.75">
      <c r="A11" s="138"/>
    </row>
    <row r="12" ht="12.75">
      <c r="A12" s="137"/>
    </row>
    <row r="13" spans="1:8" ht="12.75">
      <c r="A13" t="s">
        <v>252</v>
      </c>
      <c r="B13" s="139">
        <v>-7.90298</v>
      </c>
      <c r="D13" t="s">
        <v>255</v>
      </c>
      <c r="E13" s="139">
        <v>5.02808</v>
      </c>
      <c r="G13" t="s">
        <v>258</v>
      </c>
      <c r="H13" s="140">
        <v>-1.3816E-07</v>
      </c>
    </row>
    <row r="14" spans="1:8" ht="12.75">
      <c r="A14" t="s">
        <v>253</v>
      </c>
      <c r="B14" s="139">
        <v>11.344</v>
      </c>
      <c r="D14" t="s">
        <v>256</v>
      </c>
      <c r="E14" s="140">
        <v>0.0081328</v>
      </c>
      <c r="G14" t="s">
        <v>259</v>
      </c>
      <c r="H14" s="139">
        <v>-3.49149</v>
      </c>
    </row>
    <row r="15" spans="1:6" ht="12.75">
      <c r="A15" t="s">
        <v>254</v>
      </c>
      <c r="B15" s="139">
        <v>1013.246</v>
      </c>
      <c r="C15" t="s">
        <v>40</v>
      </c>
      <c r="D15" t="s">
        <v>257</v>
      </c>
      <c r="E15" s="139">
        <v>373.16</v>
      </c>
      <c r="F15" s="139" t="s">
        <v>20</v>
      </c>
    </row>
    <row r="16" ht="12.75">
      <c r="A16" s="137"/>
    </row>
    <row r="17" ht="12.75">
      <c r="A17" s="137" t="s">
        <v>260</v>
      </c>
    </row>
    <row r="20" ht="12.75">
      <c r="A20" t="s">
        <v>262</v>
      </c>
    </row>
    <row r="22" spans="1:4" ht="12.75">
      <c r="A22" t="s">
        <v>265</v>
      </c>
      <c r="B22" s="146">
        <f>Berechnung!F15</f>
        <v>6</v>
      </c>
      <c r="C22" t="s">
        <v>210</v>
      </c>
      <c r="D22" t="s">
        <v>236</v>
      </c>
    </row>
    <row r="23" spans="1:3" ht="12.75">
      <c r="A23" t="s">
        <v>266</v>
      </c>
      <c r="B23">
        <f>B22+273.15</f>
        <v>279.15</v>
      </c>
      <c r="C23" t="s">
        <v>20</v>
      </c>
    </row>
    <row r="24" spans="1:2" ht="12.75">
      <c r="A24" t="s">
        <v>267</v>
      </c>
      <c r="B24">
        <f>a*(T_s/T_1-1)+b*LOG(T_s/T_1,10)+c*(10^(d*(1-T_1/T_s))-1)+f*(10^(h*(T_s/T_1-1))-1)</f>
        <v>-2.0353679102095215</v>
      </c>
    </row>
    <row r="25" spans="1:4" ht="12.75">
      <c r="A25" t="s">
        <v>268</v>
      </c>
      <c r="B25" s="143">
        <f>e_st*10^Z_1</f>
        <v>9.34000239813796</v>
      </c>
      <c r="C25" t="s">
        <v>40</v>
      </c>
      <c r="D25" t="s">
        <v>237</v>
      </c>
    </row>
    <row r="28" spans="1:4" ht="12.75">
      <c r="A28" t="s">
        <v>269</v>
      </c>
      <c r="B28" s="146">
        <f>Berechnung!B23</f>
        <v>-17.78</v>
      </c>
      <c r="C28" t="s">
        <v>210</v>
      </c>
      <c r="D28" t="s">
        <v>236</v>
      </c>
    </row>
    <row r="29" spans="1:3" ht="12.75">
      <c r="A29" t="s">
        <v>270</v>
      </c>
      <c r="B29">
        <f>B28+273.15</f>
        <v>255.36999999999998</v>
      </c>
      <c r="C29" t="s">
        <v>20</v>
      </c>
    </row>
    <row r="30" spans="1:2" ht="12.75">
      <c r="A30" t="s">
        <v>271</v>
      </c>
      <c r="B30">
        <f>a*(T_s/T_2-1)+b*LOG(T_s/T_2,10)+c*(10^(d*(1-T_2/T_s))-1)+f*(10^(h*(T_s/T_2-1))-1)</f>
        <v>-2.8254756516808235</v>
      </c>
    </row>
    <row r="31" spans="1:4" ht="12.75">
      <c r="A31" t="s">
        <v>272</v>
      </c>
      <c r="B31" s="143">
        <f>e_st*10^Z_2</f>
        <v>1.5143952761647101</v>
      </c>
      <c r="C31" t="s">
        <v>40</v>
      </c>
      <c r="D31" t="s">
        <v>237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ODF Add-in for Microsoft Office 4.0.5309.0 (12.0.4518)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Dieter SCHOLZ</cp:lastModifiedBy>
  <cp:lastPrinted>2012-06-16T13:48:58Z</cp:lastPrinted>
  <dcterms:created xsi:type="dcterms:W3CDTF">2010-11-18T21:58:27Z</dcterms:created>
  <dcterms:modified xsi:type="dcterms:W3CDTF">2022-05-27T13:14:07Z</dcterms:modified>
  <cp:category/>
  <cp:version/>
  <cp:contentType/>
  <cp:contentStatus/>
  <cp:revision>1</cp:revision>
</cp:coreProperties>
</file>